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4.bin" ContentType="application/vnd.ms-office.activeX"/>
  <Override PartName="/xl/activeX/activeX2.bin" ContentType="application/vnd.ms-office.activeX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3.bin" ContentType="application/vnd.ms-office.activeX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354CC2F-7A7A-4510-B1C6-5FF3068D8CB2}" xr6:coauthVersionLast="47" xr6:coauthVersionMax="47" xr10:uidLastSave="{00000000-0000-0000-0000-000000000000}"/>
  <bookViews>
    <workbookView xWindow="-28920" yWindow="-120" windowWidth="29040" windowHeight="15840" activeTab="11" xr2:uid="{00000000-000D-0000-FFFF-FFFF00000000}"/>
  </bookViews>
  <sheets>
    <sheet name="Monthy Income Statements" sheetId="4" r:id="rId1"/>
    <sheet name="Results of Operations Co" sheetId="2" r:id="rId2"/>
    <sheet name="Results of Operations Regulated" sheetId="21" r:id="rId3"/>
    <sheet name="Restating AJEs" sheetId="10" r:id="rId4"/>
    <sheet name="Proforma AJEs" sheetId="9" r:id="rId5"/>
    <sheet name="Wage Summary" sheetId="32" r:id="rId6"/>
    <sheet name="L&amp;I" sheetId="33" r:id="rId7"/>
    <sheet name="Health Insurance" sheetId="34" r:id="rId8"/>
    <sheet name="City Contracts" sheetId="35" r:id="rId9"/>
    <sheet name="Disposal Fees" sheetId="36" r:id="rId10"/>
    <sheet name="Fuel Proforma" sheetId="39" r:id="rId11"/>
    <sheet name="Employment Security" sheetId="40" r:id="rId12"/>
    <sheet name="Rent" sheetId="41" r:id="rId13"/>
    <sheet name="Priceout-Chelan" sheetId="100" r:id="rId14"/>
    <sheet name="Priceout-Douglas" sheetId="15" r:id="rId15"/>
    <sheet name="Priceout-Okanogan" sheetId="16" r:id="rId16"/>
    <sheet name="Cost Allocations" sheetId="24" r:id="rId17"/>
    <sheet name="Cost Allocations-Recycle" sheetId="12" r:id="rId18"/>
    <sheet name="Cost Allocations-Contracts" sheetId="3" r:id="rId19"/>
    <sheet name="Cost Allocations-Rolloff" sheetId="13" r:id="rId20"/>
    <sheet name="Depr Allocation by County" sheetId="26" r:id="rId21"/>
    <sheet name="Depr Allocation" sheetId="8" r:id="rId22"/>
    <sheet name="DEPN2K" sheetId="68" r:id="rId23"/>
    <sheet name="Allocations-Hours &amp; Miles" sheetId="5" r:id="rId24"/>
    <sheet name="Container Count" sheetId="6" r:id="rId25"/>
    <sheet name="Wutc Balance Sheet" sheetId="7" r:id="rId26"/>
    <sheet name="New LG Total" sheetId="73" r:id="rId27"/>
    <sheet name="New LG Chelan - MSW" sheetId="78" r:id="rId28"/>
    <sheet name="New LG Chelan - Recyc" sheetId="91" r:id="rId29"/>
    <sheet name="New LG Total Douglas" sheetId="79" r:id="rId30"/>
    <sheet name="New LG Total Okanogan" sheetId="80" r:id="rId31"/>
    <sheet name="Lurito-Company Old" sheetId="99" r:id="rId32"/>
    <sheet name="Lurito Old-Chelan" sheetId="18" r:id="rId33"/>
    <sheet name="Lurito Old-Douglas" sheetId="19" r:id="rId34"/>
    <sheet name="Lurito Old-Okanogan" sheetId="20" r:id="rId35"/>
    <sheet name="Overhead Allocation" sheetId="25" r:id="rId36"/>
    <sheet name="Hours &amp; Miles by County" sheetId="27" r:id="rId37"/>
    <sheet name="Container Count by County" sheetId="28" r:id="rId38"/>
    <sheet name="Drop Box Allocation" sheetId="29" r:id="rId39"/>
    <sheet name="Disposal Fee Breakdown" sheetId="30" r:id="rId40"/>
    <sheet name="Service Counts" sheetId="31" r:id="rId41"/>
    <sheet name="Previous rate increases NA" sheetId="37" r:id="rId42"/>
    <sheet name="Fuel Summary" sheetId="38" r:id="rId43"/>
    <sheet name="Checklist" sheetId="42" r:id="rId44"/>
    <sheet name="General Data" sheetId="43" r:id="rId45"/>
    <sheet name="Monthly Data-Hours &amp; Miles" sheetId="44" r:id="rId46"/>
    <sheet name="Monthly Data-Container Count" sheetId="45" r:id="rId47"/>
    <sheet name="Monthly Data-Disposal Fees" sheetId="46" r:id="rId48"/>
    <sheet name="Service Count Data" sheetId="47" r:id="rId49"/>
    <sheet name="Pateros Service Counts" sheetId="48" r:id="rId50"/>
    <sheet name="Bridgeport Service Counts" sheetId="49" r:id="rId51"/>
    <sheet name="Recycling customer count" sheetId="92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1">[2]Hidden!#REF!</definedName>
    <definedName name="__ACT1" localSheetId="13">[2]Hidden!#REF!</definedName>
    <definedName name="__ACT1">[2]Hidden!#REF!</definedName>
    <definedName name="__ACT2" localSheetId="31">[2]Hidden!#REF!</definedName>
    <definedName name="__ACT2" localSheetId="13">[2]Hidden!#REF!</definedName>
    <definedName name="__ACT2">[2]Hidden!#REF!</definedName>
    <definedName name="__ACT3" localSheetId="31">[2]Hidden!#REF!</definedName>
    <definedName name="__ACT3" localSheetId="13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ACT1" localSheetId="31">[2]Hidden!#REF!</definedName>
    <definedName name="_ACT1" localSheetId="13">[2]Hidden!#REF!</definedName>
    <definedName name="_ACT1">[2]Hidden!#REF!</definedName>
    <definedName name="_ACT2" localSheetId="31">[2]Hidden!#REF!</definedName>
    <definedName name="_ACT2" localSheetId="13">[2]Hidden!#REF!</definedName>
    <definedName name="_ACT2">[2]Hidden!#REF!</definedName>
    <definedName name="_ACT3" localSheetId="31">[2]Hidden!#REF!</definedName>
    <definedName name="_ACT3" localSheetId="13">[2]Hidden!#REF!</definedName>
    <definedName name="_ACT3">[2]Hidden!#REF!</definedName>
    <definedName name="_BUN1">'[6]2008 West Group IS'!$AJ$5</definedName>
    <definedName name="_BUN3">'[6]2008 Group Office IS'!$AJ$5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Order1" hidden="1">255</definedName>
    <definedName name="_Order2" hidden="1">255</definedName>
    <definedName name="_Order3" hidden="1">0</definedName>
    <definedName name="_PER1">[6]WTB!$DC$8</definedName>
    <definedName name="_PER2">'[6]2008 West Group IS'!$AH$8</definedName>
    <definedName name="_PER3">'[6]2008 West Group IS'!$AI$5</definedName>
    <definedName name="_PER4">'[6]2008 Group Office IS'!$AH$8</definedName>
    <definedName name="_PER5">'[6]2008 Group Office IS'!$AI$5</definedName>
    <definedName name="_Regression_Int">0</definedName>
    <definedName name="_SFD1">'[6]2008 West Group IS'!$AK$5</definedName>
    <definedName name="_SFD3">'[6]2008 Group Office IS'!$AK$5</definedName>
    <definedName name="_SFV1">'[6]2008 West Group IS'!$AK$4</definedName>
    <definedName name="_SFV4">'[6]2008 Group Office IS'!$AK$4</definedName>
    <definedName name="_Sort1" hidden="1">'[4]#REF'!$A$10:$Z$281</definedName>
    <definedName name="_sort3" hidden="1">[5]XXXXXX!$G$10:$J$11</definedName>
    <definedName name="a" localSheetId="31">#REF!</definedName>
    <definedName name="a" localSheetId="13">#REF!</definedName>
    <definedName name="a">#REF!</definedName>
    <definedName name="aa" localSheetId="31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13">#REF!</definedName>
    <definedName name="aa">#REF!</definedName>
    <definedName name="aaa" localSheetId="31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13">#REF!</definedName>
    <definedName name="aaa">#REF!</definedName>
    <definedName name="aaaaa" localSheetId="31">#REF!</definedName>
    <definedName name="aaaaa" localSheetId="27">#REF!</definedName>
    <definedName name="aaaaa" localSheetId="28">#REF!</definedName>
    <definedName name="aaaaa" localSheetId="29">#REF!</definedName>
    <definedName name="aaaaa" localSheetId="30">#REF!</definedName>
    <definedName name="aaaaa" localSheetId="13">#REF!</definedName>
    <definedName name="aaaaa">#REF!</definedName>
    <definedName name="aaaaaa" localSheetId="31">#REF!</definedName>
    <definedName name="aaaaaa" localSheetId="27">#REF!</definedName>
    <definedName name="aaaaaa" localSheetId="28">#REF!</definedName>
    <definedName name="aaaaaa" localSheetId="29">#REF!</definedName>
    <definedName name="aaaaaa" localSheetId="30">#REF!</definedName>
    <definedName name="aaaaaa" localSheetId="13">#REF!</definedName>
    <definedName name="aaaaaa">#REF!</definedName>
    <definedName name="ACCT" localSheetId="31">[2]Hidden!#REF!</definedName>
    <definedName name="ACCT" localSheetId="13">[2]Hidden!#REF!</definedName>
    <definedName name="ACCT">[2]Hidden!#REF!</definedName>
    <definedName name="ACCT.ConsolSum">[1]Hidden!$Q$11</definedName>
    <definedName name="ACT_CUR" localSheetId="31">[2]Hidden!#REF!</definedName>
    <definedName name="ACT_CUR" localSheetId="13">[2]Hidden!#REF!</definedName>
    <definedName name="ACT_CUR">[2]Hidden!#REF!</definedName>
    <definedName name="ACT_YTD" localSheetId="31">[2]Hidden!#REF!</definedName>
    <definedName name="ACT_YTD" localSheetId="13">[2]Hidden!#REF!</definedName>
    <definedName name="ACT_YTD">[2]Hidden!#REF!</definedName>
    <definedName name="AmountCount" localSheetId="31">#REF!</definedName>
    <definedName name="AmountCount" localSheetId="13">#REF!</definedName>
    <definedName name="AmountCount">#REF!</definedName>
    <definedName name="AmountTotal" localSheetId="31">#REF!</definedName>
    <definedName name="AmountTotal" localSheetId="13">#REF!</definedName>
    <definedName name="AmountTotal">#REF!</definedName>
    <definedName name="averaging" localSheetId="31">#REF!</definedName>
    <definedName name="averaging" localSheetId="13">#REF!</definedName>
    <definedName name="averaging">#REF!</definedName>
    <definedName name="BREMAIR_COST_of_SERVICE_STUDY" localSheetId="31">#REF!</definedName>
    <definedName name="BREMAIR_COST_of_SERVICE_STUDY" localSheetId="13">#REF!</definedName>
    <definedName name="BREMAIR_COST_of_SERVICE_STUDY">#REF!</definedName>
    <definedName name="BUD_CUR" localSheetId="31">[2]Hidden!#REF!</definedName>
    <definedName name="BUD_CUR" localSheetId="13">[2]Hidden!#REF!</definedName>
    <definedName name="BUD_CUR">[2]Hidden!#REF!</definedName>
    <definedName name="BUD_YTD" localSheetId="31">[2]Hidden!#REF!</definedName>
    <definedName name="BUD_YTD" localSheetId="13">[2]Hidden!#REF!</definedName>
    <definedName name="BUD_YTD">[2]Hidden!#REF!</definedName>
    <definedName name="BUN">[6]WTB!$DD$5</definedName>
    <definedName name="Calc" localSheetId="31">[6]WTB!#REF!</definedName>
    <definedName name="Calc" localSheetId="13">[6]WTB!#REF!</definedName>
    <definedName name="Calc">[6]WTB!#REF!</definedName>
    <definedName name="Calc0" localSheetId="31">[6]WTB!#REF!</definedName>
    <definedName name="Calc0" localSheetId="13">[6]WTB!#REF!</definedName>
    <definedName name="Calc0">[6]WTB!#REF!</definedName>
    <definedName name="Calc1" localSheetId="31">[6]WTB!#REF!</definedName>
    <definedName name="Calc1" localSheetId="13">[6]WTB!#REF!</definedName>
    <definedName name="Calc1">[6]WTB!#REF!</definedName>
    <definedName name="Calc10" localSheetId="31">[6]WTB!#REF!</definedName>
    <definedName name="Calc10" localSheetId="13">[6]WTB!#REF!</definedName>
    <definedName name="Calc10">[6]WTB!#REF!</definedName>
    <definedName name="Calc11" localSheetId="31">[6]WTB!#REF!</definedName>
    <definedName name="Calc11" localSheetId="13">[6]WTB!#REF!</definedName>
    <definedName name="Calc11">[6]WTB!#REF!</definedName>
    <definedName name="Calc12" localSheetId="31">[6]WTB!#REF!</definedName>
    <definedName name="Calc12" localSheetId="13">[6]WTB!#REF!</definedName>
    <definedName name="Calc12">[6]WTB!#REF!</definedName>
    <definedName name="Calc13" localSheetId="31">[6]WTB!#REF!</definedName>
    <definedName name="Calc13" localSheetId="13">[6]WTB!#REF!</definedName>
    <definedName name="Calc13">[6]WTB!#REF!</definedName>
    <definedName name="Calc14" localSheetId="31">[6]WTB!#REF!</definedName>
    <definedName name="Calc14" localSheetId="13">[6]WTB!#REF!</definedName>
    <definedName name="Calc14">[6]WTB!#REF!</definedName>
    <definedName name="Calc15" localSheetId="31">[6]WTB!#REF!</definedName>
    <definedName name="Calc15" localSheetId="13">[6]WTB!#REF!</definedName>
    <definedName name="Calc15">[6]WTB!#REF!</definedName>
    <definedName name="Calc16" localSheetId="31">[6]WTB!#REF!</definedName>
    <definedName name="Calc16" localSheetId="13">[6]WTB!#REF!</definedName>
    <definedName name="Calc16">[6]WTB!#REF!</definedName>
    <definedName name="Calc17" localSheetId="31">[6]WTB!#REF!</definedName>
    <definedName name="Calc17" localSheetId="13">[6]WTB!#REF!</definedName>
    <definedName name="Calc17">[6]WTB!#REF!</definedName>
    <definedName name="Calc18" localSheetId="31">[6]WTB!#REF!</definedName>
    <definedName name="Calc18" localSheetId="13">[6]WTB!#REF!</definedName>
    <definedName name="Calc18">[6]WTB!#REF!</definedName>
    <definedName name="Calc2" localSheetId="31">[6]WTB!#REF!</definedName>
    <definedName name="Calc2" localSheetId="13">[6]WTB!#REF!</definedName>
    <definedName name="Calc2">[6]WTB!#REF!</definedName>
    <definedName name="Calc3" localSheetId="31">[6]WTB!#REF!</definedName>
    <definedName name="Calc3" localSheetId="13">[6]WTB!#REF!</definedName>
    <definedName name="Calc3">[6]WTB!#REF!</definedName>
    <definedName name="Calc4" localSheetId="31">[6]WTB!#REF!</definedName>
    <definedName name="Calc4" localSheetId="13">[6]WTB!#REF!</definedName>
    <definedName name="Calc4">[6]WTB!#REF!</definedName>
    <definedName name="Calc5" localSheetId="31">[6]WTB!#REF!</definedName>
    <definedName name="Calc5" localSheetId="13">[6]WTB!#REF!</definedName>
    <definedName name="Calc5">[6]WTB!#REF!</definedName>
    <definedName name="Calc6" localSheetId="31">[6]WTB!#REF!</definedName>
    <definedName name="Calc6" localSheetId="13">[6]WTB!#REF!</definedName>
    <definedName name="Calc6">[6]WTB!#REF!</definedName>
    <definedName name="Calc7" localSheetId="31">[6]WTB!#REF!</definedName>
    <definedName name="Calc7" localSheetId="13">[6]WTB!#REF!</definedName>
    <definedName name="Calc7">[6]WTB!#REF!</definedName>
    <definedName name="Calc8" localSheetId="31">[6]WTB!#REF!</definedName>
    <definedName name="Calc8" localSheetId="13">[6]WTB!#REF!</definedName>
    <definedName name="Calc8">[6]WTB!#REF!</definedName>
    <definedName name="Calc9" localSheetId="31">[6]WTB!#REF!</definedName>
    <definedName name="Calc9" localSheetId="13">[6]WTB!#REF!</definedName>
    <definedName name="Calc9">[6]WTB!#REF!</definedName>
    <definedName name="CanCartTons">[7]CanCartTonsAllocate!$E$3</definedName>
    <definedName name="CheckTotals" localSheetId="31">#REF!</definedName>
    <definedName name="CheckTotals" localSheetId="13">#REF!</definedName>
    <definedName name="CheckTotals">#REF!</definedName>
    <definedName name="CoCanTons">[8]Cust_Count1!$M$28</definedName>
    <definedName name="CoComYd">'[8]Gross Yardage Worksheet'!$L$16</definedName>
    <definedName name="CoCustCnt" localSheetId="31">#REF!</definedName>
    <definedName name="CoCustCnt" localSheetId="13">#REF!</definedName>
    <definedName name="CoCustCnt">#REF!</definedName>
    <definedName name="colgroup">[1]Orientation!$G$6</definedName>
    <definedName name="colsegment">[1]Orientation!$F$6</definedName>
    <definedName name="CoMultiYd">'[8]Gross Yardage Worksheet'!$L$31</definedName>
    <definedName name="ContainerTons">[7]ContainerTonsAllocation!$E$2</definedName>
    <definedName name="COST_OF_SERVICE_STUDY" localSheetId="31">#REF!</definedName>
    <definedName name="COST_OF_SERVICE_STUDY" localSheetId="13">#REF!</definedName>
    <definedName name="COST_OF_SERVICE_STUDY">#REF!</definedName>
    <definedName name="CoXtraYds" localSheetId="31">#REF!</definedName>
    <definedName name="CoXtraYds" localSheetId="13">#REF!</definedName>
    <definedName name="CoXtraYds">#REF!</definedName>
    <definedName name="CR" localSheetId="31">#REF!</definedName>
    <definedName name="CR" localSheetId="13">#REF!</definedName>
    <definedName name="CR">#REF!</definedName>
    <definedName name="CRCTable" localSheetId="31">#REF!</definedName>
    <definedName name="CRCTable" localSheetId="13">#REF!</definedName>
    <definedName name="CRCTable">#REF!</definedName>
    <definedName name="CRCTableOLD" localSheetId="31">#REF!</definedName>
    <definedName name="CRCTableOLD" localSheetId="13">#REF!</definedName>
    <definedName name="CRCTableOLD">#REF!</definedName>
    <definedName name="CriteriaType">[9]ControlPanel!$Z$2:$Z$5</definedName>
    <definedName name="CtyCanTons">[8]Cust_Count1!$N$28</definedName>
    <definedName name="CtyComYd">'[8]Gross Yardage Worksheet'!$L$49</definedName>
    <definedName name="CtyCustCnt" localSheetId="31">#REF!</definedName>
    <definedName name="CtyCustCnt" localSheetId="13">#REF!</definedName>
    <definedName name="CtyCustCnt">#REF!</definedName>
    <definedName name="CtyMultiYd">'[8]Gross Yardage Worksheet'!$L$64</definedName>
    <definedName name="CtyXtraYds" localSheetId="31">#REF!</definedName>
    <definedName name="CtyXtraYds" localSheetId="13">#REF!</definedName>
    <definedName name="CtyXtraYds">#REF!</definedName>
    <definedName name="CURRENCY">'[6]Balance Sheet'!$AD$8</definedName>
    <definedName name="Cutomers" localSheetId="31">#REF!</definedName>
    <definedName name="Cutomers" localSheetId="13">#REF!</definedName>
    <definedName name="Cutomers">#REF!</definedName>
    <definedName name="_xlnm.Database">DEPN2K!$A$1</definedName>
    <definedName name="Database_MI">DEPN2K!$A$1</definedName>
    <definedName name="Database1" localSheetId="31">#REF!</definedName>
    <definedName name="Database1" localSheetId="13">#REF!</definedName>
    <definedName name="Database1">#REF!</definedName>
    <definedName name="DateFrom">'[10]Finance Charges'!$I$12</definedName>
    <definedName name="DateTo">'[10]Finance Charges'!$I$13</definedName>
    <definedName name="Debt_Rate" localSheetId="27">'New LG Chelan - MSW'!$K$27</definedName>
    <definedName name="Debt_Rate" localSheetId="28">'New LG Chelan - Recyc'!$K$27</definedName>
    <definedName name="Debt_Rate" localSheetId="26">'New LG Total'!$K$27</definedName>
    <definedName name="Debt_Rate" localSheetId="29">'New LG Total Douglas'!$K$27</definedName>
    <definedName name="Debt_Rate" localSheetId="30">'New LG Total Okanogan'!$K$27</definedName>
    <definedName name="debtP" localSheetId="31">#REF!</definedName>
    <definedName name="debtP" localSheetId="27">'New LG Chelan - MSW'!$I$27</definedName>
    <definedName name="debtP" localSheetId="28">'New LG Chelan - Recyc'!$I$27</definedName>
    <definedName name="debtP" localSheetId="26">'New LG Total'!$I$27</definedName>
    <definedName name="debtP" localSheetId="29">'New LG Total Douglas'!$I$27</definedName>
    <definedName name="debtP" localSheetId="30">'New LG Total Okanogan'!$I$27</definedName>
    <definedName name="debtP" localSheetId="13">#REF!</definedName>
    <definedName name="debtP">#REF!</definedName>
    <definedName name="DEPT" localSheetId="31">[2]Hidden!#REF!</definedName>
    <definedName name="DEPT" localSheetId="13">[2]Hidden!#REF!</definedName>
    <definedName name="DEPT">[2]Hidden!#REF!</definedName>
    <definedName name="DetailBudYear" localSheetId="31">#REF!</definedName>
    <definedName name="DetailBudYear" localSheetId="13">#REF!</definedName>
    <definedName name="DetailBudYear">#REF!</definedName>
    <definedName name="DetailDistrict" localSheetId="31">#REF!</definedName>
    <definedName name="DetailDistrict" localSheetId="13">#REF!</definedName>
    <definedName name="DetailDistrict">#REF!</definedName>
    <definedName name="DistrictNum" localSheetId="31">#REF!</definedName>
    <definedName name="DistrictNum" localSheetId="13">#REF!</definedName>
    <definedName name="DistrictNum">#REF!</definedName>
    <definedName name="drlFilter">[1]Settings!$D$27</definedName>
    <definedName name="End" localSheetId="31">#REF!</definedName>
    <definedName name="End" localSheetId="13">#REF!</definedName>
    <definedName name="End">#REF!</definedName>
    <definedName name="EntrieShownLimit">'[10]Finance Charges'!$D$6</definedName>
    <definedName name="Equity_percent" localSheetId="27">'New LG Chelan - MSW'!$T$58</definedName>
    <definedName name="Equity_percent" localSheetId="28">'New LG Chelan - Recyc'!$S$58</definedName>
    <definedName name="Equity_percent" localSheetId="26">'New LG Total'!$S$58</definedName>
    <definedName name="Equity_percent" localSheetId="29">'New LG Total Douglas'!$S$58</definedName>
    <definedName name="Equity_percent" localSheetId="30">'New LG Total Okanogan'!$S$58</definedName>
    <definedName name="equityP" localSheetId="27">'New LG Chelan - MSW'!$I$26</definedName>
    <definedName name="equityP" localSheetId="28">'New LG Chelan - Recyc'!$I$26</definedName>
    <definedName name="equityP" localSheetId="26">'New LG Total'!$I$26</definedName>
    <definedName name="equityP" localSheetId="29">'New LG Total Douglas'!$I$26</definedName>
    <definedName name="equityP" localSheetId="30">'New LG Total Okanogan'!$I$26</definedName>
    <definedName name="expenses" localSheetId="27">'New LG Chelan - MSW'!$I$8</definedName>
    <definedName name="expenses" localSheetId="28">'New LG Chelan - Recyc'!$I$8</definedName>
    <definedName name="expenses" localSheetId="26">'New LG Total'!$I$8</definedName>
    <definedName name="expenses" localSheetId="29">'New LG Total Douglas'!$I$8</definedName>
    <definedName name="expenses" localSheetId="30">'New LG Total Okanogan'!$I$8</definedName>
    <definedName name="FBTable" localSheetId="31">#REF!</definedName>
    <definedName name="FBTable" localSheetId="13">#REF!</definedName>
    <definedName name="FBTable">#REF!</definedName>
    <definedName name="FBTableOld" localSheetId="31">#REF!</definedName>
    <definedName name="FBTableOld" localSheetId="13">#REF!</definedName>
    <definedName name="FBTableOld">#REF!</definedName>
    <definedName name="fences" localSheetId="31">#REF!</definedName>
    <definedName name="fences" localSheetId="13">#REF!</definedName>
    <definedName name="fences">#REF!</definedName>
    <definedName name="FICA">'[11]Tax &amp; Ben'!$H$6</definedName>
    <definedName name="filter">[1]Settings!$B$14:$H$25</definedName>
    <definedName name="Financial" localSheetId="31">[6]WTB!#REF!</definedName>
    <definedName name="Financial" localSheetId="13">[6]WTB!#REF!</definedName>
    <definedName name="Financial">[6]WTB!#REF!</definedName>
    <definedName name="FirstColCriteria" localSheetId="31">[6]WTB!#REF!</definedName>
    <definedName name="FirstColCriteria" localSheetId="13">[6]WTB!#REF!</definedName>
    <definedName name="FirstColCriteria">[6]WTB!#REF!</definedName>
    <definedName name="FirstHeaderCriteria" localSheetId="31">[6]WTB!#REF!</definedName>
    <definedName name="FirstHeaderCriteria" localSheetId="13">[6]WTB!#REF!</definedName>
    <definedName name="FirstHeaderCriteria">[6]WTB!#REF!</definedName>
    <definedName name="flag" localSheetId="31">[6]WTB!#REF!</definedName>
    <definedName name="flag" localSheetId="13">[6]WTB!#REF!</definedName>
    <definedName name="flag">[6]WTB!#REF!</definedName>
    <definedName name="g" localSheetId="31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13">#REF!</definedName>
    <definedName name="g">#REF!</definedName>
    <definedName name="gg" localSheetId="31">#REF!</definedName>
    <definedName name="gg" localSheetId="27">#REF!</definedName>
    <definedName name="gg" localSheetId="28">#REF!</definedName>
    <definedName name="gg" localSheetId="29">#REF!</definedName>
    <definedName name="gg" localSheetId="30">#REF!</definedName>
    <definedName name="gg" localSheetId="13">#REF!</definedName>
    <definedName name="gg">#REF!</definedName>
    <definedName name="ggg" localSheetId="31">#REF!</definedName>
    <definedName name="ggg" localSheetId="27">#REF!</definedName>
    <definedName name="ggg" localSheetId="28">#REF!</definedName>
    <definedName name="ggg" localSheetId="29">#REF!</definedName>
    <definedName name="ggg" localSheetId="30">#REF!</definedName>
    <definedName name="ggg" localSheetId="13">#REF!</definedName>
    <definedName name="ggg">#REF!</definedName>
    <definedName name="ggggg" localSheetId="31">#REF!</definedName>
    <definedName name="ggggg" localSheetId="27">#REF!</definedName>
    <definedName name="ggggg" localSheetId="28">#REF!</definedName>
    <definedName name="ggggg" localSheetId="29">#REF!</definedName>
    <definedName name="ggggg" localSheetId="30">#REF!</definedName>
    <definedName name="ggggg" localSheetId="13">#REF!</definedName>
    <definedName name="ggggg">#REF!</definedName>
    <definedName name="gggggg" localSheetId="31">#REF!</definedName>
    <definedName name="gggggg" localSheetId="27">#REF!</definedName>
    <definedName name="gggggg" localSheetId="28">#REF!</definedName>
    <definedName name="gggggg" localSheetId="29">#REF!</definedName>
    <definedName name="gggggg" localSheetId="30">#REF!</definedName>
    <definedName name="gggggg" localSheetId="13">#REF!</definedName>
    <definedName name="gggggg">#REF!</definedName>
    <definedName name="GLMappingStart" localSheetId="31">#REF!</definedName>
    <definedName name="GLMappingStart" localSheetId="13">#REF!</definedName>
    <definedName name="GLMappingStart">#REF!</definedName>
    <definedName name="GRETABLE">[12]Gresham!$E$12:$AI$261</definedName>
    <definedName name="IncomeStmnt" localSheetId="31">#REF!</definedName>
    <definedName name="IncomeStmnt" localSheetId="13">#REF!</definedName>
    <definedName name="IncomeStmnt">#REF!</definedName>
    <definedName name="INPUT" localSheetId="31">#REF!</definedName>
    <definedName name="INPUT" localSheetId="27">'New LG Chelan - MSW'!#REF!</definedName>
    <definedName name="INPUT" localSheetId="28">'New LG Chelan - Recyc'!#REF!</definedName>
    <definedName name="INPUT" localSheetId="26">'New LG Total'!#REF!</definedName>
    <definedName name="INPUT" localSheetId="29">'New LG Total Douglas'!#REF!</definedName>
    <definedName name="INPUT" localSheetId="30">'New LG Total Okanogan'!#REF!</definedName>
    <definedName name="INPUT" localSheetId="13">#REF!</definedName>
    <definedName name="INPUT">#REF!</definedName>
    <definedName name="INPUT1" localSheetId="31">#REF!</definedName>
    <definedName name="INPUT1" localSheetId="13">#REF!</definedName>
    <definedName name="INPUT1">#REF!</definedName>
    <definedName name="INPUTc" localSheetId="31">#REF!</definedName>
    <definedName name="INPUTc" localSheetId="27">#REF!</definedName>
    <definedName name="INPUTc" localSheetId="28">#REF!</definedName>
    <definedName name="INPUTc" localSheetId="26">#REF!</definedName>
    <definedName name="INPUTc" localSheetId="29">#REF!</definedName>
    <definedName name="INPUTc" localSheetId="30">#REF!</definedName>
    <definedName name="INPUTc" localSheetId="13">#REF!</definedName>
    <definedName name="INPUTc">#REF!</definedName>
    <definedName name="InsertColRange" localSheetId="31">[6]WTB!#REF!</definedName>
    <definedName name="InsertColRange" localSheetId="13">[6]WTB!#REF!</definedName>
    <definedName name="InsertColRange">[6]WTB!#REF!</definedName>
    <definedName name="Insurance" localSheetId="31">#REF!</definedName>
    <definedName name="Insurance" localSheetId="13">#REF!</definedName>
    <definedName name="Insurance">#REF!</definedName>
    <definedName name="inter2">'[13]LG Nonpublic 2018 V5.0'!$W$55</definedName>
    <definedName name="intercept" localSheetId="31">#REF!</definedName>
    <definedName name="intercept" localSheetId="13">#REF!</definedName>
    <definedName name="intercept">#REF!</definedName>
    <definedName name="Investment" localSheetId="27">'New LG Chelan - MSW'!$J$28</definedName>
    <definedName name="Investment" localSheetId="28">'New LG Chelan - Recyc'!$J$28</definedName>
    <definedName name="Investment" localSheetId="26">'New LG Total'!$J$28</definedName>
    <definedName name="Investment" localSheetId="29">'New LG Total Douglas'!$J$28</definedName>
    <definedName name="Investment" localSheetId="30">'New LG Total Okanogan'!$J$28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>'[14]5. BDI Gen Ledger Table'!$J$2:$J$4682</definedName>
    <definedName name="IS_Lines">'[14]6. V Lookup Tables'!$B$3:$D$401</definedName>
    <definedName name="JEDetail" localSheetId="31">#REF!</definedName>
    <definedName name="JEDetail" localSheetId="13">#REF!</definedName>
    <definedName name="JEDetail">#REF!</definedName>
    <definedName name="JEType" localSheetId="31">#REF!</definedName>
    <definedName name="JEType" localSheetId="13">#REF!</definedName>
    <definedName name="JEType">#REF!</definedName>
    <definedName name="Juris1CanCount">[7]Cust_Count1!$C$60</definedName>
    <definedName name="Juris1CanTons">[7]Cust_Count1!$C$30</definedName>
    <definedName name="Juris1ComYd">'[7]Gross Yardage Worksheet'!$L$16</definedName>
    <definedName name="Juris1CustCnt">[7]Cust_Count2!$E$39</definedName>
    <definedName name="Juris1MultiYd">'[7]Gross Yardage Worksheet'!$X$16</definedName>
    <definedName name="Juris1SeasonalYds">'[7]Gross Yardage Worksheet'!$R$18</definedName>
    <definedName name="Juris1XtraYds">[7]Cust_Count2!$E$28</definedName>
    <definedName name="Juris2CanCount">[7]Cust_Count1!$D$60</definedName>
    <definedName name="Juris2CanTons">[7]Cust_Count1!$D$30</definedName>
    <definedName name="Juris2ComYd">'[7]Gross Yardage Worksheet'!$L$33</definedName>
    <definedName name="Juris2CustCnt">[7]Cust_Count2!$F$39</definedName>
    <definedName name="Juris2MultiYd">'[7]Gross Yardage Worksheet'!$X$33</definedName>
    <definedName name="Juris2SeasonalYds">'[7]Gross Yardage Worksheet'!$R$35</definedName>
    <definedName name="Juris2XtraYds">[7]Cust_Count2!$F$28</definedName>
    <definedName name="Juris3CanCount">[7]Cust_Count1!$E$60</definedName>
    <definedName name="Juris3CanTons">[7]Cust_Count1!$E$30</definedName>
    <definedName name="Juris3ComYd">'[7]Gross Yardage Worksheet'!$L$51</definedName>
    <definedName name="Juris3CustCnt">[7]Cust_Count2!$G$39</definedName>
    <definedName name="Juris3MultiYd">'[7]Gross Yardage Worksheet'!$X$51</definedName>
    <definedName name="Juris3SeasonalYds">'[7]Gross Yardage Worksheet'!$R$53</definedName>
    <definedName name="Juris3XtraYds">[7]Cust_Count2!$G$28</definedName>
    <definedName name="Juris4CanCount">[7]Cust_Count1!$F$60</definedName>
    <definedName name="Juris4CanTons">[7]Cust_Count1!$F$30</definedName>
    <definedName name="Juris4ComYd">'[7]Gross Yardage Worksheet'!$L$68</definedName>
    <definedName name="Juris4CustCnt">[7]Cust_Count2!$H$39</definedName>
    <definedName name="Juris4MultiYd">'[7]Gross Yardage Worksheet'!$X$68</definedName>
    <definedName name="Juris4SeasonalYds">'[7]Gross Yardage Worksheet'!$R$70</definedName>
    <definedName name="Juris4XtraYds">[7]Cust_Count2!$H$28</definedName>
    <definedName name="Juris5CanCount">[7]Cust_Count1!$G$60</definedName>
    <definedName name="Juris5CanTons">[7]Cust_Count1!$G$30</definedName>
    <definedName name="Juris5ComYD">'[7]Gross Yardage Worksheet'!$L$85</definedName>
    <definedName name="Juris5CustCnt">[7]Cust_Count2!$I$39</definedName>
    <definedName name="Juris5MultiYd">'[7]Gross Yardage Worksheet'!$X$85</definedName>
    <definedName name="Juris5SeasonalYds">'[7]Gross Yardage Worksheet'!$R$87</definedName>
    <definedName name="Juris5XtraYds">[7]Cust_Count2!$I$28</definedName>
    <definedName name="Jurisdiction_1">'[7]Title Inputs'!$C$5</definedName>
    <definedName name="Jurisdiction_2">'[7]Title Inputs'!$C$6</definedName>
    <definedName name="Jurisdiction_3">'[7]Title Inputs'!$C$7</definedName>
    <definedName name="Jurisdiction_4">'[7]Title Inputs'!$C$8</definedName>
    <definedName name="Jurisdiction_5">'[7]Title Inputs'!$C$9</definedName>
    <definedName name="lblBillAreaStatus" localSheetId="31">#REF!</definedName>
    <definedName name="lblBillAreaStatus" localSheetId="13">#REF!</definedName>
    <definedName name="lblBillAreaStatus">#REF!</definedName>
    <definedName name="lblBillCycleStatus" localSheetId="31">#REF!</definedName>
    <definedName name="lblBillCycleStatus" localSheetId="13">#REF!</definedName>
    <definedName name="lblBillCycleStatus">#REF!</definedName>
    <definedName name="lblCategoryStatus" localSheetId="31">#REF!</definedName>
    <definedName name="lblCategoryStatus" localSheetId="13">#REF!</definedName>
    <definedName name="lblCategoryStatus">#REF!</definedName>
    <definedName name="lblCompanyStatus" localSheetId="31">#REF!</definedName>
    <definedName name="lblCompanyStatus" localSheetId="13">#REF!</definedName>
    <definedName name="lblCompanyStatus">#REF!</definedName>
    <definedName name="lblDatabaseStatus" localSheetId="31">#REF!</definedName>
    <definedName name="lblDatabaseStatus" localSheetId="13">#REF!</definedName>
    <definedName name="lblDatabaseStatus">#REF!</definedName>
    <definedName name="lblPullStatus" localSheetId="31">#REF!</definedName>
    <definedName name="lblPullStatus" localSheetId="13">#REF!</definedName>
    <definedName name="lblPullStatus">#REF!</definedName>
    <definedName name="level" localSheetId="31">#REF!</definedName>
    <definedName name="level" localSheetId="13">#REF!</definedName>
    <definedName name="level">#REF!</definedName>
    <definedName name="lllllllllllllllllllll" localSheetId="31">#REF!</definedName>
    <definedName name="lllllllllllllllllllll" localSheetId="13">#REF!</definedName>
    <definedName name="lllllllllllllllllllll">#REF!</definedName>
    <definedName name="LU_Line" localSheetId="31">#REF!</definedName>
    <definedName name="LU_Line" localSheetId="13">#REF!</definedName>
    <definedName name="LU_Line">#REF!</definedName>
    <definedName name="MainDataEnd" localSheetId="31">#REF!</definedName>
    <definedName name="MainDataEnd" localSheetId="13">#REF!</definedName>
    <definedName name="MainDataEnd">#REF!</definedName>
    <definedName name="MainDataStart" localSheetId="31">#REF!</definedName>
    <definedName name="MainDataStart" localSheetId="13">#REF!</definedName>
    <definedName name="MainDataStart">#REF!</definedName>
    <definedName name="MapKeyStart" localSheetId="31">#REF!</definedName>
    <definedName name="MapKeyStart" localSheetId="13">#REF!</definedName>
    <definedName name="MapKeyStart">#REF!</definedName>
    <definedName name="master_def" localSheetId="31">#REF!</definedName>
    <definedName name="master_def" localSheetId="13">#REF!</definedName>
    <definedName name="master_def">#REF!</definedName>
    <definedName name="MetaSet">[1]Orientation!$C$22</definedName>
    <definedName name="Month" localSheetId="31">#REF!</definedName>
    <definedName name="Month" localSheetId="13">#REF!</definedName>
    <definedName name="Month">#REF!</definedName>
    <definedName name="NewOnlyOrg">#N/A</definedName>
    <definedName name="NOTES" localSheetId="31">#REF!</definedName>
    <definedName name="NOTES" localSheetId="13">#REF!</definedName>
    <definedName name="NOTES">#REF!</definedName>
    <definedName name="number" localSheetId="31">#REF!</definedName>
    <definedName name="number" localSheetId="13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 localSheetId="31">#REF!</definedName>
    <definedName name="observations" localSheetId="13">#REF!</definedName>
    <definedName name="observations">#REF!</definedName>
    <definedName name="OfficerSalary">#N/A</definedName>
    <definedName name="OffsetAcctBil">[15]JEexport!$L$10</definedName>
    <definedName name="OffsetAcctPmt">[15]JEexport!$L$9</definedName>
    <definedName name="Org11_13">#N/A</definedName>
    <definedName name="Org7_10">#N/A</definedName>
    <definedName name="OthCanTons">[8]Cust_Count1!$O$28</definedName>
    <definedName name="OthComYd">'[8]Gross Yardage Worksheet'!$L$82</definedName>
    <definedName name="OthCustCnt" localSheetId="31">#REF!</definedName>
    <definedName name="OthCustCnt" localSheetId="13">#REF!</definedName>
    <definedName name="OthCustCnt">#REF!</definedName>
    <definedName name="OthMultiYd">'[8]Gross Yardage Worksheet'!$L$98</definedName>
    <definedName name="OthXtraYds" localSheetId="31">#REF!</definedName>
    <definedName name="OthXtraYds" localSheetId="13">#REF!</definedName>
    <definedName name="OthXtraYds">#REF!</definedName>
    <definedName name="outliercut" localSheetId="31">#REF!</definedName>
    <definedName name="outliercut" localSheetId="13">#REF!</definedName>
    <definedName name="outliercut">#REF!</definedName>
    <definedName name="p" localSheetId="31">#REF!</definedName>
    <definedName name="p" localSheetId="13">#REF!</definedName>
    <definedName name="p">#REF!</definedName>
    <definedName name="PAGE_1">DEPN2K!$A$1:$AA$39</definedName>
    <definedName name="Page10" localSheetId="31">#REF!</definedName>
    <definedName name="Page10" localSheetId="13">#REF!</definedName>
    <definedName name="Page10">#REF!</definedName>
    <definedName name="Page10a" localSheetId="31">#REF!</definedName>
    <definedName name="Page10a" localSheetId="13">#REF!</definedName>
    <definedName name="Page10a">#REF!</definedName>
    <definedName name="page11" localSheetId="31">#REF!</definedName>
    <definedName name="page11" localSheetId="13">#REF!</definedName>
    <definedName name="page11">#REF!</definedName>
    <definedName name="page12" localSheetId="31">#REF!</definedName>
    <definedName name="page12" localSheetId="13">#REF!</definedName>
    <definedName name="page12">#REF!</definedName>
    <definedName name="Page20" localSheetId="31">#REF!</definedName>
    <definedName name="Page20" localSheetId="13">#REF!</definedName>
    <definedName name="Page20">#REF!</definedName>
    <definedName name="page7" localSheetId="31">#REF!</definedName>
    <definedName name="page7" localSheetId="13">#REF!</definedName>
    <definedName name="page7">#REF!</definedName>
    <definedName name="pBatchID" localSheetId="31">#REF!</definedName>
    <definedName name="pBatchID" localSheetId="13">#REF!</definedName>
    <definedName name="pBatchID">#REF!</definedName>
    <definedName name="pBillArea" localSheetId="31">#REF!</definedName>
    <definedName name="pBillArea" localSheetId="13">#REF!</definedName>
    <definedName name="pBillArea">#REF!</definedName>
    <definedName name="pBillCycle" localSheetId="31">#REF!</definedName>
    <definedName name="pBillCycle" localSheetId="13">#REF!</definedName>
    <definedName name="pBillCycle">#REF!</definedName>
    <definedName name="pCategory" localSheetId="31">#REF!</definedName>
    <definedName name="pCategory" localSheetId="13">#REF!</definedName>
    <definedName name="pCategory">#REF!</definedName>
    <definedName name="pCompany" localSheetId="31">#REF!</definedName>
    <definedName name="pCompany" localSheetId="13">#REF!</definedName>
    <definedName name="pCompany">#REF!</definedName>
    <definedName name="pCustomerNumber" localSheetId="31">#REF!</definedName>
    <definedName name="pCustomerNumber" localSheetId="13">#REF!</definedName>
    <definedName name="pCustomerNumber">#REF!</definedName>
    <definedName name="pDatabase" localSheetId="31">#REF!</definedName>
    <definedName name="pDatabase" localSheetId="13">#REF!</definedName>
    <definedName name="pDatabase">#REF!</definedName>
    <definedName name="pEndPostDate" localSheetId="31">#REF!</definedName>
    <definedName name="pEndPostDate" localSheetId="13">#REF!</definedName>
    <definedName name="pEndPostDate">#REF!</definedName>
    <definedName name="PER">[6]WTB!$DC$5</definedName>
    <definedName name="Period" localSheetId="31">#REF!</definedName>
    <definedName name="Period" localSheetId="13">#REF!</definedName>
    <definedName name="Period">#REF!</definedName>
    <definedName name="Pfd_weighted" localSheetId="27">'New LG Chelan - MSW'!$V$57</definedName>
    <definedName name="Pfd_weighted" localSheetId="28">'New LG Chelan - Recyc'!$U$57</definedName>
    <definedName name="Pfd_weighted" localSheetId="26">'New LG Total'!$U$57</definedName>
    <definedName name="Pfd_weighted" localSheetId="29">'New LG Total Douglas'!$U$57</definedName>
    <definedName name="Pfd_weighted" localSheetId="30">'New LG Total Okanogan'!$U$57</definedName>
    <definedName name="pMonth" localSheetId="31">#REF!</definedName>
    <definedName name="pMonth" localSheetId="13">#REF!</definedName>
    <definedName name="pMonth">#REF!</definedName>
    <definedName name="pOnlyShowLastTranx" localSheetId="31">#REF!</definedName>
    <definedName name="pOnlyShowLastTranx" localSheetId="13">#REF!</definedName>
    <definedName name="pOnlyShowLastTranx">#REF!</definedName>
    <definedName name="ppemeasurement" localSheetId="31">#REF!</definedName>
    <definedName name="ppemeasurement" localSheetId="13">#REF!</definedName>
    <definedName name="ppemeasurement">#REF!</definedName>
    <definedName name="primtbl">[1]Orientation!$C$23</definedName>
    <definedName name="_xlnm.Print_Area" localSheetId="23">'Allocations-Hours &amp; Miles'!$A$1:$P$86</definedName>
    <definedName name="_xlnm.Print_Area" localSheetId="50">'Bridgeport Service Counts'!$A$1:$V$49</definedName>
    <definedName name="_xlnm.Print_Area" localSheetId="22">DEPN2K!$B$1:$AB$361</definedName>
    <definedName name="_xlnm.Print_Area" localSheetId="32">'Lurito Old-Chelan'!$A$1:$I$34</definedName>
    <definedName name="_xlnm.Print_Area" localSheetId="33">'Lurito Old-Douglas'!$A$1:$I$35</definedName>
    <definedName name="_xlnm.Print_Area" localSheetId="34">'Lurito Old-Okanogan'!$A$1:$I$33</definedName>
    <definedName name="_xlnm.Print_Area" localSheetId="31">'Lurito-Company Old'!$A$1:$I$35</definedName>
    <definedName name="_xlnm.Print_Area" localSheetId="0">'Monthy Income Statements'!$A$1:$X$118</definedName>
    <definedName name="_xlnm.Print_Area" localSheetId="27">'New LG Chelan - MSW'!$B$1:$Q$49</definedName>
    <definedName name="_xlnm.Print_Area" localSheetId="28">'New LG Chelan - Recyc'!$B$1:$P$49</definedName>
    <definedName name="_xlnm.Print_Area" localSheetId="26">'New LG Total'!$A$1:$N$49</definedName>
    <definedName name="_xlnm.Print_Area" localSheetId="29">'New LG Total Douglas'!$F$2:$N$49</definedName>
    <definedName name="_xlnm.Print_Area" localSheetId="30">'New LG Total Okanogan'!$F$2:$N$49</definedName>
    <definedName name="_xlnm.Print_Area" localSheetId="49">'Pateros Service Counts'!$A$1:$V$42</definedName>
    <definedName name="_xlnm.Print_Area" localSheetId="13">'Priceout-Chelan'!$A$1:$K$85</definedName>
    <definedName name="_xlnm.Print_Area" localSheetId="14">'Priceout-Douglas'!$A$1:$K$71</definedName>
    <definedName name="_xlnm.Print_Area" localSheetId="15">'Priceout-Okanogan'!$A$1:$K$71</definedName>
    <definedName name="_xlnm.Print_Area" localSheetId="1">'Results of Operations Co'!$A$1:$P$110</definedName>
    <definedName name="_xlnm.Print_Area" localSheetId="2">'Results of Operations Regulated'!$A$1:$L$109</definedName>
    <definedName name="_xlnm.Print_Area" localSheetId="48">'Service Count Data'!$A$8:$O$276</definedName>
    <definedName name="_xlnm.Print_Area" localSheetId="40">'Service Counts'!$A$1:$AG$99</definedName>
    <definedName name="_xlnm.Print_Area" localSheetId="5">'Wage Summary'!$A$1:$R$55</definedName>
    <definedName name="_xlnm.Print_Area" localSheetId="25">'Wutc Balance Sheet'!$A$1:$P$228</definedName>
    <definedName name="_xlnm.Print_Area">DEPN2K!$A$1:$AA$39</definedName>
    <definedName name="Print_Area_MI" localSheetId="27">#REF!</definedName>
    <definedName name="Print_Area_MI" localSheetId="28">#REF!</definedName>
    <definedName name="Print_Area_MI" localSheetId="26">#REF!</definedName>
    <definedName name="Print_Area_MI" localSheetId="29">#REF!</definedName>
    <definedName name="Print_Area_MI" localSheetId="30">#REF!</definedName>
    <definedName name="Print_Area_MI">DEPN2K!$A$1:$AA$39</definedName>
    <definedName name="Print_Area_MIc" localSheetId="31">#REF!</definedName>
    <definedName name="Print_Area_MIc" localSheetId="27">#REF!</definedName>
    <definedName name="Print_Area_MIc" localSheetId="28">#REF!</definedName>
    <definedName name="Print_Area_MIc" localSheetId="26">#REF!</definedName>
    <definedName name="Print_Area_MIc" localSheetId="29">#REF!</definedName>
    <definedName name="Print_Area_MIc" localSheetId="30">#REF!</definedName>
    <definedName name="Print_Area_MIc" localSheetId="13">#REF!</definedName>
    <definedName name="Print_Area_MIc">#REF!</definedName>
    <definedName name="Print_Area1" localSheetId="31">#REF!</definedName>
    <definedName name="Print_Area1" localSheetId="13">#REF!</definedName>
    <definedName name="Print_Area1">#REF!</definedName>
    <definedName name="Print_Area2" localSheetId="31">#REF!</definedName>
    <definedName name="Print_Area2" localSheetId="13">#REF!</definedName>
    <definedName name="Print_Area2">#REF!</definedName>
    <definedName name="Print_Area3" localSheetId="31">#REF!</definedName>
    <definedName name="Print_Area3" localSheetId="13">#REF!</definedName>
    <definedName name="Print_Area3">#REF!</definedName>
    <definedName name="Print_Area5" localSheetId="31">#REF!</definedName>
    <definedName name="Print_Area5" localSheetId="13">#REF!</definedName>
    <definedName name="Print_Area5">#REF!</definedName>
    <definedName name="_xlnm.Print_Titles" localSheetId="40">'Service Counts'!$A:$B,'Service Counts'!$1:$8</definedName>
    <definedName name="Print1" localSheetId="31">#REF!</definedName>
    <definedName name="Print1" localSheetId="13">#REF!</definedName>
    <definedName name="Print1">#REF!</definedName>
    <definedName name="Print2" localSheetId="31">#REF!</definedName>
    <definedName name="Print2" localSheetId="13">#REF!</definedName>
    <definedName name="Print2">#REF!</definedName>
    <definedName name="Print5" localSheetId="31">#REF!</definedName>
    <definedName name="Print5" localSheetId="13">#REF!</definedName>
    <definedName name="Print5">#REF!</definedName>
    <definedName name="ProF">'[14]5. BDI Gen Ledger Table'!$K$2:$K$4682</definedName>
    <definedName name="pServer" localSheetId="31">#REF!</definedName>
    <definedName name="pServer" localSheetId="13">#REF!</definedName>
    <definedName name="pServer">#REF!</definedName>
    <definedName name="pServiceCode" localSheetId="31">#REF!</definedName>
    <definedName name="pServiceCode" localSheetId="13">#REF!</definedName>
    <definedName name="pServiceCode">#REF!</definedName>
    <definedName name="pShowAllUnposted" localSheetId="31">#REF!</definedName>
    <definedName name="pShowAllUnposted" localSheetId="13">#REF!</definedName>
    <definedName name="pShowAllUnposted">#REF!</definedName>
    <definedName name="pShowCustomerDetail" localSheetId="31">#REF!</definedName>
    <definedName name="pShowCustomerDetail" localSheetId="13">#REF!</definedName>
    <definedName name="pShowCustomerDetail">#REF!</definedName>
    <definedName name="pSortOption" localSheetId="31">#REF!</definedName>
    <definedName name="pSortOption" localSheetId="13">#REF!</definedName>
    <definedName name="pSortOption">#REF!</definedName>
    <definedName name="pStartPostDate" localSheetId="31">#REF!</definedName>
    <definedName name="pStartPostDate" localSheetId="13">#REF!</definedName>
    <definedName name="pStartPostDate">#REF!</definedName>
    <definedName name="pTransType" localSheetId="31">#REF!</definedName>
    <definedName name="pTransType" localSheetId="13">#REF!</definedName>
    <definedName name="pTransType">#REF!</definedName>
    <definedName name="range" localSheetId="31">#REF!</definedName>
    <definedName name="range" localSheetId="13">#REF!</definedName>
    <definedName name="range">#REF!</definedName>
    <definedName name="RCW_81.04.080">#N/A</definedName>
    <definedName name="RecyDisposal">#N/A</definedName>
    <definedName name="regDebt_weighted" localSheetId="27">'New LG Chelan - MSW'!$V$56</definedName>
    <definedName name="regDebt_weighted" localSheetId="28">'New LG Chelan - Recyc'!$U$56</definedName>
    <definedName name="regDebt_weighted" localSheetId="26">'New LG Total'!$U$56</definedName>
    <definedName name="regDebt_weighted" localSheetId="29">'New LG Total Douglas'!$U$56</definedName>
    <definedName name="regDebt_weighted" localSheetId="30">'New LG Total Okanogan'!$U$56</definedName>
    <definedName name="RelatedSalary">#N/A</definedName>
    <definedName name="report_type">[1]Orientation!$C$24</definedName>
    <definedName name="Reporting_Jurisdiction">'[7]Title Inputs'!$C$4</definedName>
    <definedName name="ReportNames">[16]ControlPanel!$S$2:$S$16</definedName>
    <definedName name="ReportVersion">[1]Settings!$D$5</definedName>
    <definedName name="RetainedEarnings" localSheetId="31">#REF!</definedName>
    <definedName name="RetainedEarnings" localSheetId="13">#REF!</definedName>
    <definedName name="RetainedEarnings">#REF!</definedName>
    <definedName name="RevCust" localSheetId="31">[17]RevenuesCust!#REF!</definedName>
    <definedName name="RevCust" localSheetId="13">[17]RevenuesCust!#REF!</definedName>
    <definedName name="RevCust">[17]RevenuesCust!#REF!</definedName>
    <definedName name="Revenue" localSheetId="27">'New LG Chelan - MSW'!$I$7</definedName>
    <definedName name="Revenue" localSheetId="28">'New LG Chelan - Recyc'!$I$7</definedName>
    <definedName name="Revenue" localSheetId="26">'New LG Total'!$I$7</definedName>
    <definedName name="Revenue" localSheetId="29">'New LG Total Douglas'!$I$7</definedName>
    <definedName name="Revenue" localSheetId="30">'New LG Total Okanogan'!$I$7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FD">[6]WTB!$DE$5</definedName>
    <definedName name="SFV">[6]WTB!$DE$4</definedName>
    <definedName name="SFV_CUR1">'[6]2008 West Group IS'!$AM$9</definedName>
    <definedName name="SFV_CUR5">'[6]2008 Group Office IS'!$AM$9</definedName>
    <definedName name="SIC_Table" localSheetId="31">#REF!</definedName>
    <definedName name="SIC_Table" localSheetId="13">#REF!</definedName>
    <definedName name="SIC_Table">#REF!</definedName>
    <definedName name="sics" localSheetId="31">#REF!</definedName>
    <definedName name="sics" localSheetId="13">#REF!</definedName>
    <definedName name="sics">#REF!</definedName>
    <definedName name="slope" localSheetId="31">#REF!</definedName>
    <definedName name="slope" localSheetId="27">'New LG Chelan - MSW'!$Z$58</definedName>
    <definedName name="slope" localSheetId="28">'New LG Chelan - Recyc'!$Y$58</definedName>
    <definedName name="slope" localSheetId="26">'New LG Total'!$Y$58</definedName>
    <definedName name="slope" localSheetId="29">'New LG Total Douglas'!$Y$58</definedName>
    <definedName name="slope" localSheetId="30">'New LG Total Okanogan'!$Y$58</definedName>
    <definedName name="slope" localSheetId="13">#REF!</definedName>
    <definedName name="slope">#REF!</definedName>
    <definedName name="SLOPE1">'[13]LG Nonpublic 2018 V5.0'!$X$58</definedName>
    <definedName name="sortcol" localSheetId="31">#REF!</definedName>
    <definedName name="sortcol" localSheetId="13">#REF!</definedName>
    <definedName name="sortcol">#REF!</definedName>
    <definedName name="SPWS_WBID">"115966228744984"</definedName>
    <definedName name="sSRCDate" localSheetId="31">'[18]Feb''12 FAR Data'!#REF!</definedName>
    <definedName name="sSRCDate" localSheetId="13">'[18]Feb''12 FAR Data'!#REF!</definedName>
    <definedName name="sSRCDate">'[18]Feb''12 FAR Data'!#REF!</definedName>
    <definedName name="ssssss" localSheetId="31">#REF!</definedName>
    <definedName name="ssssss" localSheetId="27">#REF!</definedName>
    <definedName name="ssssss" localSheetId="28">#REF!</definedName>
    <definedName name="ssssss" localSheetId="29">#REF!</definedName>
    <definedName name="ssssss" localSheetId="30">#REF!</definedName>
    <definedName name="ssssss" localSheetId="13">#REF!</definedName>
    <definedName name="ssssss">#REF!</definedName>
    <definedName name="SubSystem" localSheetId="31">#REF!</definedName>
    <definedName name="SubSystem" localSheetId="13">#REF!</definedName>
    <definedName name="SubSystem">#REF!</definedName>
    <definedName name="Supplemental_filter">[1]Settings!$C$31</definedName>
    <definedName name="SWDisposal">#N/A</definedName>
    <definedName name="System">[19]BS_Close!$V$8</definedName>
    <definedName name="Table_SIC" localSheetId="31">#REF!</definedName>
    <definedName name="Table_SIC" localSheetId="13">#REF!</definedName>
    <definedName name="Table_SIC">#REF!</definedName>
    <definedName name="taxrate" localSheetId="27">'New LG Chelan - MSW'!$J$38</definedName>
    <definedName name="taxrate" localSheetId="28">'New LG Chelan - Recyc'!$J$38</definedName>
    <definedName name="taxrate" localSheetId="26">'New LG Total'!$J$38</definedName>
    <definedName name="taxrate" localSheetId="29">'New LG Total Douglas'!$J$38</definedName>
    <definedName name="taxrate" localSheetId="30">'New LG Total Okanogan'!$J$38</definedName>
    <definedName name="TemplateEnd" localSheetId="31">#REF!</definedName>
    <definedName name="TemplateEnd" localSheetId="13">#REF!</definedName>
    <definedName name="TemplateEnd">#REF!</definedName>
    <definedName name="TemplateStart" localSheetId="31">#REF!</definedName>
    <definedName name="TemplateStart" localSheetId="13">#REF!</definedName>
    <definedName name="TemplateStart">#REF!</definedName>
    <definedName name="TheTable" localSheetId="31">#REF!</definedName>
    <definedName name="TheTable" localSheetId="13">#REF!</definedName>
    <definedName name="TheTable">#REF!</definedName>
    <definedName name="TheTableOLD" localSheetId="31">#REF!</definedName>
    <definedName name="TheTableOLD" localSheetId="13">#REF!</definedName>
    <definedName name="TheTableOLD">#REF!</definedName>
    <definedName name="timeseries">[1]Orientation!$B$6:$C$13</definedName>
    <definedName name="Total_Interest">'[20]Amortization Table'!$F$18</definedName>
    <definedName name="TotalYards">'[8]Gross Yardage Worksheet'!$N$101</definedName>
    <definedName name="TOTCONT">'[12]Sorted Master'!$K$9</definedName>
    <definedName name="TOTCRECCONT">'[12]Sorted Master'!$Z$9</definedName>
    <definedName name="TOTCRECCUST" localSheetId="31">'[21]Master IS (C)'!#REF!</definedName>
    <definedName name="TOTCRECCUST" localSheetId="13">'[21]Master IS (C)'!#REF!</definedName>
    <definedName name="TOTCRECCUST">'[21]Master IS (C)'!#REF!</definedName>
    <definedName name="TOTCRECDH" localSheetId="31">'[21]Master IS (C)'!#REF!</definedName>
    <definedName name="TOTCRECDH" localSheetId="13">'[21]Master IS (C)'!#REF!</definedName>
    <definedName name="TOTCRECDH">'[21]Master IS (C)'!#REF!</definedName>
    <definedName name="TOTCRECREV" localSheetId="31">'[21]Master IS (C)'!#REF!</definedName>
    <definedName name="TOTCRECREV" localSheetId="13">'[21]Master IS (C)'!#REF!</definedName>
    <definedName name="TOTCRECREV">'[21]Master IS (C)'!#REF!</definedName>
    <definedName name="TOTCRECTDEP" localSheetId="31">'[21]Master IS (C)'!#REF!</definedName>
    <definedName name="TOTCRECTDEP" localSheetId="13">'[21]Master IS (C)'!#REF!</definedName>
    <definedName name="TOTCRECTDEP">'[21]Master IS (C)'!#REF!</definedName>
    <definedName name="TOTCRECTH">'[12]Sorted Master'!$Z$8</definedName>
    <definedName name="TOTCRECTV" localSheetId="31">'[21]Master IS (C)'!#REF!</definedName>
    <definedName name="TOTCRECTV" localSheetId="13">'[21]Master IS (C)'!#REF!</definedName>
    <definedName name="TOTCRECTV">'[21]Master IS (C)'!#REF!</definedName>
    <definedName name="TOTCUST" localSheetId="31">'[21]Master IS (C)'!#REF!</definedName>
    <definedName name="TOTCUST" localSheetId="13">'[21]Master IS (C)'!#REF!</definedName>
    <definedName name="TOTCUST">'[21]Master IS (C)'!#REF!</definedName>
    <definedName name="TOTDBCONT" localSheetId="31">'[21]Master IS (C)'!#REF!</definedName>
    <definedName name="TOTDBCONT" localSheetId="13">'[21]Master IS (C)'!#REF!</definedName>
    <definedName name="TOTDBCONT">'[21]Master IS (C)'!#REF!</definedName>
    <definedName name="TOTDBCUST" localSheetId="31">'[21]Master IS (C)'!#REF!</definedName>
    <definedName name="TOTDBCUST" localSheetId="13">'[21]Master IS (C)'!#REF!</definedName>
    <definedName name="TOTDBCUST">'[21]Master IS (C)'!#REF!</definedName>
    <definedName name="TOTDBDH" localSheetId="31">'[21]Master IS (C)'!#REF!</definedName>
    <definedName name="TOTDBDH" localSheetId="13">'[21]Master IS (C)'!#REF!</definedName>
    <definedName name="TOTDBDH">'[21]Master IS (C)'!#REF!</definedName>
    <definedName name="TOTDBREV" localSheetId="31">'[21]Master IS (C)'!#REF!</definedName>
    <definedName name="TOTDBREV" localSheetId="13">'[21]Master IS (C)'!#REF!</definedName>
    <definedName name="TOTDBREV">'[21]Master IS (C)'!#REF!</definedName>
    <definedName name="TOTDBTDEP" localSheetId="31">'[21]Master IS (C)'!#REF!</definedName>
    <definedName name="TOTDBTDEP" localSheetId="13">'[21]Master IS (C)'!#REF!</definedName>
    <definedName name="TOTDBTDEP">'[21]Master IS (C)'!#REF!</definedName>
    <definedName name="TOTDBTH" localSheetId="31">'[21]Master IS (C)'!#REF!</definedName>
    <definedName name="TOTDBTH" localSheetId="13">'[21]Master IS (C)'!#REF!</definedName>
    <definedName name="TOTDBTH">'[21]Master IS (C)'!#REF!</definedName>
    <definedName name="TOTDBTV" localSheetId="31">'[21]Master IS (C)'!#REF!</definedName>
    <definedName name="TOTDBTV" localSheetId="13">'[21]Master IS (C)'!#REF!</definedName>
    <definedName name="TOTDBTV">'[21]Master IS (C)'!#REF!</definedName>
    <definedName name="TOTDEBCONT" localSheetId="31">'[21]Master IS (C)'!#REF!</definedName>
    <definedName name="TOTDEBCONT" localSheetId="13">'[21]Master IS (C)'!#REF!</definedName>
    <definedName name="TOTDEBCONT">'[21]Master IS (C)'!#REF!</definedName>
    <definedName name="TOTDEBCUST" localSheetId="31">'[21]Master IS (C)'!#REF!</definedName>
    <definedName name="TOTDEBCUST" localSheetId="13">'[21]Master IS (C)'!#REF!</definedName>
    <definedName name="TOTDEBCUST">'[21]Master IS (C)'!#REF!</definedName>
    <definedName name="TOTDEBDH" localSheetId="31">'[21]Master IS (C)'!#REF!</definedName>
    <definedName name="TOTDEBDH" localSheetId="13">'[21]Master IS (C)'!#REF!</definedName>
    <definedName name="TOTDEBDH">'[21]Master IS (C)'!#REF!</definedName>
    <definedName name="TOTDEBREV" localSheetId="31">'[21]Master IS (C)'!#REF!</definedName>
    <definedName name="TOTDEBREV" localSheetId="13">'[21]Master IS (C)'!#REF!</definedName>
    <definedName name="TOTDEBREV">'[21]Master IS (C)'!#REF!</definedName>
    <definedName name="TOTDEBTH">'[12]Sorted Master'!$AD$8</definedName>
    <definedName name="TOTDH" localSheetId="31">'[21]Master IS (C)'!#REF!</definedName>
    <definedName name="TOTDH" localSheetId="13">'[21]Master IS (C)'!#REF!</definedName>
    <definedName name="TOTDH">'[21]Master IS (C)'!#REF!</definedName>
    <definedName name="TOTFELCONT" localSheetId="31">'[21]Master IS (C)'!#REF!</definedName>
    <definedName name="TOTFELCONT" localSheetId="13">'[21]Master IS (C)'!#REF!</definedName>
    <definedName name="TOTFELCONT">'[21]Master IS (C)'!#REF!</definedName>
    <definedName name="TOTFELCUST" localSheetId="31">'[21]Master IS (C)'!#REF!</definedName>
    <definedName name="TOTFELCUST" localSheetId="13">'[21]Master IS (C)'!#REF!</definedName>
    <definedName name="TOTFELCUST">'[21]Master IS (C)'!#REF!</definedName>
    <definedName name="TOTFELDH" localSheetId="31">'[21]Master IS (C)'!#REF!</definedName>
    <definedName name="TOTFELDH" localSheetId="13">'[21]Master IS (C)'!#REF!</definedName>
    <definedName name="TOTFELDH">'[21]Master IS (C)'!#REF!</definedName>
    <definedName name="TOTFELREV" localSheetId="31">'[21]Master IS (C)'!#REF!</definedName>
    <definedName name="TOTFELREV" localSheetId="13">'[21]Master IS (C)'!#REF!</definedName>
    <definedName name="TOTFELREV">'[21]Master IS (C)'!#REF!</definedName>
    <definedName name="TOTFELTDEP" localSheetId="31">'[21]Master IS (C)'!#REF!</definedName>
    <definedName name="TOTFELTDEP" localSheetId="13">'[21]Master IS (C)'!#REF!</definedName>
    <definedName name="TOTFELTDEP">'[21]Master IS (C)'!#REF!</definedName>
    <definedName name="TOTFELTH" localSheetId="31">'[21]Master IS (C)'!#REF!</definedName>
    <definedName name="TOTFELTH" localSheetId="13">'[21]Master IS (C)'!#REF!</definedName>
    <definedName name="TOTFELTH">'[21]Master IS (C)'!#REF!</definedName>
    <definedName name="TOTFELTV" localSheetId="31">'[21]Master IS (C)'!#REF!</definedName>
    <definedName name="TOTFELTV" localSheetId="13">'[21]Master IS (C)'!#REF!</definedName>
    <definedName name="TOTFELTV">'[21]Master IS (C)'!#REF!</definedName>
    <definedName name="TOTRESCONT" localSheetId="31">'[21]Master IS (C)'!#REF!</definedName>
    <definedName name="TOTRESCONT" localSheetId="13">'[21]Master IS (C)'!#REF!</definedName>
    <definedName name="TOTRESCONT">'[21]Master IS (C)'!#REF!</definedName>
    <definedName name="TOTRESCUST" localSheetId="31">'[21]Master IS (C)'!#REF!</definedName>
    <definedName name="TOTRESCUST" localSheetId="13">'[21]Master IS (C)'!#REF!</definedName>
    <definedName name="TOTRESCUST">'[21]Master IS (C)'!#REF!</definedName>
    <definedName name="TOTRESDH" localSheetId="31">'[21]Master IS (C)'!#REF!</definedName>
    <definedName name="TOTRESDH" localSheetId="13">'[21]Master IS (C)'!#REF!</definedName>
    <definedName name="TOTRESDH">'[21]Master IS (C)'!#REF!</definedName>
    <definedName name="TOTRESRCONT" localSheetId="31">'[21]Master IS (C)'!#REF!</definedName>
    <definedName name="TOTRESRCONT" localSheetId="13">'[21]Master IS (C)'!#REF!</definedName>
    <definedName name="TOTRESRCONT">'[21]Master IS (C)'!#REF!</definedName>
    <definedName name="TOTRESRCUST" localSheetId="31">'[21]Master IS (C)'!#REF!</definedName>
    <definedName name="TOTRESRCUST" localSheetId="13">'[21]Master IS (C)'!#REF!</definedName>
    <definedName name="TOTRESRCUST">'[21]Master IS (C)'!#REF!</definedName>
    <definedName name="TOTRESRDH" localSheetId="31">'[21]Master IS (C)'!#REF!</definedName>
    <definedName name="TOTRESRDH" localSheetId="13">'[21]Master IS (C)'!#REF!</definedName>
    <definedName name="TOTRESRDH">'[21]Master IS (C)'!#REF!</definedName>
    <definedName name="TOTRESREV" localSheetId="31">'[21]Master IS (C)'!#REF!</definedName>
    <definedName name="TOTRESREV" localSheetId="13">'[21]Master IS (C)'!#REF!</definedName>
    <definedName name="TOTRESREV">'[21]Master IS (C)'!#REF!</definedName>
    <definedName name="TOTRESRREV" localSheetId="31">'[21]Master IS (C)'!#REF!</definedName>
    <definedName name="TOTRESRREV" localSheetId="13">'[21]Master IS (C)'!#REF!</definedName>
    <definedName name="TOTRESRREV">'[21]Master IS (C)'!#REF!</definedName>
    <definedName name="TOTRESRTDEP" localSheetId="31">'[21]Master IS (C)'!#REF!</definedName>
    <definedName name="TOTRESRTDEP" localSheetId="13">'[21]Master IS (C)'!#REF!</definedName>
    <definedName name="TOTRESRTDEP">'[21]Master IS (C)'!#REF!</definedName>
    <definedName name="TOTRESRTH" localSheetId="31">'[21]Master IS (C)'!#REF!</definedName>
    <definedName name="TOTRESRTH" localSheetId="13">'[21]Master IS (C)'!#REF!</definedName>
    <definedName name="TOTRESRTH">'[21]Master IS (C)'!#REF!</definedName>
    <definedName name="TOTRESRTV" localSheetId="31">'[21]Master IS (C)'!#REF!</definedName>
    <definedName name="TOTRESRTV" localSheetId="13">'[21]Master IS (C)'!#REF!</definedName>
    <definedName name="TOTRESRTV">'[21]Master IS (C)'!#REF!</definedName>
    <definedName name="TOTRESTDEP" localSheetId="31">'[21]Master IS (C)'!#REF!</definedName>
    <definedName name="TOTRESTDEP" localSheetId="13">'[21]Master IS (C)'!#REF!</definedName>
    <definedName name="TOTRESTDEP">'[21]Master IS (C)'!#REF!</definedName>
    <definedName name="TOTRESTH" localSheetId="31">'[21]Master IS (C)'!#REF!</definedName>
    <definedName name="TOTRESTH" localSheetId="13">'[21]Master IS (C)'!#REF!</definedName>
    <definedName name="TOTRESTH">'[21]Master IS (C)'!#REF!</definedName>
    <definedName name="TOTRESTV" localSheetId="31">'[21]Master IS (C)'!#REF!</definedName>
    <definedName name="TOTRESTV" localSheetId="13">'[21]Master IS (C)'!#REF!</definedName>
    <definedName name="TOTRESTV">'[21]Master IS (C)'!#REF!</definedName>
    <definedName name="TOTREV" localSheetId="31">'[21]Master IS (C)'!#REF!</definedName>
    <definedName name="TOTREV" localSheetId="13">'[21]Master IS (C)'!#REF!</definedName>
    <definedName name="TOTREV">'[21]Master IS (C)'!#REF!</definedName>
    <definedName name="TOTTDEP" localSheetId="31">'[21]Master IS (C)'!#REF!</definedName>
    <definedName name="TOTTDEP" localSheetId="13">'[21]Master IS (C)'!#REF!</definedName>
    <definedName name="TOTTDEP">'[21]Master IS (C)'!#REF!</definedName>
    <definedName name="TOTTH" localSheetId="31">'[21]Master IS (C)'!#REF!</definedName>
    <definedName name="TOTTH" localSheetId="13">'[21]Master IS (C)'!#REF!</definedName>
    <definedName name="TOTTH">'[21]Master IS (C)'!#REF!</definedName>
    <definedName name="TOTTV" localSheetId="31">'[21]Master IS (C)'!#REF!</definedName>
    <definedName name="TOTTV" localSheetId="13">'[21]Master IS (C)'!#REF!</definedName>
    <definedName name="TOTTV">'[21]Master IS (C)'!#REF!</definedName>
    <definedName name="Transactions" localSheetId="31">#REF!</definedName>
    <definedName name="Transactions" localSheetId="13">#REF!</definedName>
    <definedName name="Transactions">#REF!</definedName>
    <definedName name="trx_total">'[14]5. BDI Gen Ledger Table'!$N$2:$N$4682</definedName>
    <definedName name="UnformattedIS" localSheetId="31">#REF!</definedName>
    <definedName name="UnformattedIS" localSheetId="13">#REF!</definedName>
    <definedName name="UnformattedIS">#REF!</definedName>
    <definedName name="ValidFormats">[3]Delivery!$AA$4:$AA$10</definedName>
    <definedName name="WksInYr" localSheetId="31">#REF!</definedName>
    <definedName name="WksInYr" localSheetId="13">#REF!</definedName>
    <definedName name="WksInYr">#REF!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 localSheetId="31">#REF!</definedName>
    <definedName name="WTable" localSheetId="13">#REF!</definedName>
    <definedName name="WTable">#REF!</definedName>
    <definedName name="WTableOld" localSheetId="31">#REF!</definedName>
    <definedName name="WTableOld" localSheetId="13">#REF!</definedName>
    <definedName name="WTableOld">#REF!</definedName>
    <definedName name="xperiod">[1]Orientation!$G$15</definedName>
    <definedName name="xtabin" localSheetId="31">[2]Hidden!#REF!</definedName>
    <definedName name="xtabin" localSheetId="13">[2]Hidden!#REF!</definedName>
    <definedName name="xtabin">[2]Hidden!#REF!</definedName>
    <definedName name="xx" localSheetId="31">#REF!</definedName>
    <definedName name="xx" localSheetId="13">#REF!</definedName>
    <definedName name="xx">#REF!</definedName>
    <definedName name="y_inter1" localSheetId="31">#REF!</definedName>
    <definedName name="y_inter1" localSheetId="27">'New LG Chelan - MSW'!$Y$55</definedName>
    <definedName name="y_inter1" localSheetId="28">'New LG Chelan - Recyc'!$X$55</definedName>
    <definedName name="y_inter1" localSheetId="26">'New LG Total'!$X$55</definedName>
    <definedName name="y_inter1" localSheetId="29">'New LG Total Douglas'!$X$55</definedName>
    <definedName name="y_inter1" localSheetId="30">'New LG Total Okanogan'!$X$55</definedName>
    <definedName name="y_inter1" localSheetId="13">#REF!</definedName>
    <definedName name="y_inter1">#REF!</definedName>
    <definedName name="y_inter2" localSheetId="31">#REF!</definedName>
    <definedName name="y_inter2" localSheetId="27">'New LG Chelan - MSW'!$Y$56</definedName>
    <definedName name="y_inter2" localSheetId="28">'New LG Chelan - Recyc'!$X$56</definedName>
    <definedName name="y_inter2" localSheetId="26">'New LG Total'!$X$56</definedName>
    <definedName name="y_inter2" localSheetId="29">'New LG Total Douglas'!$X$56</definedName>
    <definedName name="y_inter2" localSheetId="30">'New LG Total Okanogan'!$X$56</definedName>
    <definedName name="y_inter2" localSheetId="13">#REF!</definedName>
    <definedName name="y_inter2">#REF!</definedName>
    <definedName name="y_inter3" localSheetId="31">#REF!</definedName>
    <definedName name="y_inter3" localSheetId="27">'New LG Chelan - MSW'!$AA$55</definedName>
    <definedName name="y_inter3" localSheetId="28">'New LG Chelan - Recyc'!$Z$55</definedName>
    <definedName name="y_inter3" localSheetId="26">'New LG Total'!$Z$55</definedName>
    <definedName name="y_inter3" localSheetId="29">'New LG Total Douglas'!$Z$55</definedName>
    <definedName name="y_inter3" localSheetId="30">'New LG Total Okanogan'!$Z$55</definedName>
    <definedName name="y_inter3" localSheetId="13">#REF!</definedName>
    <definedName name="y_inter3">#REF!</definedName>
    <definedName name="y_inter4" localSheetId="31">#REF!</definedName>
    <definedName name="y_inter4" localSheetId="27">'New LG Chelan - MSW'!$AA$56</definedName>
    <definedName name="y_inter4" localSheetId="28">'New LG Chelan - Recyc'!$Z$56</definedName>
    <definedName name="y_inter4" localSheetId="26">'New LG Total'!$Z$56</definedName>
    <definedName name="y_inter4" localSheetId="29">'New LG Total Douglas'!$Z$56</definedName>
    <definedName name="y_inter4" localSheetId="30">'New LG Total Okanogan'!$Z$56</definedName>
    <definedName name="y_inter4" localSheetId="13">#REF!</definedName>
    <definedName name="y_inter4">#REF!</definedName>
    <definedName name="Year">'[22]Aug Av. Fuel Price'!$E$15</definedName>
    <definedName name="Year_of_Review">'[7]Title Inputs'!$C$3</definedName>
    <definedName name="years" localSheetId="31">#REF!</definedName>
    <definedName name="years" localSheetId="13">#REF!</definedName>
    <definedName name="years">#REF!</definedName>
    <definedName name="YR_PD">'[14]5. BDI Gen Ledger Table'!$Q$2:$Q$4682</definedName>
    <definedName name="YWMedWasteDisp">#N/A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49" l="1"/>
  <c r="S29" i="49"/>
  <c r="T27" i="49"/>
  <c r="S27" i="49"/>
  <c r="T26" i="49"/>
  <c r="S26" i="49"/>
  <c r="T25" i="49"/>
  <c r="S25" i="49"/>
  <c r="T24" i="49"/>
  <c r="S24" i="49"/>
  <c r="T23" i="49"/>
  <c r="S23" i="49"/>
  <c r="T22" i="49"/>
  <c r="S22" i="49"/>
  <c r="T21" i="49"/>
  <c r="S21" i="49"/>
  <c r="T20" i="49"/>
  <c r="S20" i="49"/>
  <c r="T19" i="49"/>
  <c r="S19" i="49"/>
  <c r="T18" i="49"/>
  <c r="S18" i="49"/>
  <c r="T16" i="49"/>
  <c r="S16" i="49"/>
  <c r="T15" i="49"/>
  <c r="S15" i="49"/>
  <c r="T14" i="49"/>
  <c r="S14" i="49"/>
  <c r="T13" i="49"/>
  <c r="S13" i="49"/>
  <c r="T12" i="49"/>
  <c r="S12" i="49"/>
  <c r="D75" i="100" l="1"/>
  <c r="D74" i="100"/>
  <c r="D69" i="100"/>
  <c r="L69" i="100" s="1"/>
  <c r="D68" i="100"/>
  <c r="D67" i="100"/>
  <c r="L67" i="100" s="1"/>
  <c r="D66" i="100"/>
  <c r="L66" i="100" s="1"/>
  <c r="D65" i="100"/>
  <c r="L65" i="100" s="1"/>
  <c r="D64" i="100"/>
  <c r="L64" i="100" s="1"/>
  <c r="D63" i="100"/>
  <c r="L63" i="100" s="1"/>
  <c r="D62" i="100"/>
  <c r="D61" i="100"/>
  <c r="D60" i="100"/>
  <c r="L60" i="100" s="1"/>
  <c r="D59" i="100"/>
  <c r="L59" i="100" s="1"/>
  <c r="D58" i="100"/>
  <c r="D57" i="100"/>
  <c r="L57" i="100" s="1"/>
  <c r="L48" i="100"/>
  <c r="D53" i="100"/>
  <c r="L53" i="100" s="1"/>
  <c r="D52" i="100"/>
  <c r="D51" i="100"/>
  <c r="L51" i="100" s="1"/>
  <c r="D50" i="100"/>
  <c r="L50" i="100" s="1"/>
  <c r="D49" i="100"/>
  <c r="L49" i="100" s="1"/>
  <c r="D48" i="100"/>
  <c r="D47" i="100"/>
  <c r="D46" i="100"/>
  <c r="L46" i="100" s="1"/>
  <c r="D45" i="100"/>
  <c r="L45" i="100" s="1"/>
  <c r="D44" i="100"/>
  <c r="D43" i="100"/>
  <c r="D42" i="100"/>
  <c r="L42" i="100" s="1"/>
  <c r="D41" i="100"/>
  <c r="L41" i="100" s="1"/>
  <c r="D40" i="100"/>
  <c r="L40" i="100" s="1"/>
  <c r="D39" i="100"/>
  <c r="L39" i="100" s="1"/>
  <c r="D38" i="100"/>
  <c r="L38" i="100" s="1"/>
  <c r="D33" i="100"/>
  <c r="L33" i="100" s="1"/>
  <c r="D32" i="100"/>
  <c r="D31" i="100"/>
  <c r="L31" i="100" s="1"/>
  <c r="D30" i="100"/>
  <c r="L30" i="100" s="1"/>
  <c r="D29" i="100"/>
  <c r="L29" i="100" s="1"/>
  <c r="D28" i="100"/>
  <c r="L28" i="100" s="1"/>
  <c r="D27" i="100"/>
  <c r="D26" i="100"/>
  <c r="D25" i="100"/>
  <c r="L25" i="100" s="1"/>
  <c r="D24" i="100"/>
  <c r="D23" i="100"/>
  <c r="L23" i="100" s="1"/>
  <c r="D22" i="100"/>
  <c r="L22" i="100" s="1"/>
  <c r="D21" i="100"/>
  <c r="D20" i="100"/>
  <c r="D19" i="100"/>
  <c r="L19" i="100" s="1"/>
  <c r="D18" i="100"/>
  <c r="L18" i="100" s="1"/>
  <c r="D17" i="100"/>
  <c r="L17" i="100" s="1"/>
  <c r="D16" i="100"/>
  <c r="L16" i="100" s="1"/>
  <c r="D15" i="100"/>
  <c r="L15" i="100" s="1"/>
  <c r="D14" i="100"/>
  <c r="D13" i="100"/>
  <c r="D12" i="100"/>
  <c r="L12" i="100" s="1"/>
  <c r="D11" i="100"/>
  <c r="A75" i="100"/>
  <c r="A74" i="100"/>
  <c r="A73" i="100"/>
  <c r="A72" i="100"/>
  <c r="A69" i="100"/>
  <c r="A68" i="100"/>
  <c r="A67" i="100"/>
  <c r="A66" i="100"/>
  <c r="A65" i="100"/>
  <c r="A64" i="100"/>
  <c r="A63" i="100"/>
  <c r="A62" i="100"/>
  <c r="A61" i="100"/>
  <c r="A60" i="100"/>
  <c r="A59" i="100"/>
  <c r="A58" i="100"/>
  <c r="A57" i="100"/>
  <c r="A56" i="100"/>
  <c r="A53" i="100"/>
  <c r="A52" i="100"/>
  <c r="A51" i="100"/>
  <c r="A50" i="100"/>
  <c r="A49" i="100"/>
  <c r="A48" i="100"/>
  <c r="A47" i="100"/>
  <c r="A46" i="100"/>
  <c r="A45" i="100"/>
  <c r="A44" i="100"/>
  <c r="A43" i="100"/>
  <c r="A42" i="100"/>
  <c r="A41" i="100"/>
  <c r="A40" i="100"/>
  <c r="A39" i="100"/>
  <c r="A38" i="100"/>
  <c r="A37" i="100"/>
  <c r="A33" i="100"/>
  <c r="A32" i="100"/>
  <c r="A31" i="100"/>
  <c r="A30" i="100"/>
  <c r="A29" i="100"/>
  <c r="A28" i="100"/>
  <c r="A27" i="100"/>
  <c r="A26" i="100"/>
  <c r="A25" i="100"/>
  <c r="A24" i="100"/>
  <c r="A23" i="100"/>
  <c r="A22" i="100"/>
  <c r="A21" i="100"/>
  <c r="A20" i="100"/>
  <c r="A19" i="100"/>
  <c r="A18" i="100"/>
  <c r="A17" i="100"/>
  <c r="A16" i="100"/>
  <c r="A15" i="100"/>
  <c r="A14" i="100"/>
  <c r="A13" i="100"/>
  <c r="A12" i="100"/>
  <c r="A11" i="100"/>
  <c r="A3" i="15"/>
  <c r="L75" i="100"/>
  <c r="L52" i="100"/>
  <c r="L44" i="100"/>
  <c r="L24" i="100"/>
  <c r="L20" i="100"/>
  <c r="L11" i="100"/>
  <c r="L68" i="100" l="1"/>
  <c r="L74" i="100"/>
  <c r="L47" i="100"/>
  <c r="L26" i="100"/>
  <c r="L58" i="100"/>
  <c r="L27" i="100"/>
  <c r="L32" i="100"/>
  <c r="L43" i="100"/>
  <c r="L14" i="100"/>
  <c r="L13" i="100"/>
  <c r="L21" i="100"/>
  <c r="L61" i="100"/>
  <c r="L62" i="100"/>
  <c r="A5" i="39" l="1"/>
  <c r="AP36" i="99"/>
  <c r="AO36" i="99"/>
  <c r="AN36" i="99"/>
  <c r="AP35" i="99"/>
  <c r="AO35" i="99"/>
  <c r="AN35" i="99"/>
  <c r="AP34" i="99"/>
  <c r="AO34" i="99"/>
  <c r="AN34" i="99"/>
  <c r="AP33" i="99"/>
  <c r="AO33" i="99"/>
  <c r="AN33" i="99"/>
  <c r="H27" i="99"/>
  <c r="V28" i="10" l="1"/>
  <c r="V33" i="10"/>
  <c r="V32" i="10"/>
  <c r="V27" i="10"/>
  <c r="V26" i="10"/>
  <c r="W32" i="10"/>
  <c r="W28" i="10"/>
  <c r="W27" i="10"/>
  <c r="W26" i="10"/>
  <c r="BD69" i="68"/>
  <c r="V35" i="10" l="1"/>
  <c r="I19" i="10" s="1"/>
  <c r="L284" i="68"/>
  <c r="AG280" i="68"/>
  <c r="AF280" i="68"/>
  <c r="AD280" i="68"/>
  <c r="AC280" i="68"/>
  <c r="Q280" i="68"/>
  <c r="N280" i="68"/>
  <c r="O280" i="68" s="1"/>
  <c r="I280" i="68"/>
  <c r="AE280" i="68" s="1"/>
  <c r="AG279" i="68"/>
  <c r="AF279" i="68"/>
  <c r="AD279" i="68"/>
  <c r="AC279" i="68"/>
  <c r="Q279" i="68"/>
  <c r="N279" i="68"/>
  <c r="O279" i="68" s="1"/>
  <c r="I279" i="68"/>
  <c r="AE279" i="68" s="1"/>
  <c r="L74" i="68"/>
  <c r="L73" i="68"/>
  <c r="AL68" i="68"/>
  <c r="L214" i="68"/>
  <c r="L215" i="68"/>
  <c r="AG211" i="68"/>
  <c r="AF211" i="68"/>
  <c r="AD211" i="68"/>
  <c r="AC211" i="68"/>
  <c r="Q211" i="68"/>
  <c r="N211" i="68"/>
  <c r="O211" i="68" s="1"/>
  <c r="I211" i="68"/>
  <c r="AE211" i="68" s="1"/>
  <c r="AG210" i="68"/>
  <c r="AF210" i="68"/>
  <c r="AD210" i="68"/>
  <c r="AC210" i="68"/>
  <c r="Q210" i="68"/>
  <c r="N210" i="68"/>
  <c r="O210" i="68" s="1"/>
  <c r="I210" i="68"/>
  <c r="AE210" i="68" s="1"/>
  <c r="AG209" i="68"/>
  <c r="AF209" i="68"/>
  <c r="AD209" i="68"/>
  <c r="AC209" i="68"/>
  <c r="Q209" i="68"/>
  <c r="N209" i="68"/>
  <c r="O209" i="68" s="1"/>
  <c r="I209" i="68"/>
  <c r="AE209" i="68" s="1"/>
  <c r="AG208" i="68"/>
  <c r="AF208" i="68"/>
  <c r="AD208" i="68"/>
  <c r="AC208" i="68"/>
  <c r="Q208" i="68"/>
  <c r="N208" i="68"/>
  <c r="O208" i="68" s="1"/>
  <c r="I208" i="68"/>
  <c r="AE208" i="68" s="1"/>
  <c r="BB69" i="68"/>
  <c r="AR69" i="68"/>
  <c r="BA69" i="68" s="1"/>
  <c r="AQ69" i="68"/>
  <c r="AL69" i="68"/>
  <c r="AG70" i="68"/>
  <c r="AF70" i="68"/>
  <c r="AD70" i="68"/>
  <c r="AC70" i="68"/>
  <c r="P70" i="68" s="1"/>
  <c r="T70" i="68" s="1"/>
  <c r="Q70" i="68"/>
  <c r="N70" i="68"/>
  <c r="O70" i="68" s="1"/>
  <c r="I70" i="68"/>
  <c r="AE70" i="68" s="1"/>
  <c r="L39" i="68"/>
  <c r="AG34" i="68"/>
  <c r="AF34" i="68"/>
  <c r="AD34" i="68"/>
  <c r="AC34" i="68"/>
  <c r="Q34" i="68"/>
  <c r="N34" i="68"/>
  <c r="O34" i="68" s="1"/>
  <c r="I34" i="68"/>
  <c r="AE34" i="68" s="1"/>
  <c r="AG33" i="68"/>
  <c r="AF33" i="68"/>
  <c r="AD33" i="68"/>
  <c r="AC33" i="68"/>
  <c r="Q33" i="68"/>
  <c r="N33" i="68"/>
  <c r="O33" i="68" s="1"/>
  <c r="I33" i="68"/>
  <c r="AE33" i="68" s="1"/>
  <c r="F54" i="32"/>
  <c r="F53" i="32"/>
  <c r="I53" i="32" s="1"/>
  <c r="F52" i="32"/>
  <c r="F51" i="32"/>
  <c r="F50" i="32"/>
  <c r="F49" i="32"/>
  <c r="F47" i="32"/>
  <c r="F46" i="32"/>
  <c r="F45" i="32"/>
  <c r="F43" i="32"/>
  <c r="F42" i="32"/>
  <c r="F41" i="32"/>
  <c r="F40" i="32"/>
  <c r="F39" i="32"/>
  <c r="M18" i="32"/>
  <c r="A54" i="36"/>
  <c r="A53" i="36"/>
  <c r="A52" i="36"/>
  <c r="A51" i="36"/>
  <c r="A50" i="36"/>
  <c r="A49" i="36"/>
  <c r="A48" i="36"/>
  <c r="A47" i="36"/>
  <c r="A46" i="36"/>
  <c r="A45" i="36"/>
  <c r="A44" i="36"/>
  <c r="A43" i="36"/>
  <c r="K75" i="39"/>
  <c r="K74" i="39"/>
  <c r="K73" i="39"/>
  <c r="K72" i="39"/>
  <c r="K71" i="39"/>
  <c r="K70" i="39"/>
  <c r="K69" i="39"/>
  <c r="K68" i="39"/>
  <c r="K67" i="39"/>
  <c r="K66" i="39"/>
  <c r="K65" i="39"/>
  <c r="K64" i="39"/>
  <c r="Q44" i="39"/>
  <c r="Q43" i="39"/>
  <c r="Q42" i="39"/>
  <c r="Q4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G51" i="38"/>
  <c r="AA276" i="47"/>
  <c r="AA275" i="47"/>
  <c r="AA274" i="47"/>
  <c r="AA273" i="47"/>
  <c r="AA272" i="47"/>
  <c r="AA271" i="47"/>
  <c r="AA270" i="47"/>
  <c r="AA269" i="47"/>
  <c r="AA268" i="47"/>
  <c r="AA267" i="47"/>
  <c r="AA266" i="47"/>
  <c r="AA265" i="47"/>
  <c r="AA264" i="47"/>
  <c r="AA263" i="47"/>
  <c r="AA262" i="47"/>
  <c r="AA261" i="47"/>
  <c r="AA260" i="47"/>
  <c r="AA259" i="47"/>
  <c r="AA258" i="47"/>
  <c r="AA257" i="47"/>
  <c r="AA256" i="47"/>
  <c r="AA255" i="47"/>
  <c r="AA254" i="47"/>
  <c r="AA253" i="47"/>
  <c r="AA252" i="47"/>
  <c r="AA251" i="47"/>
  <c r="AA250" i="47"/>
  <c r="AA249" i="47"/>
  <c r="AA248" i="47"/>
  <c r="AA247" i="47"/>
  <c r="AA246" i="47"/>
  <c r="AA245" i="47"/>
  <c r="AA244" i="47"/>
  <c r="AA243" i="47"/>
  <c r="AA242" i="47"/>
  <c r="AA241" i="47"/>
  <c r="AA240" i="47"/>
  <c r="AA239" i="47"/>
  <c r="AA238" i="47"/>
  <c r="AA237" i="47"/>
  <c r="AA236" i="47"/>
  <c r="AA235" i="47"/>
  <c r="AA234" i="47"/>
  <c r="AA233" i="47"/>
  <c r="AA232" i="47"/>
  <c r="AA231" i="47"/>
  <c r="AA230" i="47"/>
  <c r="AA229" i="47"/>
  <c r="AA228" i="47"/>
  <c r="AA227" i="47"/>
  <c r="AA226" i="47"/>
  <c r="AA225" i="47"/>
  <c r="AA224" i="47"/>
  <c r="AA223" i="47"/>
  <c r="AA222" i="47"/>
  <c r="AA221" i="47"/>
  <c r="AA220" i="47"/>
  <c r="AA219" i="47"/>
  <c r="AA218" i="47"/>
  <c r="AA217" i="47"/>
  <c r="AA216" i="47"/>
  <c r="AA215" i="47"/>
  <c r="AA214" i="47"/>
  <c r="AA213" i="47"/>
  <c r="AA212" i="47"/>
  <c r="AA211" i="47"/>
  <c r="AA210" i="47"/>
  <c r="AA209" i="47"/>
  <c r="AA208" i="47"/>
  <c r="AA207" i="47"/>
  <c r="AA206" i="47"/>
  <c r="AA205" i="47"/>
  <c r="AA204" i="47"/>
  <c r="AA203" i="47"/>
  <c r="AA202" i="47"/>
  <c r="AA201" i="47"/>
  <c r="AA200" i="47"/>
  <c r="AA199" i="47"/>
  <c r="AA198" i="47"/>
  <c r="AA197" i="47"/>
  <c r="AA196" i="47"/>
  <c r="AA195" i="47"/>
  <c r="AA194" i="47"/>
  <c r="AA193" i="47"/>
  <c r="AA192" i="47"/>
  <c r="AA191" i="47"/>
  <c r="AA190" i="47"/>
  <c r="AA189" i="47"/>
  <c r="AA188" i="47"/>
  <c r="AA187" i="47"/>
  <c r="AA186" i="47"/>
  <c r="AA185" i="47"/>
  <c r="AA184" i="47"/>
  <c r="AA183" i="47"/>
  <c r="AA182" i="47"/>
  <c r="AA181" i="47"/>
  <c r="AA180" i="47"/>
  <c r="AA179" i="47"/>
  <c r="AA178" i="47"/>
  <c r="AA177" i="47"/>
  <c r="AA176" i="47"/>
  <c r="AA175" i="47"/>
  <c r="AA174" i="47"/>
  <c r="AA173" i="47"/>
  <c r="AA172" i="47"/>
  <c r="AA171" i="47"/>
  <c r="AA170" i="47"/>
  <c r="AA169" i="47"/>
  <c r="AA168" i="47"/>
  <c r="AA167" i="47"/>
  <c r="AA166" i="47"/>
  <c r="AA165" i="47"/>
  <c r="AA164" i="47"/>
  <c r="AA163" i="47"/>
  <c r="AA162" i="47"/>
  <c r="AA161" i="47"/>
  <c r="AA160" i="47"/>
  <c r="AA159" i="47"/>
  <c r="AA158" i="47"/>
  <c r="AA157" i="47"/>
  <c r="AA156" i="47"/>
  <c r="AA155" i="47"/>
  <c r="AA154" i="47"/>
  <c r="AA153" i="47"/>
  <c r="AA152" i="47"/>
  <c r="AA151" i="47"/>
  <c r="AA150" i="47"/>
  <c r="AA149" i="47"/>
  <c r="AA148" i="47"/>
  <c r="AA147" i="47"/>
  <c r="AA146" i="47"/>
  <c r="AA145" i="47"/>
  <c r="AA144" i="47"/>
  <c r="AA143" i="47"/>
  <c r="AA142" i="47"/>
  <c r="AA141" i="47"/>
  <c r="AA140" i="47"/>
  <c r="AA139" i="47"/>
  <c r="AA138" i="47"/>
  <c r="AA137" i="47"/>
  <c r="AA136" i="47"/>
  <c r="AA135" i="47"/>
  <c r="AA134" i="47"/>
  <c r="AA133" i="47"/>
  <c r="AA132" i="47"/>
  <c r="AA131" i="47"/>
  <c r="AA130" i="47"/>
  <c r="AA129" i="47"/>
  <c r="AA128" i="47"/>
  <c r="AA127" i="47"/>
  <c r="AA126" i="47"/>
  <c r="AA125" i="47"/>
  <c r="AA124" i="47"/>
  <c r="AA123" i="47"/>
  <c r="AA122" i="47"/>
  <c r="AA121" i="47"/>
  <c r="AA120" i="47"/>
  <c r="AA119" i="47"/>
  <c r="AA118" i="47"/>
  <c r="AA117" i="47"/>
  <c r="AA116" i="47"/>
  <c r="AA115" i="47"/>
  <c r="AA114" i="47"/>
  <c r="AA113" i="47"/>
  <c r="AA112" i="47"/>
  <c r="AA111" i="47"/>
  <c r="AA110" i="47"/>
  <c r="AA109" i="47"/>
  <c r="AA108" i="47"/>
  <c r="AA107" i="47"/>
  <c r="AA106" i="47"/>
  <c r="AA105" i="47"/>
  <c r="AA104" i="47"/>
  <c r="AA103" i="47"/>
  <c r="AA102" i="47"/>
  <c r="AA101" i="47"/>
  <c r="AA100" i="47"/>
  <c r="AA99" i="47"/>
  <c r="AA98" i="47"/>
  <c r="AA97" i="47"/>
  <c r="AA96" i="47"/>
  <c r="AA95" i="47"/>
  <c r="AA94" i="47"/>
  <c r="AA93" i="47"/>
  <c r="AA92" i="47"/>
  <c r="AA91" i="47"/>
  <c r="AA90" i="47"/>
  <c r="AA89" i="47"/>
  <c r="AA88" i="47"/>
  <c r="AA87" i="47"/>
  <c r="AA86" i="47"/>
  <c r="AA85" i="47"/>
  <c r="AA84" i="47"/>
  <c r="AA83" i="47"/>
  <c r="AA82" i="47"/>
  <c r="AA81" i="47"/>
  <c r="AA80" i="47"/>
  <c r="AA79" i="47"/>
  <c r="AA78" i="47"/>
  <c r="AA77" i="47"/>
  <c r="AA76" i="47"/>
  <c r="AA75" i="47"/>
  <c r="AA74" i="47"/>
  <c r="AA73" i="47"/>
  <c r="AA72" i="47"/>
  <c r="AA71" i="47"/>
  <c r="AA70" i="47"/>
  <c r="AA69" i="47"/>
  <c r="AA68" i="47"/>
  <c r="AA67" i="47"/>
  <c r="AA66" i="47"/>
  <c r="AA65" i="47"/>
  <c r="AA64" i="47"/>
  <c r="AA63" i="47"/>
  <c r="AA62" i="47"/>
  <c r="AA61" i="47"/>
  <c r="AA60" i="47"/>
  <c r="AA59" i="47"/>
  <c r="AA58" i="47"/>
  <c r="AA57" i="47"/>
  <c r="AA56" i="47"/>
  <c r="AA55" i="47"/>
  <c r="AA54" i="47"/>
  <c r="AA53" i="47"/>
  <c r="AA52" i="47"/>
  <c r="AA51" i="47"/>
  <c r="AA50" i="47"/>
  <c r="AA49" i="47"/>
  <c r="AA48" i="47"/>
  <c r="AA47" i="47"/>
  <c r="AA46" i="47"/>
  <c r="AA45" i="47"/>
  <c r="AA44" i="47"/>
  <c r="AA43" i="47"/>
  <c r="AA42" i="47"/>
  <c r="AA41" i="47"/>
  <c r="AA40" i="47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P280" i="68" l="1"/>
  <c r="T280" i="68" s="1"/>
  <c r="V280" i="68"/>
  <c r="W280" i="68" s="1"/>
  <c r="Y280" i="68" s="1"/>
  <c r="R280" i="68"/>
  <c r="V279" i="68"/>
  <c r="W279" i="68" s="1"/>
  <c r="Y279" i="68" s="1"/>
  <c r="Z279" i="68" s="1"/>
  <c r="AB279" i="68" s="1"/>
  <c r="P279" i="68"/>
  <c r="T279" i="68" s="1"/>
  <c r="P208" i="68"/>
  <c r="T208" i="68" s="1"/>
  <c r="P211" i="68"/>
  <c r="T211" i="68" s="1"/>
  <c r="V211" i="68"/>
  <c r="W211" i="68" s="1"/>
  <c r="Y211" i="68" s="1"/>
  <c r="Z211" i="68" s="1"/>
  <c r="AB211" i="68" s="1"/>
  <c r="V208" i="68"/>
  <c r="W208" i="68" s="1"/>
  <c r="Y208" i="68" s="1"/>
  <c r="Z208" i="68" s="1"/>
  <c r="AB208" i="68" s="1"/>
  <c r="V209" i="68"/>
  <c r="W209" i="68" s="1"/>
  <c r="Y209" i="68" s="1"/>
  <c r="AA208" i="68"/>
  <c r="V210" i="68"/>
  <c r="W210" i="68" s="1"/>
  <c r="Y210" i="68" s="1"/>
  <c r="P209" i="68"/>
  <c r="T209" i="68" s="1"/>
  <c r="P210" i="68"/>
  <c r="T210" i="68" s="1"/>
  <c r="R70" i="68"/>
  <c r="V70" i="68"/>
  <c r="W70" i="68" s="1"/>
  <c r="Y70" i="68" s="1"/>
  <c r="Z70" i="68" s="1"/>
  <c r="AB70" i="68" s="1"/>
  <c r="V34" i="68"/>
  <c r="W34" i="68" s="1"/>
  <c r="Y34" i="68" s="1"/>
  <c r="P34" i="68"/>
  <c r="T34" i="68" s="1"/>
  <c r="V33" i="68"/>
  <c r="W33" i="68" s="1"/>
  <c r="Y33" i="68" s="1"/>
  <c r="P33" i="68"/>
  <c r="T33" i="68" s="1"/>
  <c r="H73" i="44"/>
  <c r="G73" i="44"/>
  <c r="F73" i="44"/>
  <c r="E73" i="44"/>
  <c r="D73" i="44"/>
  <c r="C73" i="44"/>
  <c r="H69" i="44"/>
  <c r="G69" i="44"/>
  <c r="F69" i="44"/>
  <c r="E69" i="44"/>
  <c r="D69" i="44"/>
  <c r="C69" i="44"/>
  <c r="H67" i="44"/>
  <c r="G67" i="44"/>
  <c r="F67" i="44"/>
  <c r="E67" i="44"/>
  <c r="D67" i="44"/>
  <c r="C67" i="44"/>
  <c r="H55" i="44"/>
  <c r="G55" i="44"/>
  <c r="F55" i="44"/>
  <c r="E55" i="44"/>
  <c r="D55" i="44"/>
  <c r="C55" i="44"/>
  <c r="H51" i="44"/>
  <c r="G51" i="44"/>
  <c r="F51" i="44"/>
  <c r="E51" i="44"/>
  <c r="D51" i="44"/>
  <c r="C51" i="44"/>
  <c r="H49" i="44"/>
  <c r="G49" i="44"/>
  <c r="F49" i="44"/>
  <c r="E49" i="44"/>
  <c r="D49" i="44"/>
  <c r="C49" i="44"/>
  <c r="H38" i="44"/>
  <c r="G38" i="44"/>
  <c r="F38" i="44"/>
  <c r="E38" i="44"/>
  <c r="D38" i="44"/>
  <c r="C38" i="44"/>
  <c r="H34" i="44"/>
  <c r="G34" i="44"/>
  <c r="F34" i="44"/>
  <c r="E34" i="44"/>
  <c r="D34" i="44"/>
  <c r="C34" i="44"/>
  <c r="H32" i="44"/>
  <c r="G32" i="44"/>
  <c r="F32" i="44"/>
  <c r="E32" i="44"/>
  <c r="D32" i="44"/>
  <c r="C32" i="44"/>
  <c r="H24" i="44"/>
  <c r="H41" i="44" s="1"/>
  <c r="H59" i="44" s="1"/>
  <c r="G24" i="44"/>
  <c r="G41" i="44" s="1"/>
  <c r="G59" i="44" s="1"/>
  <c r="F24" i="44"/>
  <c r="F41" i="44" s="1"/>
  <c r="F59" i="44" s="1"/>
  <c r="E24" i="44"/>
  <c r="E41" i="44" s="1"/>
  <c r="E59" i="44" s="1"/>
  <c r="D24" i="44"/>
  <c r="D41" i="44" s="1"/>
  <c r="D59" i="44" s="1"/>
  <c r="C24" i="44"/>
  <c r="C41" i="44" s="1"/>
  <c r="C59" i="44" s="1"/>
  <c r="H21" i="44"/>
  <c r="G21" i="44"/>
  <c r="F21" i="44"/>
  <c r="E21" i="44"/>
  <c r="D21" i="44"/>
  <c r="C21" i="44"/>
  <c r="H17" i="44"/>
  <c r="G17" i="44"/>
  <c r="F17" i="44"/>
  <c r="E17" i="44"/>
  <c r="D17" i="44"/>
  <c r="C17" i="44"/>
  <c r="H15" i="44"/>
  <c r="G15" i="44"/>
  <c r="F15" i="44"/>
  <c r="E15" i="44"/>
  <c r="D15" i="44"/>
  <c r="C15" i="44"/>
  <c r="R208" i="68" l="1"/>
  <c r="R211" i="68"/>
  <c r="Z280" i="68"/>
  <c r="AB280" i="68" s="1"/>
  <c r="R279" i="68"/>
  <c r="AA279" i="68"/>
  <c r="R209" i="68"/>
  <c r="R210" i="68"/>
  <c r="Z210" i="68"/>
  <c r="Z209" i="68"/>
  <c r="AA211" i="68"/>
  <c r="R34" i="68"/>
  <c r="Z34" i="68"/>
  <c r="AB34" i="68" s="1"/>
  <c r="AA70" i="68"/>
  <c r="Z33" i="68"/>
  <c r="AB33" i="68" s="1"/>
  <c r="R33" i="68"/>
  <c r="H114" i="4"/>
  <c r="G114" i="4"/>
  <c r="F114" i="4"/>
  <c r="E114" i="4"/>
  <c r="D114" i="4"/>
  <c r="C114" i="4"/>
  <c r="H101" i="4"/>
  <c r="G101" i="4"/>
  <c r="F101" i="4"/>
  <c r="E101" i="4"/>
  <c r="D101" i="4"/>
  <c r="C101" i="4"/>
  <c r="H20" i="4"/>
  <c r="G20" i="4"/>
  <c r="G103" i="4" s="1"/>
  <c r="G116" i="4" s="1"/>
  <c r="G118" i="4" s="1"/>
  <c r="F20" i="4"/>
  <c r="F103" i="4" s="1"/>
  <c r="F116" i="4" s="1"/>
  <c r="F118" i="4" s="1"/>
  <c r="E20" i="4"/>
  <c r="E103" i="4" s="1"/>
  <c r="E116" i="4" s="1"/>
  <c r="E118" i="4" s="1"/>
  <c r="D20" i="4"/>
  <c r="D103" i="4" s="1"/>
  <c r="D116" i="4" s="1"/>
  <c r="D118" i="4" s="1"/>
  <c r="C20" i="4"/>
  <c r="N114" i="4"/>
  <c r="M114" i="4"/>
  <c r="L114" i="4"/>
  <c r="K114" i="4"/>
  <c r="J114" i="4"/>
  <c r="I114" i="4"/>
  <c r="N101" i="4"/>
  <c r="M101" i="4"/>
  <c r="L101" i="4"/>
  <c r="K101" i="4"/>
  <c r="J101" i="4"/>
  <c r="I101" i="4"/>
  <c r="N20" i="4"/>
  <c r="M20" i="4"/>
  <c r="L20" i="4"/>
  <c r="K20" i="4"/>
  <c r="J20" i="4"/>
  <c r="I20" i="4"/>
  <c r="H103" i="4" l="1"/>
  <c r="H116" i="4" s="1"/>
  <c r="H118" i="4" s="1"/>
  <c r="C103" i="4"/>
  <c r="C116" i="4" s="1"/>
  <c r="C118" i="4" s="1"/>
  <c r="AA280" i="68"/>
  <c r="AA33" i="68"/>
  <c r="AA34" i="68"/>
  <c r="AB209" i="68"/>
  <c r="AA209" i="68"/>
  <c r="AB210" i="68"/>
  <c r="AA210" i="68"/>
  <c r="N103" i="4"/>
  <c r="N116" i="4" s="1"/>
  <c r="N118" i="4" s="1"/>
  <c r="M103" i="4"/>
  <c r="M116" i="4" s="1"/>
  <c r="M118" i="4" s="1"/>
  <c r="L103" i="4"/>
  <c r="L116" i="4" s="1"/>
  <c r="L118" i="4" s="1"/>
  <c r="K103" i="4"/>
  <c r="K116" i="4" s="1"/>
  <c r="K118" i="4" s="1"/>
  <c r="J103" i="4"/>
  <c r="J116" i="4" s="1"/>
  <c r="J118" i="4" s="1"/>
  <c r="I103" i="4"/>
  <c r="I116" i="4" s="1"/>
  <c r="I118" i="4" s="1"/>
  <c r="C60" i="3"/>
  <c r="D23" i="35"/>
  <c r="D22" i="35"/>
  <c r="D21" i="35"/>
  <c r="D20" i="35"/>
  <c r="D19" i="35"/>
  <c r="D18" i="35"/>
  <c r="D17" i="35"/>
  <c r="D16" i="35"/>
  <c r="D15" i="35"/>
  <c r="D14" i="35"/>
  <c r="D13" i="35"/>
  <c r="D12" i="35"/>
  <c r="H15" i="34"/>
  <c r="J13" i="34"/>
  <c r="I98" i="31"/>
  <c r="U276" i="47"/>
  <c r="U275" i="47"/>
  <c r="U274" i="47"/>
  <c r="U273" i="47"/>
  <c r="U272" i="47"/>
  <c r="U271" i="47"/>
  <c r="U270" i="47"/>
  <c r="U269" i="47"/>
  <c r="U268" i="47"/>
  <c r="U267" i="47"/>
  <c r="U266" i="47"/>
  <c r="U265" i="47"/>
  <c r="U264" i="47"/>
  <c r="U263" i="47"/>
  <c r="U262" i="47"/>
  <c r="U261" i="47"/>
  <c r="U260" i="47"/>
  <c r="U259" i="47"/>
  <c r="U258" i="47"/>
  <c r="U257" i="47"/>
  <c r="U256" i="47"/>
  <c r="U255" i="47"/>
  <c r="U254" i="47"/>
  <c r="U253" i="47"/>
  <c r="U252" i="47"/>
  <c r="U251" i="47"/>
  <c r="U250" i="47"/>
  <c r="U249" i="47"/>
  <c r="U248" i="47"/>
  <c r="U247" i="47"/>
  <c r="U246" i="47"/>
  <c r="U245" i="47"/>
  <c r="U244" i="47"/>
  <c r="U243" i="47"/>
  <c r="U242" i="47"/>
  <c r="U241" i="47"/>
  <c r="U240" i="47"/>
  <c r="U239" i="47"/>
  <c r="U238" i="47"/>
  <c r="U237" i="47"/>
  <c r="U236" i="47"/>
  <c r="U235" i="47"/>
  <c r="U234" i="47"/>
  <c r="U233" i="47"/>
  <c r="U232" i="47"/>
  <c r="U231" i="47"/>
  <c r="U230" i="47"/>
  <c r="U229" i="47"/>
  <c r="U228" i="47"/>
  <c r="U227" i="47"/>
  <c r="U226" i="47"/>
  <c r="U225" i="47"/>
  <c r="U224" i="47"/>
  <c r="U223" i="47"/>
  <c r="U222" i="47"/>
  <c r="U221" i="47"/>
  <c r="U220" i="47"/>
  <c r="U219" i="47"/>
  <c r="U218" i="47"/>
  <c r="U217" i="47"/>
  <c r="U216" i="47"/>
  <c r="U215" i="47"/>
  <c r="U214" i="47"/>
  <c r="U213" i="47"/>
  <c r="U212" i="47"/>
  <c r="U211" i="47"/>
  <c r="U210" i="47"/>
  <c r="U209" i="47"/>
  <c r="U208" i="47"/>
  <c r="U207" i="47"/>
  <c r="U206" i="47"/>
  <c r="U205" i="47"/>
  <c r="U204" i="47"/>
  <c r="U203" i="47"/>
  <c r="U202" i="47"/>
  <c r="U201" i="47"/>
  <c r="U200" i="47"/>
  <c r="U199" i="47"/>
  <c r="U198" i="47"/>
  <c r="U197" i="47"/>
  <c r="U196" i="47"/>
  <c r="U195" i="47"/>
  <c r="U194" i="47"/>
  <c r="U193" i="47"/>
  <c r="U192" i="47"/>
  <c r="U191" i="47"/>
  <c r="U190" i="47"/>
  <c r="U189" i="47"/>
  <c r="U188" i="47"/>
  <c r="U187" i="47"/>
  <c r="U186" i="47"/>
  <c r="U185" i="47"/>
  <c r="U184" i="47"/>
  <c r="U183" i="47"/>
  <c r="U182" i="47"/>
  <c r="U181" i="47"/>
  <c r="U180" i="47"/>
  <c r="U179" i="47"/>
  <c r="U178" i="47"/>
  <c r="U177" i="47"/>
  <c r="U176" i="47"/>
  <c r="U175" i="47"/>
  <c r="U174" i="47"/>
  <c r="U173" i="47"/>
  <c r="U172" i="47"/>
  <c r="U171" i="47"/>
  <c r="U170" i="47"/>
  <c r="U169" i="47"/>
  <c r="U168" i="47"/>
  <c r="U167" i="47"/>
  <c r="U166" i="47"/>
  <c r="U165" i="47"/>
  <c r="U164" i="47"/>
  <c r="U163" i="47"/>
  <c r="U162" i="47"/>
  <c r="U161" i="47"/>
  <c r="U160" i="47"/>
  <c r="U159" i="47"/>
  <c r="U158" i="47"/>
  <c r="U157" i="47"/>
  <c r="U156" i="47"/>
  <c r="U155" i="47"/>
  <c r="U154" i="47"/>
  <c r="U153" i="47"/>
  <c r="U152" i="47"/>
  <c r="U151" i="47"/>
  <c r="U150" i="47"/>
  <c r="U149" i="47"/>
  <c r="U148" i="47"/>
  <c r="U147" i="47"/>
  <c r="U146" i="47"/>
  <c r="U145" i="47"/>
  <c r="U144" i="47"/>
  <c r="U143" i="47"/>
  <c r="U142" i="47"/>
  <c r="U141" i="47"/>
  <c r="U140" i="47"/>
  <c r="U139" i="47"/>
  <c r="U138" i="47"/>
  <c r="U137" i="47"/>
  <c r="U136" i="47"/>
  <c r="U135" i="47"/>
  <c r="U134" i="47"/>
  <c r="U133" i="47"/>
  <c r="U132" i="47"/>
  <c r="U131" i="47"/>
  <c r="U130" i="47"/>
  <c r="U129" i="47"/>
  <c r="U128" i="47"/>
  <c r="U127" i="47"/>
  <c r="U126" i="47"/>
  <c r="U125" i="47"/>
  <c r="U124" i="47"/>
  <c r="U123" i="47"/>
  <c r="U122" i="47"/>
  <c r="U121" i="47"/>
  <c r="U120" i="47"/>
  <c r="U119" i="47"/>
  <c r="U118" i="47"/>
  <c r="U117" i="47"/>
  <c r="U116" i="47"/>
  <c r="U115" i="47"/>
  <c r="U114" i="47"/>
  <c r="U113" i="47"/>
  <c r="U112" i="47"/>
  <c r="U111" i="47"/>
  <c r="U110" i="47"/>
  <c r="U109" i="47"/>
  <c r="U108" i="47"/>
  <c r="U107" i="47"/>
  <c r="U106" i="47"/>
  <c r="U105" i="47"/>
  <c r="U104" i="47"/>
  <c r="U103" i="47"/>
  <c r="U102" i="47"/>
  <c r="U101" i="47"/>
  <c r="U100" i="47"/>
  <c r="U99" i="47"/>
  <c r="U98" i="47"/>
  <c r="U97" i="47"/>
  <c r="U96" i="47"/>
  <c r="U95" i="47"/>
  <c r="U94" i="47"/>
  <c r="U93" i="47"/>
  <c r="U92" i="47"/>
  <c r="U91" i="47"/>
  <c r="U90" i="47"/>
  <c r="U89" i="47"/>
  <c r="U88" i="47"/>
  <c r="U87" i="47"/>
  <c r="U86" i="47"/>
  <c r="U85" i="47"/>
  <c r="U84" i="47"/>
  <c r="U83" i="47"/>
  <c r="U82" i="47"/>
  <c r="U81" i="47"/>
  <c r="U80" i="47"/>
  <c r="U79" i="47"/>
  <c r="U78" i="47"/>
  <c r="U77" i="47"/>
  <c r="U76" i="47"/>
  <c r="U75" i="47"/>
  <c r="U74" i="47"/>
  <c r="U73" i="47"/>
  <c r="U72" i="47"/>
  <c r="U71" i="47"/>
  <c r="U70" i="47"/>
  <c r="U69" i="47"/>
  <c r="U68" i="47"/>
  <c r="U67" i="47"/>
  <c r="U66" i="47"/>
  <c r="U65" i="47"/>
  <c r="U64" i="47"/>
  <c r="U63" i="47"/>
  <c r="U62" i="47"/>
  <c r="U61" i="47"/>
  <c r="U60" i="47"/>
  <c r="U59" i="47"/>
  <c r="U58" i="47"/>
  <c r="U57" i="47"/>
  <c r="U56" i="47"/>
  <c r="U55" i="47"/>
  <c r="U54" i="47"/>
  <c r="U53" i="47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39" i="47"/>
  <c r="U38" i="47"/>
  <c r="U37" i="47"/>
  <c r="U36" i="47"/>
  <c r="U35" i="47"/>
  <c r="U34" i="47"/>
  <c r="U33" i="47"/>
  <c r="U32" i="47"/>
  <c r="U31" i="47"/>
  <c r="U30" i="47"/>
  <c r="U29" i="47"/>
  <c r="U28" i="47"/>
  <c r="U27" i="47"/>
  <c r="U26" i="47"/>
  <c r="U25" i="47"/>
  <c r="U24" i="47"/>
  <c r="U23" i="47"/>
  <c r="U22" i="47"/>
  <c r="U21" i="47"/>
  <c r="U20" i="47"/>
  <c r="U19" i="47"/>
  <c r="U18" i="47"/>
  <c r="U17" i="47"/>
  <c r="U16" i="47"/>
  <c r="U15" i="47"/>
  <c r="U14" i="47"/>
  <c r="U13" i="47"/>
  <c r="U12" i="47"/>
  <c r="U11" i="47"/>
  <c r="U10" i="47"/>
  <c r="O6" i="31"/>
  <c r="X6" i="31" s="1"/>
  <c r="L6" i="31"/>
  <c r="U6" i="31" s="1"/>
  <c r="T33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6" i="48"/>
  <c r="T15" i="48"/>
  <c r="T14" i="48"/>
  <c r="T13" i="48"/>
  <c r="T12" i="48"/>
  <c r="H16" i="34" l="1"/>
  <c r="J15" i="34"/>
  <c r="J14" i="34"/>
  <c r="A29" i="40"/>
  <c r="A17" i="40"/>
  <c r="C54" i="32"/>
  <c r="D54" i="32" s="1"/>
  <c r="C53" i="32"/>
  <c r="D53" i="32" s="1"/>
  <c r="H17" i="34" l="1"/>
  <c r="J16" i="34"/>
  <c r="H18" i="34" l="1"/>
  <c r="J17" i="34"/>
  <c r="H19" i="34" l="1"/>
  <c r="J18" i="34"/>
  <c r="H20" i="34" l="1"/>
  <c r="J19" i="34"/>
  <c r="J20" i="34" l="1"/>
  <c r="J24" i="34" l="1"/>
  <c r="H24" i="34"/>
  <c r="W33" i="10" l="1"/>
  <c r="M35" i="10"/>
  <c r="AQ59" i="68"/>
  <c r="AR59" i="68" s="1"/>
  <c r="AQ54" i="68"/>
  <c r="AR54" i="68" s="1"/>
  <c r="AQ21" i="68"/>
  <c r="AR21" i="68" s="1"/>
  <c r="AJ59" i="68"/>
  <c r="AL59" i="68" s="1"/>
  <c r="AJ54" i="68"/>
  <c r="AG60" i="68"/>
  <c r="AF60" i="68"/>
  <c r="AD60" i="68"/>
  <c r="AC60" i="68"/>
  <c r="Q60" i="68"/>
  <c r="N60" i="68"/>
  <c r="O60" i="68" s="1"/>
  <c r="I60" i="68"/>
  <c r="AE60" i="68" s="1"/>
  <c r="AG59" i="68"/>
  <c r="AF59" i="68"/>
  <c r="AD59" i="68"/>
  <c r="AC59" i="68"/>
  <c r="Q59" i="68"/>
  <c r="N59" i="68"/>
  <c r="O59" i="68" s="1"/>
  <c r="I59" i="68"/>
  <c r="AE59" i="68" s="1"/>
  <c r="L330" i="68"/>
  <c r="L283" i="68"/>
  <c r="L38" i="68"/>
  <c r="AJ26" i="68"/>
  <c r="AL26" i="68" s="1"/>
  <c r="AJ23" i="68"/>
  <c r="AL23" i="68" s="1"/>
  <c r="AJ21" i="68"/>
  <c r="AL21" i="68" s="1"/>
  <c r="AJ67" i="68"/>
  <c r="AL67" i="68" s="1"/>
  <c r="AG76" i="68"/>
  <c r="AF76" i="68"/>
  <c r="AD76" i="68"/>
  <c r="AC76" i="68"/>
  <c r="Q76" i="68"/>
  <c r="N76" i="68"/>
  <c r="O76" i="68" s="1"/>
  <c r="I76" i="68"/>
  <c r="AE76" i="68" s="1"/>
  <c r="AG207" i="68"/>
  <c r="AF207" i="68"/>
  <c r="AD207" i="68"/>
  <c r="AC207" i="68"/>
  <c r="Q207" i="68"/>
  <c r="N207" i="68"/>
  <c r="O207" i="68" s="1"/>
  <c r="I207" i="68"/>
  <c r="AE207" i="68" s="1"/>
  <c r="AG206" i="68"/>
  <c r="AF206" i="68"/>
  <c r="AD206" i="68"/>
  <c r="AC206" i="68"/>
  <c r="Q206" i="68"/>
  <c r="N206" i="68"/>
  <c r="O206" i="68" s="1"/>
  <c r="I206" i="68"/>
  <c r="AE206" i="68" s="1"/>
  <c r="AG205" i="68"/>
  <c r="AF205" i="68"/>
  <c r="AD205" i="68"/>
  <c r="AC205" i="68"/>
  <c r="Q205" i="68"/>
  <c r="N205" i="68"/>
  <c r="O205" i="68" s="1"/>
  <c r="I205" i="68"/>
  <c r="AE205" i="68" s="1"/>
  <c r="AG204" i="68"/>
  <c r="AF204" i="68"/>
  <c r="AD204" i="68"/>
  <c r="AC204" i="68"/>
  <c r="Q204" i="68"/>
  <c r="N204" i="68"/>
  <c r="O204" i="68" s="1"/>
  <c r="I204" i="68"/>
  <c r="AE204" i="68" s="1"/>
  <c r="L86" i="7"/>
  <c r="L85" i="7"/>
  <c r="L84" i="7"/>
  <c r="L83" i="7"/>
  <c r="L82" i="7"/>
  <c r="L77" i="7"/>
  <c r="L76" i="7"/>
  <c r="L75" i="7"/>
  <c r="L74" i="7"/>
  <c r="L73" i="7"/>
  <c r="L72" i="7"/>
  <c r="L71" i="7"/>
  <c r="L70" i="7"/>
  <c r="L69" i="7"/>
  <c r="N69" i="7" s="1"/>
  <c r="L68" i="7"/>
  <c r="L67" i="7"/>
  <c r="L66" i="7"/>
  <c r="L24" i="7"/>
  <c r="L23" i="7"/>
  <c r="L22" i="7"/>
  <c r="L21" i="7"/>
  <c r="L20" i="7"/>
  <c r="L19" i="7"/>
  <c r="L18" i="7"/>
  <c r="L17" i="7"/>
  <c r="L16" i="7"/>
  <c r="L15" i="7"/>
  <c r="L14" i="7"/>
  <c r="BA54" i="68" l="1"/>
  <c r="BC54" i="68"/>
  <c r="BA59" i="68"/>
  <c r="BC59" i="68"/>
  <c r="BA21" i="68"/>
  <c r="AY21" i="68"/>
  <c r="BC21" i="68" s="1"/>
  <c r="BC67" i="68"/>
  <c r="V59" i="68"/>
  <c r="AZ54" i="68"/>
  <c r="BD54" i="68" s="1"/>
  <c r="AZ21" i="68"/>
  <c r="AZ59" i="68"/>
  <c r="P59" i="68"/>
  <c r="T59" i="68" s="1"/>
  <c r="P60" i="68"/>
  <c r="T60" i="68" s="1"/>
  <c r="BB54" i="68"/>
  <c r="V60" i="68"/>
  <c r="W60" i="68" s="1"/>
  <c r="Y60" i="68" s="1"/>
  <c r="AA59" i="68"/>
  <c r="P76" i="68"/>
  <c r="T76" i="68" s="1"/>
  <c r="P204" i="68"/>
  <c r="T204" i="68" s="1"/>
  <c r="V204" i="68"/>
  <c r="W204" i="68" s="1"/>
  <c r="Y204" i="68" s="1"/>
  <c r="V76" i="68"/>
  <c r="W76" i="68" s="1"/>
  <c r="Y76" i="68" s="1"/>
  <c r="P207" i="68"/>
  <c r="T207" i="68" s="1"/>
  <c r="V205" i="68"/>
  <c r="W205" i="68" s="1"/>
  <c r="Y205" i="68" s="1"/>
  <c r="V207" i="68"/>
  <c r="W207" i="68" s="1"/>
  <c r="Y207" i="68" s="1"/>
  <c r="V206" i="68"/>
  <c r="W206" i="68" s="1"/>
  <c r="Y206" i="68" s="1"/>
  <c r="P205" i="68"/>
  <c r="T205" i="68" s="1"/>
  <c r="P206" i="68"/>
  <c r="T206" i="68" s="1"/>
  <c r="L354" i="68"/>
  <c r="L329" i="68"/>
  <c r="P11" i="38"/>
  <c r="P12" i="38"/>
  <c r="P13" i="38"/>
  <c r="P14" i="38"/>
  <c r="P15" i="38"/>
  <c r="P16" i="38"/>
  <c r="P17" i="38"/>
  <c r="P18" i="38"/>
  <c r="P19" i="38"/>
  <c r="K56" i="38"/>
  <c r="J56" i="38"/>
  <c r="G56" i="38"/>
  <c r="D56" i="38"/>
  <c r="K55" i="38"/>
  <c r="J55" i="38"/>
  <c r="G55" i="38"/>
  <c r="D55" i="38"/>
  <c r="K54" i="38"/>
  <c r="J54" i="38"/>
  <c r="G54" i="38"/>
  <c r="D54" i="38"/>
  <c r="K53" i="38"/>
  <c r="J53" i="38"/>
  <c r="G53" i="38"/>
  <c r="D53" i="38"/>
  <c r="K52" i="38"/>
  <c r="J52" i="38"/>
  <c r="G52" i="38"/>
  <c r="D52" i="38"/>
  <c r="K51" i="38"/>
  <c r="J51" i="38"/>
  <c r="D51" i="38"/>
  <c r="K50" i="38"/>
  <c r="J50" i="38"/>
  <c r="G50" i="38"/>
  <c r="D50" i="38"/>
  <c r="K49" i="38"/>
  <c r="J49" i="38"/>
  <c r="G49" i="38"/>
  <c r="D49" i="38"/>
  <c r="K48" i="38"/>
  <c r="J48" i="38"/>
  <c r="G48" i="38"/>
  <c r="D48" i="38"/>
  <c r="K47" i="38"/>
  <c r="J47" i="38"/>
  <c r="G47" i="38"/>
  <c r="D47" i="38"/>
  <c r="K46" i="38"/>
  <c r="J46" i="38"/>
  <c r="G46" i="38"/>
  <c r="D46" i="38"/>
  <c r="K45" i="38"/>
  <c r="J45" i="38"/>
  <c r="G45" i="38"/>
  <c r="D45" i="38"/>
  <c r="K44" i="38"/>
  <c r="J44" i="38"/>
  <c r="G44" i="38"/>
  <c r="D44" i="38"/>
  <c r="K43" i="38"/>
  <c r="J43" i="38"/>
  <c r="G43" i="38"/>
  <c r="D43" i="38"/>
  <c r="K42" i="38"/>
  <c r="J42" i="38"/>
  <c r="G42" i="38"/>
  <c r="D42" i="38"/>
  <c r="K41" i="38"/>
  <c r="J41" i="38"/>
  <c r="G41" i="38"/>
  <c r="D41" i="38"/>
  <c r="K40" i="38"/>
  <c r="J40" i="38"/>
  <c r="G40" i="38"/>
  <c r="D40" i="38"/>
  <c r="K39" i="38"/>
  <c r="J39" i="38"/>
  <c r="G39" i="38"/>
  <c r="D39" i="38"/>
  <c r="K38" i="38"/>
  <c r="J38" i="38"/>
  <c r="G38" i="38"/>
  <c r="D38" i="38"/>
  <c r="K37" i="38"/>
  <c r="J37" i="38"/>
  <c r="G37" i="38"/>
  <c r="D37" i="38"/>
  <c r="K36" i="38"/>
  <c r="J36" i="38"/>
  <c r="G36" i="38"/>
  <c r="D36" i="38"/>
  <c r="K35" i="38"/>
  <c r="J35" i="38"/>
  <c r="G35" i="38"/>
  <c r="D35" i="38"/>
  <c r="K34" i="38"/>
  <c r="J34" i="38"/>
  <c r="G34" i="38"/>
  <c r="D34" i="38"/>
  <c r="BC357" i="68" l="1"/>
  <c r="BB21" i="68"/>
  <c r="BD21" i="68"/>
  <c r="BB59" i="68"/>
  <c r="BD59" i="68"/>
  <c r="BA67" i="68"/>
  <c r="BB67" i="68"/>
  <c r="BD67" i="68"/>
  <c r="R59" i="68"/>
  <c r="Z204" i="68"/>
  <c r="AB204" i="68" s="1"/>
  <c r="Z76" i="68"/>
  <c r="AB76" i="68" s="1"/>
  <c r="R204" i="68"/>
  <c r="R76" i="68"/>
  <c r="R60" i="68"/>
  <c r="Z60" i="68"/>
  <c r="AB60" i="68" s="1"/>
  <c r="Z205" i="68"/>
  <c r="AB205" i="68" s="1"/>
  <c r="Z207" i="68"/>
  <c r="AA207" i="68" s="1"/>
  <c r="R207" i="68"/>
  <c r="Z206" i="68"/>
  <c r="AB206" i="68" s="1"/>
  <c r="R206" i="68"/>
  <c r="R205" i="68"/>
  <c r="AA204" i="68"/>
  <c r="AG326" i="68"/>
  <c r="AF326" i="68"/>
  <c r="AD326" i="68"/>
  <c r="AC326" i="68"/>
  <c r="Q326" i="68"/>
  <c r="N326" i="68"/>
  <c r="O326" i="68" s="1"/>
  <c r="I326" i="68"/>
  <c r="AE326" i="68" s="1"/>
  <c r="AG203" i="68"/>
  <c r="AF203" i="68"/>
  <c r="AD203" i="68"/>
  <c r="AC203" i="68"/>
  <c r="Q203" i="68"/>
  <c r="N203" i="68"/>
  <c r="O203" i="68" s="1"/>
  <c r="I203" i="68"/>
  <c r="AE203" i="68" s="1"/>
  <c r="H20" i="46"/>
  <c r="H19" i="46"/>
  <c r="H18" i="46"/>
  <c r="H17" i="46"/>
  <c r="H16" i="46"/>
  <c r="H15" i="46"/>
  <c r="H14" i="46"/>
  <c r="H13" i="46"/>
  <c r="H12" i="46"/>
  <c r="AA76" i="68" l="1"/>
  <c r="AB207" i="68"/>
  <c r="AA205" i="68"/>
  <c r="AA60" i="68"/>
  <c r="AA206" i="68"/>
  <c r="P203" i="68"/>
  <c r="T203" i="68" s="1"/>
  <c r="P326" i="68"/>
  <c r="T326" i="68" s="1"/>
  <c r="V326" i="68"/>
  <c r="W326" i="68" s="1"/>
  <c r="Y326" i="68" s="1"/>
  <c r="V203" i="68"/>
  <c r="W203" i="68" s="1"/>
  <c r="Y203" i="68" s="1"/>
  <c r="O261" i="47"/>
  <c r="AF249" i="47"/>
  <c r="AD249" i="47"/>
  <c r="X249" i="47"/>
  <c r="O249" i="47"/>
  <c r="R249" i="47" s="1"/>
  <c r="AF248" i="47"/>
  <c r="AD248" i="47"/>
  <c r="X248" i="47"/>
  <c r="O248" i="47"/>
  <c r="R248" i="47" s="1"/>
  <c r="AD247" i="47"/>
  <c r="X247" i="47"/>
  <c r="AF247" i="47" s="1"/>
  <c r="O247" i="47"/>
  <c r="R247" i="47" s="1"/>
  <c r="AF246" i="47"/>
  <c r="AD246" i="47"/>
  <c r="X246" i="47"/>
  <c r="O246" i="47"/>
  <c r="R246" i="47" s="1"/>
  <c r="AF245" i="47"/>
  <c r="AD245" i="47"/>
  <c r="X245" i="47"/>
  <c r="O245" i="47"/>
  <c r="R245" i="47" s="1"/>
  <c r="AD244" i="47"/>
  <c r="X244" i="47"/>
  <c r="AF244" i="47" s="1"/>
  <c r="O244" i="47"/>
  <c r="R244" i="47" s="1"/>
  <c r="AF243" i="47"/>
  <c r="AD243" i="47"/>
  <c r="X243" i="47"/>
  <c r="O243" i="47"/>
  <c r="R243" i="47" s="1"/>
  <c r="AF242" i="47"/>
  <c r="AD242" i="47"/>
  <c r="X242" i="47"/>
  <c r="O242" i="47"/>
  <c r="R242" i="47" s="1"/>
  <c r="AD241" i="47"/>
  <c r="X241" i="47"/>
  <c r="AF241" i="47" s="1"/>
  <c r="O241" i="47"/>
  <c r="R241" i="47" s="1"/>
  <c r="AF150" i="47"/>
  <c r="AD150" i="47"/>
  <c r="X30" i="31" s="1"/>
  <c r="Z30" i="31" s="1"/>
  <c r="X150" i="47"/>
  <c r="O150" i="47"/>
  <c r="R150" i="47" s="1"/>
  <c r="AF149" i="47"/>
  <c r="AD149" i="47"/>
  <c r="O30" i="31" s="1"/>
  <c r="Q30" i="31" s="1"/>
  <c r="X149" i="47"/>
  <c r="O149" i="47"/>
  <c r="R149" i="47" s="1"/>
  <c r="AD148" i="47"/>
  <c r="X148" i="47"/>
  <c r="C30" i="31" s="1"/>
  <c r="O148" i="47"/>
  <c r="R148" i="47" s="1"/>
  <c r="AF51" i="47"/>
  <c r="O51" i="47"/>
  <c r="AF50" i="47"/>
  <c r="O50" i="47"/>
  <c r="O49" i="47"/>
  <c r="AF54" i="47"/>
  <c r="W54" i="47"/>
  <c r="W51" i="47" s="1"/>
  <c r="O54" i="47"/>
  <c r="AF53" i="47"/>
  <c r="AC53" i="47"/>
  <c r="AC50" i="47" s="1"/>
  <c r="W53" i="47"/>
  <c r="W50" i="47" s="1"/>
  <c r="Q53" i="47"/>
  <c r="Q50" i="47" s="1"/>
  <c r="O53" i="47"/>
  <c r="AC52" i="47"/>
  <c r="AC49" i="47" s="1"/>
  <c r="W52" i="47"/>
  <c r="W49" i="47" s="1"/>
  <c r="Q52" i="47"/>
  <c r="Q49" i="47" s="1"/>
  <c r="O52" i="47"/>
  <c r="S31" i="48"/>
  <c r="S16" i="48"/>
  <c r="AI9" i="48"/>
  <c r="AH9" i="48"/>
  <c r="AG9" i="48"/>
  <c r="AF9" i="48"/>
  <c r="AE9" i="48"/>
  <c r="AD9" i="48"/>
  <c r="AC9" i="48"/>
  <c r="AB9" i="48"/>
  <c r="AA9" i="48"/>
  <c r="Z9" i="48"/>
  <c r="Y9" i="48"/>
  <c r="X9" i="48"/>
  <c r="F30" i="31" l="1"/>
  <c r="H30" i="31" s="1"/>
  <c r="L30" i="31"/>
  <c r="R30" i="31" s="1"/>
  <c r="AF148" i="47"/>
  <c r="U30" i="31"/>
  <c r="W30" i="31" s="1"/>
  <c r="AB30" i="31" s="1"/>
  <c r="R326" i="68"/>
  <c r="R203" i="68"/>
  <c r="Z203" i="68"/>
  <c r="AB203" i="68" s="1"/>
  <c r="Z326" i="68"/>
  <c r="AB326" i="68" s="1"/>
  <c r="E30" i="31"/>
  <c r="J30" i="31" s="1"/>
  <c r="AD53" i="47"/>
  <c r="O24" i="31" s="1"/>
  <c r="Q24" i="31" s="1"/>
  <c r="R49" i="47"/>
  <c r="AD52" i="47"/>
  <c r="R53" i="47"/>
  <c r="X51" i="47"/>
  <c r="R50" i="47"/>
  <c r="X52" i="47"/>
  <c r="R52" i="47"/>
  <c r="X53" i="47"/>
  <c r="X54" i="47"/>
  <c r="X50" i="47"/>
  <c r="X49" i="47"/>
  <c r="AD50" i="47"/>
  <c r="O23" i="31" s="1"/>
  <c r="Q23" i="31" s="1"/>
  <c r="AD49" i="47"/>
  <c r="AA203" i="68" l="1"/>
  <c r="I30" i="31"/>
  <c r="C31" i="100" s="1"/>
  <c r="E31" i="100" s="1"/>
  <c r="F23" i="31"/>
  <c r="H23" i="31" s="1"/>
  <c r="U23" i="31"/>
  <c r="AF52" i="47"/>
  <c r="C24" i="31"/>
  <c r="E24" i="31" s="1"/>
  <c r="N30" i="31"/>
  <c r="S30" i="31" s="1"/>
  <c r="AE30" i="31" s="1"/>
  <c r="AF49" i="47"/>
  <c r="C23" i="31"/>
  <c r="L23" i="31"/>
  <c r="U24" i="31"/>
  <c r="L24" i="31"/>
  <c r="AA30" i="31"/>
  <c r="F24" i="31"/>
  <c r="AA326" i="68"/>
  <c r="AH30" i="31"/>
  <c r="S59" i="91"/>
  <c r="U57" i="91"/>
  <c r="U56" i="91"/>
  <c r="V38" i="91" s="1"/>
  <c r="J46" i="91"/>
  <c r="J45" i="91"/>
  <c r="J44" i="91"/>
  <c r="J43" i="91"/>
  <c r="J38" i="91"/>
  <c r="Y68" i="91" s="1"/>
  <c r="K27" i="91"/>
  <c r="I27" i="91"/>
  <c r="AA38" i="91" s="1"/>
  <c r="F8" i="91"/>
  <c r="F9" i="91" s="1"/>
  <c r="F10" i="91" s="1"/>
  <c r="F11" i="91" s="1"/>
  <c r="F12" i="91" s="1"/>
  <c r="F13" i="91" s="1"/>
  <c r="F14" i="91" s="1"/>
  <c r="F15" i="91" s="1"/>
  <c r="F16" i="91" s="1"/>
  <c r="F17" i="91" s="1"/>
  <c r="F18" i="91" s="1"/>
  <c r="F19" i="91" s="1"/>
  <c r="F20" i="91" s="1"/>
  <c r="F21" i="91" s="1"/>
  <c r="F22" i="91" s="1"/>
  <c r="F23" i="91" s="1"/>
  <c r="F24" i="91" s="1"/>
  <c r="F25" i="91" s="1"/>
  <c r="F26" i="91" s="1"/>
  <c r="F27" i="91" s="1"/>
  <c r="F28" i="91" s="1"/>
  <c r="F29" i="91" s="1"/>
  <c r="F30" i="91" s="1"/>
  <c r="F31" i="91" s="1"/>
  <c r="F32" i="91" s="1"/>
  <c r="F33" i="91" s="1"/>
  <c r="F34" i="91" s="1"/>
  <c r="F35" i="91" s="1"/>
  <c r="F36" i="91" s="1"/>
  <c r="F37" i="91" s="1"/>
  <c r="F38" i="91" s="1"/>
  <c r="F39" i="91" s="1"/>
  <c r="F40" i="91" s="1"/>
  <c r="F41" i="91" s="1"/>
  <c r="F42" i="91" s="1"/>
  <c r="F43" i="91" s="1"/>
  <c r="F44" i="91" s="1"/>
  <c r="F45" i="91" s="1"/>
  <c r="F46" i="91" s="1"/>
  <c r="F47" i="91" s="1"/>
  <c r="F48" i="91" s="1"/>
  <c r="F49" i="91" s="1"/>
  <c r="V29" i="91" l="1"/>
  <c r="V34" i="91"/>
  <c r="K38" i="91"/>
  <c r="Z68" i="91" s="1"/>
  <c r="V7" i="91"/>
  <c r="V9" i="91"/>
  <c r="V14" i="91"/>
  <c r="V19" i="91"/>
  <c r="V24" i="91"/>
  <c r="V27" i="91"/>
  <c r="V32" i="91"/>
  <c r="V37" i="91"/>
  <c r="V39" i="91"/>
  <c r="V11" i="91"/>
  <c r="V16" i="91"/>
  <c r="V21" i="91"/>
  <c r="V26" i="91"/>
  <c r="V28" i="91"/>
  <c r="V33" i="91"/>
  <c r="V8" i="91"/>
  <c r="V12" i="91"/>
  <c r="V17" i="91"/>
  <c r="V22" i="91"/>
  <c r="V6" i="91"/>
  <c r="V13" i="91"/>
  <c r="V18" i="91"/>
  <c r="V23" i="91"/>
  <c r="V31" i="91"/>
  <c r="V36" i="91"/>
  <c r="AD30" i="31"/>
  <c r="AA26" i="91"/>
  <c r="AA22" i="91"/>
  <c r="AA7" i="91"/>
  <c r="AA16" i="91"/>
  <c r="AA8" i="91"/>
  <c r="AA12" i="91"/>
  <c r="AA13" i="91"/>
  <c r="AA18" i="91"/>
  <c r="AA24" i="91"/>
  <c r="AA11" i="91"/>
  <c r="AA17" i="91"/>
  <c r="I26" i="91"/>
  <c r="I28" i="91" s="1"/>
  <c r="AA6" i="91"/>
  <c r="AA9" i="91"/>
  <c r="AA14" i="91"/>
  <c r="AA19" i="91"/>
  <c r="W24" i="31"/>
  <c r="W23" i="31"/>
  <c r="R23" i="31"/>
  <c r="N23" i="31"/>
  <c r="S23" i="31" s="1"/>
  <c r="E23" i="31"/>
  <c r="J23" i="31" s="1"/>
  <c r="I23" i="31"/>
  <c r="C24" i="100" s="1"/>
  <c r="E24" i="100" s="1"/>
  <c r="AC30" i="31"/>
  <c r="R24" i="31"/>
  <c r="N24" i="31"/>
  <c r="S24" i="31" s="1"/>
  <c r="H24" i="31"/>
  <c r="J24" i="31" s="1"/>
  <c r="I24" i="31"/>
  <c r="C25" i="100" s="1"/>
  <c r="E25" i="100" s="1"/>
  <c r="AA23" i="91"/>
  <c r="L27" i="91"/>
  <c r="AA21" i="91"/>
  <c r="AA33" i="91"/>
  <c r="AA32" i="91"/>
  <c r="AA34" i="91"/>
  <c r="AA28" i="91"/>
  <c r="AA39" i="91"/>
  <c r="J47" i="91"/>
  <c r="AA31" i="91"/>
  <c r="AA27" i="91"/>
  <c r="AA29" i="91"/>
  <c r="AA36" i="91"/>
  <c r="AA37" i="91"/>
  <c r="L55" i="68" l="1"/>
  <c r="L64" i="68" s="1"/>
  <c r="C39" i="39"/>
  <c r="AG17" i="68"/>
  <c r="L63" i="68" l="1"/>
  <c r="AF11" i="47"/>
  <c r="AF12" i="47"/>
  <c r="AF14" i="47"/>
  <c r="AF15" i="47"/>
  <c r="AF17" i="47"/>
  <c r="AF18" i="47"/>
  <c r="AF20" i="47"/>
  <c r="AF21" i="47"/>
  <c r="AF23" i="47"/>
  <c r="AF24" i="47"/>
  <c r="AF26" i="47"/>
  <c r="AF27" i="47"/>
  <c r="AF29" i="47"/>
  <c r="AF30" i="47"/>
  <c r="AF32" i="47"/>
  <c r="AF33" i="47"/>
  <c r="AF35" i="47"/>
  <c r="AF36" i="47"/>
  <c r="AF38" i="47"/>
  <c r="AF39" i="47"/>
  <c r="AF41" i="47"/>
  <c r="AF42" i="47"/>
  <c r="AF44" i="47"/>
  <c r="AF45" i="47"/>
  <c r="AF47" i="47"/>
  <c r="AF48" i="47"/>
  <c r="AF56" i="47"/>
  <c r="AF57" i="47"/>
  <c r="AF59" i="47"/>
  <c r="AF60" i="47"/>
  <c r="AF62" i="47"/>
  <c r="AF63" i="47"/>
  <c r="AF64" i="47"/>
  <c r="AF65" i="47"/>
  <c r="AF66" i="47"/>
  <c r="AF67" i="47"/>
  <c r="AF68" i="47"/>
  <c r="AF69" i="47"/>
  <c r="AF70" i="47"/>
  <c r="AF71" i="47"/>
  <c r="AF72" i="47"/>
  <c r="AF73" i="47"/>
  <c r="AF74" i="47"/>
  <c r="AF75" i="47"/>
  <c r="AF76" i="47"/>
  <c r="AF77" i="47"/>
  <c r="AF78" i="47"/>
  <c r="AF79" i="47"/>
  <c r="AF80" i="47"/>
  <c r="AF81" i="47"/>
  <c r="AF83" i="47"/>
  <c r="AF84" i="47"/>
  <c r="AF85" i="47"/>
  <c r="AF86" i="47"/>
  <c r="AF87" i="47"/>
  <c r="AF88" i="47"/>
  <c r="AF89" i="47"/>
  <c r="AF90" i="47"/>
  <c r="AF92" i="47"/>
  <c r="AF93" i="47"/>
  <c r="AF94" i="47"/>
  <c r="AF95" i="47"/>
  <c r="AF96" i="47"/>
  <c r="AF97" i="47"/>
  <c r="AF98" i="47"/>
  <c r="AF99" i="47"/>
  <c r="AF100" i="47"/>
  <c r="AF101" i="47"/>
  <c r="AF102" i="47"/>
  <c r="AF103" i="47"/>
  <c r="AF104" i="47"/>
  <c r="AF105" i="47"/>
  <c r="AF106" i="47"/>
  <c r="AF107" i="47"/>
  <c r="AF108" i="47"/>
  <c r="AF109" i="47"/>
  <c r="AF110" i="47"/>
  <c r="AF111" i="47"/>
  <c r="AF112" i="47"/>
  <c r="AF113" i="47"/>
  <c r="AF114" i="47"/>
  <c r="AF115" i="47"/>
  <c r="AF116" i="47"/>
  <c r="AF117" i="47"/>
  <c r="AF119" i="47"/>
  <c r="AF120" i="47"/>
  <c r="AF122" i="47"/>
  <c r="AF123" i="47"/>
  <c r="AF125" i="47"/>
  <c r="AF126" i="47"/>
  <c r="AF128" i="47"/>
  <c r="AF129" i="47"/>
  <c r="AF131" i="47"/>
  <c r="AF132" i="47"/>
  <c r="AF134" i="47"/>
  <c r="AF135" i="47"/>
  <c r="AF137" i="47"/>
  <c r="AF138" i="47"/>
  <c r="AF140" i="47"/>
  <c r="AF141" i="47"/>
  <c r="AF143" i="47"/>
  <c r="AF144" i="47"/>
  <c r="AF146" i="47"/>
  <c r="AF147" i="47"/>
  <c r="AF152" i="47"/>
  <c r="AF153" i="47"/>
  <c r="AF155" i="47"/>
  <c r="AF156" i="47"/>
  <c r="AF158" i="47"/>
  <c r="AF159" i="47"/>
  <c r="AF161" i="47"/>
  <c r="AF162" i="47"/>
  <c r="AF164" i="47"/>
  <c r="AF165" i="47"/>
  <c r="AF167" i="47"/>
  <c r="AF168" i="47"/>
  <c r="AF170" i="47"/>
  <c r="AF171" i="47"/>
  <c r="AF173" i="47"/>
  <c r="AF174" i="47"/>
  <c r="AF176" i="47"/>
  <c r="AF177" i="47"/>
  <c r="AF179" i="47"/>
  <c r="AF180" i="47"/>
  <c r="AF182" i="47"/>
  <c r="AF183" i="47"/>
  <c r="AF185" i="47"/>
  <c r="AF186" i="47"/>
  <c r="AF188" i="47"/>
  <c r="AF189" i="47"/>
  <c r="AF191" i="47"/>
  <c r="AF192" i="47"/>
  <c r="AF194" i="47"/>
  <c r="AF195" i="47"/>
  <c r="AF197" i="47"/>
  <c r="AF198" i="47"/>
  <c r="AF200" i="47"/>
  <c r="AF201" i="47"/>
  <c r="AF203" i="47"/>
  <c r="AF204" i="47"/>
  <c r="AF206" i="47"/>
  <c r="AF207" i="47"/>
  <c r="AF209" i="47"/>
  <c r="AF210" i="47"/>
  <c r="AF212" i="47"/>
  <c r="AF213" i="47"/>
  <c r="AF215" i="47"/>
  <c r="AF216" i="47"/>
  <c r="AF218" i="47"/>
  <c r="AF219" i="47"/>
  <c r="AF221" i="47"/>
  <c r="AF222" i="47"/>
  <c r="AF224" i="47"/>
  <c r="AF225" i="47"/>
  <c r="AF227" i="47"/>
  <c r="AF228" i="47"/>
  <c r="AF230" i="47"/>
  <c r="AF231" i="47"/>
  <c r="AF233" i="47"/>
  <c r="AF234" i="47"/>
  <c r="AF236" i="47"/>
  <c r="AF237" i="47"/>
  <c r="AF239" i="47"/>
  <c r="AF240" i="47"/>
  <c r="AF251" i="47"/>
  <c r="AF252" i="47"/>
  <c r="AF254" i="47"/>
  <c r="AF255" i="47"/>
  <c r="AF257" i="47"/>
  <c r="AF258" i="47"/>
  <c r="AF260" i="47"/>
  <c r="AF261" i="47"/>
  <c r="AF263" i="47"/>
  <c r="AF264" i="47"/>
  <c r="AF266" i="47"/>
  <c r="AF267" i="47"/>
  <c r="AF269" i="47"/>
  <c r="AF270" i="47"/>
  <c r="AF272" i="47"/>
  <c r="AF273" i="47"/>
  <c r="AF275" i="47"/>
  <c r="AF276" i="47"/>
  <c r="I13" i="68"/>
  <c r="AI33" i="48" l="1"/>
  <c r="AH33" i="48"/>
  <c r="AG33" i="48"/>
  <c r="AF33" i="48"/>
  <c r="AE33" i="48"/>
  <c r="AD33" i="48"/>
  <c r="AC33" i="48"/>
  <c r="AI31" i="48"/>
  <c r="AH31" i="48"/>
  <c r="AG31" i="48"/>
  <c r="AF31" i="48"/>
  <c r="AE31" i="48"/>
  <c r="AD31" i="48"/>
  <c r="AC31" i="48"/>
  <c r="AI30" i="48"/>
  <c r="AH30" i="48"/>
  <c r="AG30" i="48"/>
  <c r="AF30" i="48"/>
  <c r="AE30" i="48"/>
  <c r="AD30" i="48"/>
  <c r="AC30" i="48"/>
  <c r="AI29" i="48"/>
  <c r="AH29" i="48"/>
  <c r="AG29" i="48"/>
  <c r="AF29" i="48"/>
  <c r="AE29" i="48"/>
  <c r="AD29" i="48"/>
  <c r="AC29" i="48"/>
  <c r="AI28" i="48"/>
  <c r="AH28" i="48"/>
  <c r="AG28" i="48"/>
  <c r="AF28" i="48"/>
  <c r="AE28" i="48"/>
  <c r="AD28" i="48"/>
  <c r="AC28" i="48"/>
  <c r="AI27" i="48"/>
  <c r="AH27" i="48"/>
  <c r="AG27" i="48"/>
  <c r="AF27" i="48"/>
  <c r="AE27" i="48"/>
  <c r="AD27" i="48"/>
  <c r="AC27" i="48"/>
  <c r="AI26" i="48"/>
  <c r="AH26" i="48"/>
  <c r="AG26" i="48"/>
  <c r="AF26" i="48"/>
  <c r="AE26" i="48"/>
  <c r="AD26" i="48"/>
  <c r="AC26" i="48"/>
  <c r="AI25" i="48"/>
  <c r="AH25" i="48"/>
  <c r="AG25" i="48"/>
  <c r="AF25" i="48"/>
  <c r="AE25" i="48"/>
  <c r="AD25" i="48"/>
  <c r="AC25" i="48"/>
  <c r="AI24" i="48"/>
  <c r="AH24" i="48"/>
  <c r="AG24" i="48"/>
  <c r="AF24" i="48"/>
  <c r="AE24" i="48"/>
  <c r="AD24" i="48"/>
  <c r="AC24" i="48"/>
  <c r="AI23" i="48"/>
  <c r="AH23" i="48"/>
  <c r="AG23" i="48"/>
  <c r="AF23" i="48"/>
  <c r="AE23" i="48"/>
  <c r="AD23" i="48"/>
  <c r="AC23" i="48"/>
  <c r="AI22" i="48"/>
  <c r="AH22" i="48"/>
  <c r="AG22" i="48"/>
  <c r="AF22" i="48"/>
  <c r="AE22" i="48"/>
  <c r="AD22" i="48"/>
  <c r="AC22" i="48"/>
  <c r="AI21" i="48"/>
  <c r="AH21" i="48"/>
  <c r="AG21" i="48"/>
  <c r="AF21" i="48"/>
  <c r="AE21" i="48"/>
  <c r="AD21" i="48"/>
  <c r="AC21" i="48"/>
  <c r="AI20" i="48"/>
  <c r="AH20" i="48"/>
  <c r="AG20" i="48"/>
  <c r="AF20" i="48"/>
  <c r="AE20" i="48"/>
  <c r="AD20" i="48"/>
  <c r="AC20" i="48"/>
  <c r="AI19" i="48"/>
  <c r="AH19" i="48"/>
  <c r="AG19" i="48"/>
  <c r="AF19" i="48"/>
  <c r="AE19" i="48"/>
  <c r="AD19" i="48"/>
  <c r="AC19" i="48"/>
  <c r="AI18" i="48"/>
  <c r="AH18" i="48"/>
  <c r="AG18" i="48"/>
  <c r="AF18" i="48"/>
  <c r="AE18" i="48"/>
  <c r="AD18" i="48"/>
  <c r="AC18" i="48"/>
  <c r="AI16" i="48"/>
  <c r="AH16" i="48"/>
  <c r="AG16" i="48"/>
  <c r="AF16" i="48"/>
  <c r="AE16" i="48"/>
  <c r="AD16" i="48"/>
  <c r="AC16" i="48"/>
  <c r="AI15" i="48"/>
  <c r="AH15" i="48"/>
  <c r="AG15" i="48"/>
  <c r="AF15" i="48"/>
  <c r="AE15" i="48"/>
  <c r="AD15" i="48"/>
  <c r="AC15" i="48"/>
  <c r="AI14" i="48"/>
  <c r="AH14" i="48"/>
  <c r="AG14" i="48"/>
  <c r="AF14" i="48"/>
  <c r="AE14" i="48"/>
  <c r="AD14" i="48"/>
  <c r="AC14" i="48"/>
  <c r="AI13" i="48"/>
  <c r="AH13" i="48"/>
  <c r="AG13" i="48"/>
  <c r="AF13" i="48"/>
  <c r="AE13" i="48"/>
  <c r="AD13" i="48"/>
  <c r="AC13" i="48"/>
  <c r="AG12" i="48"/>
  <c r="AF12" i="48"/>
  <c r="AE12" i="48"/>
  <c r="AD12" i="48"/>
  <c r="AC12" i="48"/>
  <c r="AB33" i="48"/>
  <c r="AB31" i="48"/>
  <c r="AB30" i="48"/>
  <c r="AB29" i="48"/>
  <c r="AB28" i="48"/>
  <c r="AB27" i="48"/>
  <c r="AB26" i="48"/>
  <c r="AB25" i="48"/>
  <c r="AB24" i="48"/>
  <c r="AB23" i="48"/>
  <c r="AB22" i="48"/>
  <c r="AB21" i="48"/>
  <c r="AB20" i="48"/>
  <c r="AB19" i="48"/>
  <c r="AB18" i="48"/>
  <c r="AB16" i="48"/>
  <c r="AB15" i="48"/>
  <c r="AB14" i="48"/>
  <c r="AB13" i="48"/>
  <c r="AB12" i="48"/>
  <c r="AA33" i="48"/>
  <c r="AA31" i="48"/>
  <c r="AA30" i="48"/>
  <c r="AA29" i="48"/>
  <c r="AA28" i="48"/>
  <c r="AA27" i="48"/>
  <c r="AA26" i="48"/>
  <c r="AA25" i="48"/>
  <c r="AA24" i="48"/>
  <c r="AA23" i="48"/>
  <c r="AA22" i="48"/>
  <c r="AA21" i="48"/>
  <c r="AA20" i="48"/>
  <c r="AA19" i="48"/>
  <c r="AA18" i="48"/>
  <c r="AA16" i="48"/>
  <c r="AA15" i="48"/>
  <c r="AA14" i="48"/>
  <c r="AA13" i="48"/>
  <c r="AA12" i="48"/>
  <c r="Z33" i="48"/>
  <c r="Z31" i="48"/>
  <c r="Z30" i="48"/>
  <c r="Z29" i="48"/>
  <c r="Z28" i="48"/>
  <c r="Z27" i="48"/>
  <c r="Z26" i="48"/>
  <c r="Z25" i="48"/>
  <c r="Z24" i="48"/>
  <c r="Z23" i="48"/>
  <c r="Z22" i="48"/>
  <c r="Z21" i="48"/>
  <c r="Z20" i="48"/>
  <c r="Z19" i="48"/>
  <c r="Z18" i="48"/>
  <c r="Z16" i="48"/>
  <c r="Z15" i="48"/>
  <c r="Z14" i="48"/>
  <c r="Z13" i="48"/>
  <c r="Z12" i="48"/>
  <c r="Y33" i="48"/>
  <c r="Y31" i="48"/>
  <c r="Y30" i="48"/>
  <c r="Y29" i="48"/>
  <c r="Y28" i="48"/>
  <c r="Y27" i="48"/>
  <c r="Y26" i="48"/>
  <c r="Y25" i="48"/>
  <c r="Y24" i="48"/>
  <c r="Y23" i="48"/>
  <c r="Y22" i="48"/>
  <c r="Y21" i="48"/>
  <c r="Y20" i="48"/>
  <c r="Y19" i="48"/>
  <c r="Y18" i="48"/>
  <c r="Y16" i="48"/>
  <c r="Y15" i="48"/>
  <c r="Y14" i="48"/>
  <c r="Y13" i="48"/>
  <c r="Y12" i="48"/>
  <c r="X33" i="48"/>
  <c r="X31" i="48"/>
  <c r="X30" i="48"/>
  <c r="X29" i="48"/>
  <c r="X28" i="48"/>
  <c r="X27" i="48"/>
  <c r="X26" i="48"/>
  <c r="X25" i="48"/>
  <c r="X24" i="48"/>
  <c r="X23" i="48"/>
  <c r="X22" i="48"/>
  <c r="X21" i="48"/>
  <c r="X20" i="48"/>
  <c r="X19" i="48"/>
  <c r="X18" i="48"/>
  <c r="X16" i="48"/>
  <c r="X15" i="48"/>
  <c r="X14" i="48"/>
  <c r="X13" i="48"/>
  <c r="X12" i="48"/>
  <c r="S59" i="80" l="1"/>
  <c r="U57" i="80"/>
  <c r="U56" i="80"/>
  <c r="V39" i="80" s="1"/>
  <c r="J46" i="80"/>
  <c r="J45" i="80"/>
  <c r="J44" i="80"/>
  <c r="J43" i="80"/>
  <c r="J38" i="80"/>
  <c r="Y68" i="80" s="1"/>
  <c r="K27" i="80"/>
  <c r="I27" i="80"/>
  <c r="V12" i="80"/>
  <c r="V11" i="80"/>
  <c r="F8" i="80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V6" i="80"/>
  <c r="S59" i="79"/>
  <c r="U57" i="79"/>
  <c r="U56" i="79"/>
  <c r="V33" i="79" s="1"/>
  <c r="J46" i="79"/>
  <c r="J45" i="79"/>
  <c r="J44" i="79"/>
  <c r="J43" i="79"/>
  <c r="V39" i="79"/>
  <c r="J38" i="79"/>
  <c r="Y68" i="79" s="1"/>
  <c r="V37" i="79"/>
  <c r="K27" i="79"/>
  <c r="I27" i="79"/>
  <c r="AA33" i="79" s="1"/>
  <c r="V12" i="79"/>
  <c r="V9" i="79"/>
  <c r="F8" i="79"/>
  <c r="F9" i="79" s="1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F22" i="79" s="1"/>
  <c r="F23" i="79" s="1"/>
  <c r="F24" i="79" s="1"/>
  <c r="F25" i="79" s="1"/>
  <c r="F26" i="79" s="1"/>
  <c r="F27" i="79" s="1"/>
  <c r="F28" i="79" s="1"/>
  <c r="F29" i="79" s="1"/>
  <c r="F30" i="79" s="1"/>
  <c r="F31" i="79" s="1"/>
  <c r="F32" i="79" s="1"/>
  <c r="F33" i="79" s="1"/>
  <c r="F34" i="79" s="1"/>
  <c r="F35" i="79" s="1"/>
  <c r="F36" i="79" s="1"/>
  <c r="F37" i="79" s="1"/>
  <c r="F38" i="79" s="1"/>
  <c r="F39" i="79" s="1"/>
  <c r="F40" i="79" s="1"/>
  <c r="F41" i="79" s="1"/>
  <c r="F42" i="79" s="1"/>
  <c r="F43" i="79" s="1"/>
  <c r="F44" i="79" s="1"/>
  <c r="F45" i="79" s="1"/>
  <c r="F46" i="79" s="1"/>
  <c r="F47" i="79" s="1"/>
  <c r="F48" i="79" s="1"/>
  <c r="F49" i="79" s="1"/>
  <c r="T59" i="78"/>
  <c r="V57" i="78"/>
  <c r="V56" i="78"/>
  <c r="J46" i="78"/>
  <c r="J45" i="78"/>
  <c r="J44" i="78"/>
  <c r="J43" i="78"/>
  <c r="J38" i="78"/>
  <c r="W29" i="78"/>
  <c r="W28" i="78"/>
  <c r="K27" i="78"/>
  <c r="I27" i="78"/>
  <c r="W23" i="78"/>
  <c r="W11" i="78"/>
  <c r="F8" i="78"/>
  <c r="F9" i="78" s="1"/>
  <c r="F10" i="78" s="1"/>
  <c r="F11" i="78" s="1"/>
  <c r="F12" i="78" s="1"/>
  <c r="F13" i="78" s="1"/>
  <c r="F14" i="78" s="1"/>
  <c r="F15" i="78" s="1"/>
  <c r="F16" i="78" s="1"/>
  <c r="F17" i="78" s="1"/>
  <c r="F18" i="78" s="1"/>
  <c r="F19" i="78" s="1"/>
  <c r="F20" i="78" s="1"/>
  <c r="F21" i="78" s="1"/>
  <c r="F22" i="78" s="1"/>
  <c r="F23" i="78" s="1"/>
  <c r="F24" i="78" s="1"/>
  <c r="F25" i="78" s="1"/>
  <c r="F26" i="78" s="1"/>
  <c r="F27" i="78" s="1"/>
  <c r="F28" i="78" s="1"/>
  <c r="F29" i="78" s="1"/>
  <c r="F30" i="78" s="1"/>
  <c r="F31" i="78" s="1"/>
  <c r="F32" i="78" s="1"/>
  <c r="F33" i="78" s="1"/>
  <c r="F34" i="78" s="1"/>
  <c r="F35" i="78" s="1"/>
  <c r="F36" i="78" s="1"/>
  <c r="F37" i="78" s="1"/>
  <c r="F38" i="78" s="1"/>
  <c r="F39" i="78" s="1"/>
  <c r="F40" i="78" s="1"/>
  <c r="F41" i="78" s="1"/>
  <c r="F42" i="78" s="1"/>
  <c r="F43" i="78" s="1"/>
  <c r="F44" i="78" s="1"/>
  <c r="F45" i="78" s="1"/>
  <c r="F46" i="78" s="1"/>
  <c r="F47" i="78" s="1"/>
  <c r="F48" i="78" s="1"/>
  <c r="F49" i="78" s="1"/>
  <c r="W7" i="78"/>
  <c r="W6" i="78"/>
  <c r="V6" i="73"/>
  <c r="F8" i="73"/>
  <c r="F9" i="73" s="1"/>
  <c r="F10" i="73" s="1"/>
  <c r="F11" i="73" s="1"/>
  <c r="F12" i="73" s="1"/>
  <c r="F13" i="73" s="1"/>
  <c r="F14" i="73" s="1"/>
  <c r="F15" i="73" s="1"/>
  <c r="F16" i="73" s="1"/>
  <c r="F17" i="73" s="1"/>
  <c r="F18" i="73" s="1"/>
  <c r="F19" i="73" s="1"/>
  <c r="F20" i="73" s="1"/>
  <c r="F21" i="73" s="1"/>
  <c r="F22" i="73" s="1"/>
  <c r="F23" i="73" s="1"/>
  <c r="F24" i="73" s="1"/>
  <c r="F25" i="73" s="1"/>
  <c r="F26" i="73" s="1"/>
  <c r="F27" i="73" s="1"/>
  <c r="F28" i="73" s="1"/>
  <c r="F29" i="73" s="1"/>
  <c r="F30" i="73" s="1"/>
  <c r="F31" i="73" s="1"/>
  <c r="F32" i="73" s="1"/>
  <c r="F33" i="73" s="1"/>
  <c r="F34" i="73" s="1"/>
  <c r="F35" i="73" s="1"/>
  <c r="F36" i="73" s="1"/>
  <c r="F37" i="73" s="1"/>
  <c r="F38" i="73" s="1"/>
  <c r="F39" i="73" s="1"/>
  <c r="F40" i="73" s="1"/>
  <c r="F41" i="73" s="1"/>
  <c r="F42" i="73" s="1"/>
  <c r="F43" i="73" s="1"/>
  <c r="F44" i="73" s="1"/>
  <c r="F45" i="73" s="1"/>
  <c r="F46" i="73" s="1"/>
  <c r="F47" i="73" s="1"/>
  <c r="F48" i="73" s="1"/>
  <c r="F49" i="73" s="1"/>
  <c r="V17" i="73"/>
  <c r="V24" i="73"/>
  <c r="I27" i="73"/>
  <c r="K27" i="73"/>
  <c r="V27" i="73"/>
  <c r="V33" i="73"/>
  <c r="J38" i="73"/>
  <c r="K38" i="73" s="1"/>
  <c r="Z68" i="73" s="1"/>
  <c r="J43" i="73"/>
  <c r="J44" i="73"/>
  <c r="J45" i="73"/>
  <c r="J46" i="73"/>
  <c r="U56" i="73"/>
  <c r="V12" i="73" s="1"/>
  <c r="U57" i="73"/>
  <c r="S59" i="73"/>
  <c r="V11" i="73" l="1"/>
  <c r="V7" i="80"/>
  <c r="V24" i="80"/>
  <c r="V27" i="80"/>
  <c r="V26" i="80"/>
  <c r="V29" i="80"/>
  <c r="AB33" i="78"/>
  <c r="J47" i="78"/>
  <c r="V37" i="73"/>
  <c r="V32" i="73"/>
  <c r="V22" i="73"/>
  <c r="V16" i="73"/>
  <c r="V9" i="73"/>
  <c r="AA36" i="79"/>
  <c r="Y68" i="73"/>
  <c r="V38" i="73"/>
  <c r="V36" i="73"/>
  <c r="V31" i="73"/>
  <c r="V21" i="73"/>
  <c r="V14" i="73"/>
  <c r="V8" i="73"/>
  <c r="V34" i="73"/>
  <c r="V29" i="73"/>
  <c r="V26" i="73"/>
  <c r="V19" i="73"/>
  <c r="V13" i="73"/>
  <c r="V7" i="79"/>
  <c r="V21" i="79"/>
  <c r="V27" i="79"/>
  <c r="V21" i="80"/>
  <c r="V23" i="79"/>
  <c r="V29" i="79"/>
  <c r="K38" i="79"/>
  <c r="Z68" i="79" s="1"/>
  <c r="V23" i="80"/>
  <c r="AA37" i="80"/>
  <c r="AA29" i="80"/>
  <c r="AA27" i="80"/>
  <c r="AA13" i="80"/>
  <c r="AA11" i="80"/>
  <c r="AA6" i="80"/>
  <c r="AA23" i="80"/>
  <c r="AA18" i="80"/>
  <c r="AA7" i="80"/>
  <c r="AA39" i="80"/>
  <c r="AA28" i="80"/>
  <c r="AA12" i="80"/>
  <c r="AA17" i="80"/>
  <c r="AA38" i="80"/>
  <c r="AA32" i="80"/>
  <c r="AA26" i="80"/>
  <c r="AA34" i="80"/>
  <c r="I26" i="80"/>
  <c r="AA24" i="80"/>
  <c r="AA19" i="80"/>
  <c r="AA14" i="80"/>
  <c r="AA8" i="80"/>
  <c r="AA16" i="80"/>
  <c r="AA21" i="80"/>
  <c r="AA22" i="80"/>
  <c r="AA9" i="80"/>
  <c r="AA36" i="80"/>
  <c r="AA31" i="80"/>
  <c r="AA33" i="80"/>
  <c r="V34" i="80"/>
  <c r="V32" i="80"/>
  <c r="V22" i="80"/>
  <c r="V17" i="80"/>
  <c r="V14" i="80"/>
  <c r="V8" i="80"/>
  <c r="V38" i="80"/>
  <c r="V36" i="80"/>
  <c r="V31" i="80"/>
  <c r="V19" i="80"/>
  <c r="V16" i="80"/>
  <c r="V9" i="80"/>
  <c r="V37" i="80"/>
  <c r="V33" i="80"/>
  <c r="V28" i="80"/>
  <c r="V18" i="80"/>
  <c r="V13" i="80"/>
  <c r="J47" i="80"/>
  <c r="L27" i="80"/>
  <c r="K38" i="80"/>
  <c r="Z68" i="80" s="1"/>
  <c r="AA9" i="79"/>
  <c r="AA16" i="79"/>
  <c r="AA21" i="79"/>
  <c r="AA31" i="79"/>
  <c r="AA17" i="79"/>
  <c r="AA22" i="79"/>
  <c r="V34" i="79"/>
  <c r="V32" i="79"/>
  <c r="V22" i="79"/>
  <c r="V17" i="79"/>
  <c r="V14" i="79"/>
  <c r="V8" i="79"/>
  <c r="V38" i="79"/>
  <c r="V36" i="79"/>
  <c r="V31" i="79"/>
  <c r="V19" i="79"/>
  <c r="V16" i="79"/>
  <c r="V28" i="79"/>
  <c r="V18" i="79"/>
  <c r="V24" i="79"/>
  <c r="V11" i="79"/>
  <c r="V26" i="79"/>
  <c r="V13" i="79"/>
  <c r="V6" i="79"/>
  <c r="AA37" i="79"/>
  <c r="AA29" i="79"/>
  <c r="AA27" i="79"/>
  <c r="AA13" i="79"/>
  <c r="AA11" i="79"/>
  <c r="AA6" i="79"/>
  <c r="AA23" i="79"/>
  <c r="AA18" i="79"/>
  <c r="AA7" i="79"/>
  <c r="AA34" i="79"/>
  <c r="AA32" i="79"/>
  <c r="AA39" i="79"/>
  <c r="AA28" i="79"/>
  <c r="AA12" i="79"/>
  <c r="J47" i="79"/>
  <c r="AA8" i="79"/>
  <c r="AA26" i="79"/>
  <c r="AA38" i="79"/>
  <c r="AA14" i="79"/>
  <c r="AA19" i="79"/>
  <c r="AA24" i="79"/>
  <c r="I26" i="79"/>
  <c r="L27" i="79"/>
  <c r="L27" i="78"/>
  <c r="W34" i="78"/>
  <c r="W32" i="78"/>
  <c r="W22" i="78"/>
  <c r="W17" i="78"/>
  <c r="W14" i="78"/>
  <c r="W8" i="78"/>
  <c r="W38" i="78"/>
  <c r="W36" i="78"/>
  <c r="W31" i="78"/>
  <c r="W19" i="78"/>
  <c r="W16" i="78"/>
  <c r="W21" i="78"/>
  <c r="W9" i="78"/>
  <c r="W33" i="78"/>
  <c r="W26" i="78"/>
  <c r="W24" i="78"/>
  <c r="W37" i="78"/>
  <c r="AB9" i="78"/>
  <c r="AB24" i="78"/>
  <c r="AB26" i="78"/>
  <c r="W18" i="78"/>
  <c r="W27" i="78"/>
  <c r="W39" i="78"/>
  <c r="AB37" i="78"/>
  <c r="AB29" i="78"/>
  <c r="AB27" i="78"/>
  <c r="AB13" i="78"/>
  <c r="AB11" i="78"/>
  <c r="AB6" i="78"/>
  <c r="AB31" i="78"/>
  <c r="AB23" i="78"/>
  <c r="AB18" i="78"/>
  <c r="AB7" i="78"/>
  <c r="AB39" i="78"/>
  <c r="AB28" i="78"/>
  <c r="AB12" i="78"/>
  <c r="AB34" i="78"/>
  <c r="AB32" i="78"/>
  <c r="AB22" i="78"/>
  <c r="AB17" i="78"/>
  <c r="AB14" i="78"/>
  <c r="AB8" i="78"/>
  <c r="AB38" i="78"/>
  <c r="AB36" i="78"/>
  <c r="I26" i="78"/>
  <c r="AB16" i="78"/>
  <c r="AB19" i="78"/>
  <c r="AB21" i="78"/>
  <c r="W12" i="78"/>
  <c r="W13" i="78"/>
  <c r="Z68" i="78"/>
  <c r="K38" i="78"/>
  <c r="AA68" i="78" s="1"/>
  <c r="L27" i="73"/>
  <c r="AA16" i="73"/>
  <c r="AA12" i="73"/>
  <c r="AA11" i="73"/>
  <c r="AA39" i="73"/>
  <c r="AA38" i="73"/>
  <c r="AA34" i="73"/>
  <c r="AA27" i="73"/>
  <c r="AA14" i="73"/>
  <c r="AA13" i="73"/>
  <c r="AA6" i="73"/>
  <c r="AA24" i="73"/>
  <c r="AA26" i="73"/>
  <c r="AA33" i="73"/>
  <c r="AA9" i="73"/>
  <c r="AA21" i="73"/>
  <c r="AA18" i="73"/>
  <c r="AA31" i="73"/>
  <c r="AA8" i="73"/>
  <c r="AA17" i="73"/>
  <c r="I26" i="73"/>
  <c r="AA7" i="73"/>
  <c r="AA23" i="73"/>
  <c r="AA22" i="73"/>
  <c r="J47" i="73"/>
  <c r="AA37" i="73"/>
  <c r="AA32" i="73"/>
  <c r="AA36" i="73"/>
  <c r="AA19" i="73"/>
  <c r="AA29" i="73"/>
  <c r="AA28" i="73"/>
  <c r="V23" i="73"/>
  <c r="V18" i="73"/>
  <c r="V7" i="73"/>
  <c r="V39" i="73"/>
  <c r="V28" i="73"/>
  <c r="L355" i="68"/>
  <c r="L337" i="68"/>
  <c r="AG335" i="68"/>
  <c r="AF335" i="68"/>
  <c r="AD335" i="68"/>
  <c r="AC335" i="68"/>
  <c r="Q335" i="68"/>
  <c r="N335" i="68"/>
  <c r="O335" i="68" s="1"/>
  <c r="I335" i="68"/>
  <c r="AE335" i="68" s="1"/>
  <c r="AG325" i="68"/>
  <c r="AF325" i="68"/>
  <c r="AD325" i="68"/>
  <c r="AC325" i="68"/>
  <c r="Q325" i="68"/>
  <c r="N325" i="68"/>
  <c r="O325" i="68" s="1"/>
  <c r="I325" i="68"/>
  <c r="AE325" i="68" s="1"/>
  <c r="AG278" i="68"/>
  <c r="AF278" i="68"/>
  <c r="AD278" i="68"/>
  <c r="AC278" i="68"/>
  <c r="Q278" i="68"/>
  <c r="N278" i="68"/>
  <c r="O278" i="68" s="1"/>
  <c r="I278" i="68"/>
  <c r="AE278" i="68" s="1"/>
  <c r="AG277" i="68"/>
  <c r="AF277" i="68"/>
  <c r="AD277" i="68"/>
  <c r="AC277" i="68"/>
  <c r="Q277" i="68"/>
  <c r="N277" i="68"/>
  <c r="O277" i="68" s="1"/>
  <c r="I277" i="68"/>
  <c r="AE277" i="68" s="1"/>
  <c r="AG276" i="68"/>
  <c r="AF276" i="68"/>
  <c r="AD276" i="68"/>
  <c r="AC276" i="68"/>
  <c r="Q276" i="68"/>
  <c r="N276" i="68"/>
  <c r="O276" i="68" s="1"/>
  <c r="I276" i="68"/>
  <c r="AE276" i="68" s="1"/>
  <c r="L245" i="68"/>
  <c r="AG202" i="68"/>
  <c r="AF202" i="68"/>
  <c r="AD202" i="68"/>
  <c r="AC202" i="68"/>
  <c r="Q202" i="68"/>
  <c r="N202" i="68"/>
  <c r="O202" i="68" s="1"/>
  <c r="I202" i="68"/>
  <c r="AE202" i="68" s="1"/>
  <c r="AG201" i="68"/>
  <c r="AF201" i="68"/>
  <c r="AD201" i="68"/>
  <c r="AC201" i="68"/>
  <c r="Q201" i="68"/>
  <c r="N201" i="68"/>
  <c r="O201" i="68" s="1"/>
  <c r="I201" i="68"/>
  <c r="AE201" i="68" s="1"/>
  <c r="AG200" i="68"/>
  <c r="AF200" i="68"/>
  <c r="AD200" i="68"/>
  <c r="AC200" i="68"/>
  <c r="Q200" i="68"/>
  <c r="N200" i="68"/>
  <c r="O200" i="68" s="1"/>
  <c r="I200" i="68"/>
  <c r="AE200" i="68" s="1"/>
  <c r="AG199" i="68"/>
  <c r="AF199" i="68"/>
  <c r="AD199" i="68"/>
  <c r="AC199" i="68"/>
  <c r="Q199" i="68"/>
  <c r="N199" i="68"/>
  <c r="O199" i="68" s="1"/>
  <c r="I199" i="68"/>
  <c r="AE199" i="68" s="1"/>
  <c r="AG198" i="68"/>
  <c r="AF198" i="68"/>
  <c r="AD198" i="68"/>
  <c r="AC198" i="68"/>
  <c r="Q198" i="68"/>
  <c r="N198" i="68"/>
  <c r="O198" i="68" s="1"/>
  <c r="I198" i="68"/>
  <c r="AE198" i="68" s="1"/>
  <c r="AG32" i="68"/>
  <c r="AF32" i="68"/>
  <c r="AD32" i="68"/>
  <c r="AC32" i="68"/>
  <c r="Q32" i="68"/>
  <c r="N32" i="68"/>
  <c r="O32" i="68" s="1"/>
  <c r="I32" i="68"/>
  <c r="AE32" i="68" s="1"/>
  <c r="A26" i="30"/>
  <c r="J26" i="30" s="1"/>
  <c r="A25" i="30"/>
  <c r="J25" i="30" s="1"/>
  <c r="A24" i="30"/>
  <c r="J24" i="30" s="1"/>
  <c r="A23" i="30"/>
  <c r="J23" i="30" s="1"/>
  <c r="A22" i="30"/>
  <c r="J22" i="30" s="1"/>
  <c r="A21" i="30"/>
  <c r="J21" i="30" s="1"/>
  <c r="A20" i="30"/>
  <c r="J20" i="30" s="1"/>
  <c r="A19" i="30"/>
  <c r="J19" i="30" s="1"/>
  <c r="A18" i="30"/>
  <c r="J18" i="30" s="1"/>
  <c r="A17" i="30"/>
  <c r="J17" i="30" s="1"/>
  <c r="A16" i="30"/>
  <c r="J16" i="30" s="1"/>
  <c r="A15" i="30"/>
  <c r="J15" i="30" s="1"/>
  <c r="K7" i="37"/>
  <c r="S7" i="37" s="1"/>
  <c r="F7" i="37"/>
  <c r="N7" i="37" s="1"/>
  <c r="V7" i="37" s="1"/>
  <c r="P45" i="39"/>
  <c r="L45" i="39"/>
  <c r="P44" i="39"/>
  <c r="L44" i="39"/>
  <c r="P43" i="39"/>
  <c r="L43" i="39"/>
  <c r="P42" i="39"/>
  <c r="L42" i="39"/>
  <c r="P41" i="39"/>
  <c r="L41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D35" i="43"/>
  <c r="D34" i="43"/>
  <c r="D33" i="43"/>
  <c r="D14" i="34"/>
  <c r="D15" i="34" s="1"/>
  <c r="D16" i="34" s="1"/>
  <c r="D17" i="34" s="1"/>
  <c r="C52" i="32"/>
  <c r="D52" i="32" s="1"/>
  <c r="A52" i="32"/>
  <c r="C40" i="32"/>
  <c r="D40" i="32" s="1"/>
  <c r="A40" i="32"/>
  <c r="M24" i="32"/>
  <c r="G50" i="32" s="1"/>
  <c r="I50" i="32" s="1"/>
  <c r="N26" i="32"/>
  <c r="J52" i="32" s="1"/>
  <c r="M26" i="32"/>
  <c r="G52" i="32" s="1"/>
  <c r="I52" i="32" s="1"/>
  <c r="N14" i="32"/>
  <c r="M14" i="32"/>
  <c r="G40" i="32" s="1"/>
  <c r="I40" i="32" s="1"/>
  <c r="D18" i="34" l="1"/>
  <c r="D19" i="34" s="1"/>
  <c r="D20" i="34" s="1"/>
  <c r="F17" i="34"/>
  <c r="L17" i="34" s="1"/>
  <c r="J40" i="32"/>
  <c r="K40" i="32" s="1"/>
  <c r="P14" i="32" s="1"/>
  <c r="Q14" i="32" s="1"/>
  <c r="K52" i="32"/>
  <c r="P26" i="32" s="1"/>
  <c r="P278" i="68"/>
  <c r="T278" i="68" s="1"/>
  <c r="V325" i="68"/>
  <c r="W325" i="68" s="1"/>
  <c r="Y325" i="68" s="1"/>
  <c r="P325" i="68"/>
  <c r="T325" i="68" s="1"/>
  <c r="I28" i="80"/>
  <c r="I28" i="79"/>
  <c r="I28" i="78"/>
  <c r="I28" i="73"/>
  <c r="V202" i="68"/>
  <c r="W202" i="68" s="1"/>
  <c r="Y202" i="68" s="1"/>
  <c r="P335" i="68"/>
  <c r="T335" i="68" s="1"/>
  <c r="V201" i="68"/>
  <c r="W201" i="68" s="1"/>
  <c r="Y201" i="68" s="1"/>
  <c r="V335" i="68"/>
  <c r="W335" i="68" s="1"/>
  <c r="Y335" i="68" s="1"/>
  <c r="V278" i="68"/>
  <c r="W278" i="68" s="1"/>
  <c r="Y278" i="68" s="1"/>
  <c r="V198" i="68"/>
  <c r="W198" i="68" s="1"/>
  <c r="Y198" i="68" s="1"/>
  <c r="V276" i="68"/>
  <c r="W276" i="68" s="1"/>
  <c r="Y276" i="68" s="1"/>
  <c r="V277" i="68"/>
  <c r="W277" i="68" s="1"/>
  <c r="Y277" i="68" s="1"/>
  <c r="P276" i="68"/>
  <c r="T276" i="68" s="1"/>
  <c r="P277" i="68"/>
  <c r="T277" i="68" s="1"/>
  <c r="P202" i="68"/>
  <c r="T202" i="68" s="1"/>
  <c r="P201" i="68"/>
  <c r="T201" i="68" s="1"/>
  <c r="P198" i="68"/>
  <c r="T198" i="68" s="1"/>
  <c r="P199" i="68"/>
  <c r="T199" i="68" s="1"/>
  <c r="V199" i="68"/>
  <c r="W199" i="68" s="1"/>
  <c r="Y199" i="68" s="1"/>
  <c r="V200" i="68"/>
  <c r="W200" i="68" s="1"/>
  <c r="Y200" i="68" s="1"/>
  <c r="P200" i="68"/>
  <c r="T200" i="68" s="1"/>
  <c r="P32" i="68"/>
  <c r="R32" i="68" s="1"/>
  <c r="V32" i="68"/>
  <c r="W32" i="68" s="1"/>
  <c r="Y32" i="68" s="1"/>
  <c r="Q60" i="46"/>
  <c r="Q59" i="46"/>
  <c r="Q58" i="46"/>
  <c r="Z198" i="68" l="1"/>
  <c r="AA198" i="68" s="1"/>
  <c r="R278" i="68"/>
  <c r="Z278" i="68"/>
  <c r="AB278" i="68" s="1"/>
  <c r="Z325" i="68"/>
  <c r="AA325" i="68" s="1"/>
  <c r="R335" i="68"/>
  <c r="R325" i="68"/>
  <c r="Z202" i="68"/>
  <c r="AA202" i="68" s="1"/>
  <c r="Z199" i="68"/>
  <c r="Z201" i="68"/>
  <c r="AA201" i="68" s="1"/>
  <c r="Z335" i="68"/>
  <c r="AA335" i="68" s="1"/>
  <c r="Z276" i="68"/>
  <c r="AB276" i="68" s="1"/>
  <c r="R199" i="68"/>
  <c r="R277" i="68"/>
  <c r="Z277" i="68"/>
  <c r="AA277" i="68" s="1"/>
  <c r="R276" i="68"/>
  <c r="R202" i="68"/>
  <c r="R201" i="68"/>
  <c r="R200" i="68"/>
  <c r="T32" i="68"/>
  <c r="Z32" i="68" s="1"/>
  <c r="AA32" i="68" s="1"/>
  <c r="R198" i="68"/>
  <c r="Z200" i="68"/>
  <c r="AA200" i="68" s="1"/>
  <c r="AB198" i="68" l="1"/>
  <c r="AB325" i="68"/>
  <c r="AA278" i="68"/>
  <c r="AB201" i="68"/>
  <c r="AA276" i="68"/>
  <c r="AB202" i="68"/>
  <c r="AB199" i="68"/>
  <c r="AA199" i="68"/>
  <c r="AB277" i="68"/>
  <c r="AB32" i="68"/>
  <c r="AB200" i="68"/>
  <c r="I15" i="44" l="1"/>
  <c r="J15" i="44"/>
  <c r="K15" i="44"/>
  <c r="L15" i="44"/>
  <c r="M15" i="44"/>
  <c r="N15" i="44"/>
  <c r="I17" i="44"/>
  <c r="J17" i="44"/>
  <c r="K17" i="44"/>
  <c r="L17" i="44"/>
  <c r="M17" i="44"/>
  <c r="N17" i="44"/>
  <c r="I21" i="44"/>
  <c r="J21" i="44"/>
  <c r="K21" i="44"/>
  <c r="L21" i="44"/>
  <c r="M21" i="44"/>
  <c r="N21" i="44"/>
  <c r="I24" i="44"/>
  <c r="I41" i="44" s="1"/>
  <c r="I59" i="44" s="1"/>
  <c r="J24" i="44"/>
  <c r="J41" i="44" s="1"/>
  <c r="J59" i="44" s="1"/>
  <c r="K24" i="44"/>
  <c r="K41" i="44" s="1"/>
  <c r="K59" i="44" s="1"/>
  <c r="L24" i="44"/>
  <c r="L41" i="44" s="1"/>
  <c r="L59" i="44" s="1"/>
  <c r="M24" i="44"/>
  <c r="M41" i="44" s="1"/>
  <c r="M59" i="44" s="1"/>
  <c r="N24" i="44"/>
  <c r="N41" i="44" s="1"/>
  <c r="N59" i="44" s="1"/>
  <c r="I32" i="44"/>
  <c r="J32" i="44"/>
  <c r="K32" i="44"/>
  <c r="L32" i="44"/>
  <c r="M32" i="44"/>
  <c r="N32" i="44"/>
  <c r="I34" i="44"/>
  <c r="J34" i="44"/>
  <c r="K34" i="44"/>
  <c r="L34" i="44"/>
  <c r="M34" i="44"/>
  <c r="N34" i="44"/>
  <c r="I38" i="44"/>
  <c r="J38" i="44"/>
  <c r="K38" i="44"/>
  <c r="L38" i="44"/>
  <c r="M38" i="44"/>
  <c r="N38" i="44"/>
  <c r="I49" i="44"/>
  <c r="J49" i="44"/>
  <c r="K49" i="44"/>
  <c r="L49" i="44"/>
  <c r="M49" i="44"/>
  <c r="N49" i="44"/>
  <c r="I51" i="44"/>
  <c r="J51" i="44"/>
  <c r="K51" i="44"/>
  <c r="L51" i="44"/>
  <c r="M51" i="44"/>
  <c r="N51" i="44"/>
  <c r="I55" i="44"/>
  <c r="J55" i="44"/>
  <c r="K55" i="44"/>
  <c r="L55" i="44"/>
  <c r="M55" i="44"/>
  <c r="N55" i="44"/>
  <c r="I67" i="44"/>
  <c r="J67" i="44"/>
  <c r="K67" i="44"/>
  <c r="L67" i="44"/>
  <c r="M67" i="44"/>
  <c r="N67" i="44"/>
  <c r="I69" i="44"/>
  <c r="J69" i="44"/>
  <c r="K69" i="44"/>
  <c r="L69" i="44"/>
  <c r="M69" i="44"/>
  <c r="N69" i="44"/>
  <c r="I73" i="44"/>
  <c r="J73" i="44"/>
  <c r="K73" i="44"/>
  <c r="L73" i="44"/>
  <c r="M73" i="44"/>
  <c r="N73" i="44"/>
  <c r="F214" i="7" l="1"/>
  <c r="D34" i="16" l="1"/>
  <c r="L34" i="16" s="1"/>
  <c r="D31" i="16"/>
  <c r="L31" i="16" s="1"/>
  <c r="L34" i="15"/>
  <c r="D31" i="15"/>
  <c r="L31" i="15" s="1"/>
  <c r="D47" i="43" l="1"/>
  <c r="D46" i="43"/>
  <c r="D45" i="43"/>
  <c r="D44" i="43"/>
  <c r="D43" i="43"/>
  <c r="W48" i="47" l="1"/>
  <c r="W45" i="47" s="1"/>
  <c r="W47" i="47"/>
  <c r="W44" i="47" s="1"/>
  <c r="W46" i="47"/>
  <c r="W43" i="47" s="1"/>
  <c r="W42" i="47"/>
  <c r="W39" i="47" s="1"/>
  <c r="W41" i="47"/>
  <c r="W38" i="47" s="1"/>
  <c r="W40" i="47"/>
  <c r="W37" i="47"/>
  <c r="W37" i="37"/>
  <c r="T37" i="37"/>
  <c r="O37" i="37"/>
  <c r="L37" i="37"/>
  <c r="G37" i="37"/>
  <c r="D37" i="37"/>
  <c r="W34" i="37"/>
  <c r="T34" i="37"/>
  <c r="O34" i="37"/>
  <c r="L34" i="37"/>
  <c r="G34" i="37"/>
  <c r="D34" i="37"/>
  <c r="AD264" i="47"/>
  <c r="X39" i="31" s="1"/>
  <c r="Z39" i="31" s="1"/>
  <c r="O264" i="47"/>
  <c r="AD263" i="47"/>
  <c r="O39" i="31" s="1"/>
  <c r="Q39" i="31" s="1"/>
  <c r="O263" i="47"/>
  <c r="AD262" i="47"/>
  <c r="O262" i="47"/>
  <c r="R262" i="47" s="1"/>
  <c r="O258" i="47"/>
  <c r="R258" i="47" s="1"/>
  <c r="O257" i="47"/>
  <c r="R257" i="47" s="1"/>
  <c r="O256" i="47"/>
  <c r="R256" i="47" s="1"/>
  <c r="F39" i="31" l="1"/>
  <c r="H39" i="31" s="1"/>
  <c r="A27" i="40"/>
  <c r="I48" i="32"/>
  <c r="C50" i="32"/>
  <c r="D50" i="32" s="1"/>
  <c r="A50" i="32"/>
  <c r="N24" i="32"/>
  <c r="J50" i="32" s="1"/>
  <c r="K50" i="32" l="1"/>
  <c r="P24" i="32" s="1"/>
  <c r="K76" i="3"/>
  <c r="H76" i="3"/>
  <c r="O74" i="4" l="1"/>
  <c r="D182" i="7" l="1"/>
  <c r="C75" i="2"/>
  <c r="F75" i="2" s="1"/>
  <c r="J75" i="2" s="1"/>
  <c r="C76" i="3" s="1"/>
  <c r="AG351" i="68"/>
  <c r="AF351" i="68"/>
  <c r="AD351" i="68"/>
  <c r="AC351" i="68"/>
  <c r="Q351" i="68"/>
  <c r="N351" i="68"/>
  <c r="O351" i="68" s="1"/>
  <c r="I351" i="68"/>
  <c r="AE351" i="68" s="1"/>
  <c r="AG350" i="68"/>
  <c r="AF350" i="68"/>
  <c r="AD350" i="68"/>
  <c r="AC350" i="68"/>
  <c r="Q350" i="68"/>
  <c r="N350" i="68"/>
  <c r="O350" i="68" s="1"/>
  <c r="I350" i="68"/>
  <c r="AE350" i="68" s="1"/>
  <c r="L338" i="68"/>
  <c r="P351" i="68" l="1"/>
  <c r="T351" i="68" s="1"/>
  <c r="V351" i="68"/>
  <c r="W351" i="68" s="1"/>
  <c r="Y351" i="68" s="1"/>
  <c r="V350" i="68"/>
  <c r="W350" i="68" s="1"/>
  <c r="Y350" i="68" s="1"/>
  <c r="P350" i="68"/>
  <c r="T350" i="68" s="1"/>
  <c r="AG324" i="68"/>
  <c r="AF324" i="68"/>
  <c r="AD324" i="68"/>
  <c r="AC324" i="68"/>
  <c r="Q324" i="68"/>
  <c r="N324" i="68"/>
  <c r="O324" i="68" s="1"/>
  <c r="I324" i="68"/>
  <c r="AE324" i="68" s="1"/>
  <c r="L299" i="68"/>
  <c r="AG295" i="68"/>
  <c r="AF295" i="68"/>
  <c r="AD295" i="68"/>
  <c r="AC295" i="68"/>
  <c r="Q295" i="68"/>
  <c r="N295" i="68"/>
  <c r="O295" i="68" s="1"/>
  <c r="I295" i="68"/>
  <c r="AE295" i="68" s="1"/>
  <c r="AG275" i="68"/>
  <c r="AF275" i="68"/>
  <c r="AD275" i="68"/>
  <c r="AC275" i="68"/>
  <c r="Q275" i="68"/>
  <c r="N275" i="68"/>
  <c r="O275" i="68" s="1"/>
  <c r="I275" i="68"/>
  <c r="AE275" i="68" s="1"/>
  <c r="AG239" i="68"/>
  <c r="AF239" i="68"/>
  <c r="AD239" i="68"/>
  <c r="AC239" i="68"/>
  <c r="Q239" i="68"/>
  <c r="N239" i="68"/>
  <c r="O239" i="68" s="1"/>
  <c r="I239" i="68"/>
  <c r="AE239" i="68" s="1"/>
  <c r="AG241" i="68"/>
  <c r="AF241" i="68"/>
  <c r="AD241" i="68"/>
  <c r="AC241" i="68"/>
  <c r="Q241" i="68"/>
  <c r="N241" i="68"/>
  <c r="O241" i="68" s="1"/>
  <c r="I241" i="68"/>
  <c r="AE241" i="68" s="1"/>
  <c r="AG240" i="68"/>
  <c r="AF240" i="68"/>
  <c r="AD240" i="68"/>
  <c r="AC240" i="68"/>
  <c r="Q240" i="68"/>
  <c r="N240" i="68"/>
  <c r="O240" i="68" s="1"/>
  <c r="I240" i="68"/>
  <c r="AE240" i="68" s="1"/>
  <c r="AG238" i="68"/>
  <c r="AF238" i="68"/>
  <c r="AD238" i="68"/>
  <c r="AC238" i="68"/>
  <c r="Q238" i="68"/>
  <c r="N238" i="68"/>
  <c r="O238" i="68" s="1"/>
  <c r="I238" i="68"/>
  <c r="AE238" i="68" s="1"/>
  <c r="AG237" i="68"/>
  <c r="AF237" i="68"/>
  <c r="AD237" i="68"/>
  <c r="AC237" i="68"/>
  <c r="Q237" i="68"/>
  <c r="N237" i="68"/>
  <c r="O237" i="68" s="1"/>
  <c r="I237" i="68"/>
  <c r="AE237" i="68" s="1"/>
  <c r="AG197" i="68"/>
  <c r="AF197" i="68"/>
  <c r="AD197" i="68"/>
  <c r="AC197" i="68"/>
  <c r="Q197" i="68"/>
  <c r="N197" i="68"/>
  <c r="O197" i="68" s="1"/>
  <c r="I197" i="68"/>
  <c r="AE197" i="68" s="1"/>
  <c r="AG196" i="68"/>
  <c r="AF196" i="68"/>
  <c r="AD196" i="68"/>
  <c r="AC196" i="68"/>
  <c r="Q196" i="68"/>
  <c r="N196" i="68"/>
  <c r="O196" i="68" s="1"/>
  <c r="I196" i="68"/>
  <c r="AE196" i="68" s="1"/>
  <c r="AG195" i="68"/>
  <c r="AF195" i="68"/>
  <c r="AD195" i="68"/>
  <c r="AC195" i="68"/>
  <c r="Q195" i="68"/>
  <c r="N195" i="68"/>
  <c r="O195" i="68" s="1"/>
  <c r="I195" i="68"/>
  <c r="AE195" i="68" s="1"/>
  <c r="AG194" i="68"/>
  <c r="AF194" i="68"/>
  <c r="AD194" i="68"/>
  <c r="AC194" i="68"/>
  <c r="Q194" i="68"/>
  <c r="N194" i="68"/>
  <c r="O194" i="68" s="1"/>
  <c r="I194" i="68"/>
  <c r="AE194" i="68" s="1"/>
  <c r="AG193" i="68"/>
  <c r="AF193" i="68"/>
  <c r="AD193" i="68"/>
  <c r="AC193" i="68"/>
  <c r="Q193" i="68"/>
  <c r="N193" i="68"/>
  <c r="O193" i="68" s="1"/>
  <c r="I193" i="68"/>
  <c r="AE193" i="68" s="1"/>
  <c r="AG192" i="68"/>
  <c r="AF192" i="68"/>
  <c r="AD192" i="68"/>
  <c r="AC192" i="68"/>
  <c r="Q192" i="68"/>
  <c r="N192" i="68"/>
  <c r="O192" i="68" s="1"/>
  <c r="I192" i="68"/>
  <c r="AE192" i="68" s="1"/>
  <c r="AG71" i="68"/>
  <c r="AF71" i="68"/>
  <c r="AD71" i="68"/>
  <c r="AC71" i="68"/>
  <c r="Q71" i="68"/>
  <c r="N71" i="68"/>
  <c r="O71" i="68" s="1"/>
  <c r="I71" i="68"/>
  <c r="AE71" i="68" s="1"/>
  <c r="AG69" i="68"/>
  <c r="AF69" i="68"/>
  <c r="AD69" i="68"/>
  <c r="AC69" i="68"/>
  <c r="Q69" i="68"/>
  <c r="N69" i="68"/>
  <c r="O69" i="68" s="1"/>
  <c r="I69" i="68"/>
  <c r="AE69" i="68" s="1"/>
  <c r="AG58" i="68"/>
  <c r="AF58" i="68"/>
  <c r="AD58" i="68"/>
  <c r="AC58" i="68"/>
  <c r="Q58" i="68"/>
  <c r="N58" i="68"/>
  <c r="O58" i="68" s="1"/>
  <c r="I58" i="68"/>
  <c r="AE58" i="68" s="1"/>
  <c r="AG57" i="68"/>
  <c r="AF57" i="68"/>
  <c r="AD57" i="68"/>
  <c r="AC57" i="68"/>
  <c r="Q57" i="68"/>
  <c r="N57" i="68"/>
  <c r="O57" i="68" s="1"/>
  <c r="I57" i="68"/>
  <c r="AE57" i="68" s="1"/>
  <c r="R351" i="68" l="1"/>
  <c r="Z351" i="68"/>
  <c r="AB351" i="68" s="1"/>
  <c r="P71" i="68"/>
  <c r="T71" i="68" s="1"/>
  <c r="P295" i="68"/>
  <c r="T295" i="68" s="1"/>
  <c r="V69" i="68"/>
  <c r="W69" i="68" s="1"/>
  <c r="Y69" i="68" s="1"/>
  <c r="V71" i="68"/>
  <c r="W71" i="68" s="1"/>
  <c r="Y71" i="68" s="1"/>
  <c r="P69" i="68"/>
  <c r="T69" i="68" s="1"/>
  <c r="V295" i="68"/>
  <c r="W295" i="68" s="1"/>
  <c r="Y295" i="68" s="1"/>
  <c r="R350" i="68"/>
  <c r="Z350" i="68"/>
  <c r="AB350" i="68" s="1"/>
  <c r="P324" i="68"/>
  <c r="T324" i="68" s="1"/>
  <c r="V324" i="68"/>
  <c r="W324" i="68" s="1"/>
  <c r="Y324" i="68" s="1"/>
  <c r="P275" i="68"/>
  <c r="T275" i="68" s="1"/>
  <c r="V275" i="68"/>
  <c r="W275" i="68" s="1"/>
  <c r="Y275" i="68" s="1"/>
  <c r="P196" i="68"/>
  <c r="T196" i="68" s="1"/>
  <c r="V197" i="68"/>
  <c r="W197" i="68" s="1"/>
  <c r="Y197" i="68" s="1"/>
  <c r="P239" i="68"/>
  <c r="T239" i="68" s="1"/>
  <c r="V239" i="68"/>
  <c r="W239" i="68" s="1"/>
  <c r="Y239" i="68" s="1"/>
  <c r="P241" i="68"/>
  <c r="R241" i="68" s="1"/>
  <c r="V237" i="68"/>
  <c r="W237" i="68" s="1"/>
  <c r="Y237" i="68" s="1"/>
  <c r="P237" i="68"/>
  <c r="T237" i="68" s="1"/>
  <c r="V241" i="68"/>
  <c r="W241" i="68" s="1"/>
  <c r="Y241" i="68" s="1"/>
  <c r="V238" i="68"/>
  <c r="W238" i="68" s="1"/>
  <c r="Y238" i="68" s="1"/>
  <c r="V240" i="68"/>
  <c r="W240" i="68" s="1"/>
  <c r="Y240" i="68" s="1"/>
  <c r="P238" i="68"/>
  <c r="P240" i="68"/>
  <c r="T240" i="68" s="1"/>
  <c r="P192" i="68"/>
  <c r="T192" i="68" s="1"/>
  <c r="P197" i="68"/>
  <c r="V192" i="68"/>
  <c r="W192" i="68" s="1"/>
  <c r="Y192" i="68" s="1"/>
  <c r="V196" i="68"/>
  <c r="W196" i="68" s="1"/>
  <c r="Y196" i="68" s="1"/>
  <c r="V194" i="68"/>
  <c r="W194" i="68" s="1"/>
  <c r="Y194" i="68" s="1"/>
  <c r="V193" i="68"/>
  <c r="W193" i="68" s="1"/>
  <c r="Y193" i="68" s="1"/>
  <c r="P193" i="68"/>
  <c r="V195" i="68"/>
  <c r="W195" i="68" s="1"/>
  <c r="Y195" i="68" s="1"/>
  <c r="P194" i="68"/>
  <c r="P195" i="68"/>
  <c r="T195" i="68" s="1"/>
  <c r="P57" i="68"/>
  <c r="T57" i="68" s="1"/>
  <c r="V58" i="68"/>
  <c r="W58" i="68" s="1"/>
  <c r="Y58" i="68" s="1"/>
  <c r="P58" i="68"/>
  <c r="T58" i="68" s="1"/>
  <c r="V57" i="68"/>
  <c r="W57" i="68" s="1"/>
  <c r="Y57" i="68" s="1"/>
  <c r="AT19" i="68"/>
  <c r="AQ19" i="68"/>
  <c r="I25" i="10" s="1"/>
  <c r="W25" i="10" s="1"/>
  <c r="W35" i="10" s="1"/>
  <c r="AG35" i="68"/>
  <c r="AF35" i="68"/>
  <c r="AD35" i="68"/>
  <c r="AC35" i="68"/>
  <c r="Q35" i="68"/>
  <c r="N35" i="68"/>
  <c r="O35" i="68" s="1"/>
  <c r="I35" i="68"/>
  <c r="AE35" i="68" s="1"/>
  <c r="AA351" i="68" l="1"/>
  <c r="Z71" i="68"/>
  <c r="AB71" i="68" s="1"/>
  <c r="Z295" i="68"/>
  <c r="AB295" i="68" s="1"/>
  <c r="AA350" i="68"/>
  <c r="R295" i="68"/>
  <c r="R71" i="68"/>
  <c r="Z69" i="68"/>
  <c r="AB69" i="68" s="1"/>
  <c r="AR19" i="68"/>
  <c r="R69" i="68"/>
  <c r="R324" i="68"/>
  <c r="Z275" i="68"/>
  <c r="AB275" i="68" s="1"/>
  <c r="R275" i="68"/>
  <c r="Z324" i="68"/>
  <c r="AB324" i="68" s="1"/>
  <c r="Z192" i="68"/>
  <c r="AB192" i="68" s="1"/>
  <c r="R196" i="68"/>
  <c r="R239" i="68"/>
  <c r="R192" i="68"/>
  <c r="Z239" i="68"/>
  <c r="AB239" i="68" s="1"/>
  <c r="T241" i="68"/>
  <c r="Z241" i="68" s="1"/>
  <c r="AB241" i="68" s="1"/>
  <c r="R237" i="68"/>
  <c r="Z240" i="68"/>
  <c r="AA240" i="68" s="1"/>
  <c r="R240" i="68"/>
  <c r="R238" i="68"/>
  <c r="T238" i="68"/>
  <c r="Z238" i="68" s="1"/>
  <c r="AA238" i="68" s="1"/>
  <c r="Z237" i="68"/>
  <c r="AB237" i="68" s="1"/>
  <c r="Z196" i="68"/>
  <c r="AB196" i="68" s="1"/>
  <c r="T197" i="68"/>
  <c r="Z197" i="68" s="1"/>
  <c r="AA197" i="68" s="1"/>
  <c r="R197" i="68"/>
  <c r="R57" i="68"/>
  <c r="R195" i="68"/>
  <c r="Z195" i="68"/>
  <c r="AA195" i="68" s="1"/>
  <c r="R194" i="68"/>
  <c r="T194" i="68"/>
  <c r="Z194" i="68" s="1"/>
  <c r="AA194" i="68" s="1"/>
  <c r="T193" i="68"/>
  <c r="Z193" i="68" s="1"/>
  <c r="AB193" i="68" s="1"/>
  <c r="R193" i="68"/>
  <c r="Z57" i="68"/>
  <c r="AB57" i="68" s="1"/>
  <c r="R58" i="68"/>
  <c r="Z58" i="68"/>
  <c r="AB58" i="68" s="1"/>
  <c r="V35" i="68"/>
  <c r="W35" i="68" s="1"/>
  <c r="Y35" i="68" s="1"/>
  <c r="P35" i="68"/>
  <c r="T35" i="68" s="1"/>
  <c r="F216" i="7"/>
  <c r="AA71" i="68" l="1"/>
  <c r="AA241" i="68"/>
  <c r="AA193" i="68"/>
  <c r="AA239" i="68"/>
  <c r="AA324" i="68"/>
  <c r="AA192" i="68"/>
  <c r="AA57" i="68"/>
  <c r="AA58" i="68"/>
  <c r="AA196" i="68"/>
  <c r="AA237" i="68"/>
  <c r="AA69" i="68"/>
  <c r="AA295" i="68"/>
  <c r="AA275" i="68"/>
  <c r="AB238" i="68"/>
  <c r="AB240" i="68"/>
  <c r="AB197" i="68"/>
  <c r="AB194" i="68"/>
  <c r="AB195" i="68"/>
  <c r="Z35" i="68"/>
  <c r="R35" i="68"/>
  <c r="L93" i="7"/>
  <c r="D93" i="7"/>
  <c r="N92" i="7"/>
  <c r="N91" i="7"/>
  <c r="N90" i="7"/>
  <c r="N89" i="7"/>
  <c r="AB35" i="68" l="1"/>
  <c r="AA35" i="68"/>
  <c r="N93" i="7"/>
  <c r="AG14" i="68"/>
  <c r="AF14" i="68"/>
  <c r="AD14" i="68"/>
  <c r="AC14" i="68"/>
  <c r="Q14" i="68"/>
  <c r="N14" i="68"/>
  <c r="O14" i="68" s="1"/>
  <c r="I14" i="68"/>
  <c r="AE14" i="68" s="1"/>
  <c r="AG13" i="68"/>
  <c r="AF13" i="68"/>
  <c r="AD13" i="68"/>
  <c r="AC13" i="68"/>
  <c r="Q13" i="68"/>
  <c r="N13" i="68"/>
  <c r="O13" i="68" s="1"/>
  <c r="AE13" i="68"/>
  <c r="AG45" i="68"/>
  <c r="AF45" i="68"/>
  <c r="AD45" i="68"/>
  <c r="AC45" i="68"/>
  <c r="Q45" i="68"/>
  <c r="N45" i="68"/>
  <c r="O45" i="68" s="1"/>
  <c r="I45" i="68"/>
  <c r="AE45" i="68" s="1"/>
  <c r="AG44" i="68"/>
  <c r="AF44" i="68"/>
  <c r="AD44" i="68"/>
  <c r="AC44" i="68"/>
  <c r="Q44" i="68"/>
  <c r="N44" i="68"/>
  <c r="O44" i="68" s="1"/>
  <c r="I44" i="68"/>
  <c r="AE44" i="68" s="1"/>
  <c r="AG43" i="68"/>
  <c r="AF43" i="68"/>
  <c r="AD43" i="68"/>
  <c r="AC43" i="68"/>
  <c r="Q43" i="68"/>
  <c r="N43" i="68"/>
  <c r="O43" i="68" s="1"/>
  <c r="I43" i="68"/>
  <c r="AE43" i="68" s="1"/>
  <c r="AG42" i="68"/>
  <c r="AF42" i="68"/>
  <c r="AD42" i="68"/>
  <c r="AC42" i="68"/>
  <c r="Q42" i="68"/>
  <c r="N42" i="68"/>
  <c r="I42" i="68"/>
  <c r="AE42" i="68" s="1"/>
  <c r="O42" i="68" l="1"/>
  <c r="V44" i="68"/>
  <c r="W44" i="68" s="1"/>
  <c r="Y44" i="68" s="1"/>
  <c r="V42" i="68"/>
  <c r="P13" i="68"/>
  <c r="R13" i="68" s="1"/>
  <c r="T13" i="68" s="1"/>
  <c r="P14" i="68"/>
  <c r="R14" i="68" s="1"/>
  <c r="T14" i="68" s="1"/>
  <c r="P44" i="68"/>
  <c r="R44" i="68" s="1"/>
  <c r="T44" i="68" s="1"/>
  <c r="P45" i="68"/>
  <c r="R45" i="68" s="1"/>
  <c r="P42" i="68"/>
  <c r="V13" i="68"/>
  <c r="W13" i="68" s="1"/>
  <c r="Y13" i="68" s="1"/>
  <c r="P43" i="68"/>
  <c r="R43" i="68" s="1"/>
  <c r="T43" i="68" s="1"/>
  <c r="E55" i="42"/>
  <c r="E54" i="42"/>
  <c r="E53" i="42"/>
  <c r="E52" i="42"/>
  <c r="E51" i="42"/>
  <c r="E50" i="42"/>
  <c r="E34" i="42"/>
  <c r="E33" i="42"/>
  <c r="E31" i="42"/>
  <c r="E30" i="42"/>
  <c r="F30" i="42" s="1"/>
  <c r="E32" i="42"/>
  <c r="F32" i="42" s="1"/>
  <c r="E28" i="42"/>
  <c r="F28" i="42" s="1"/>
  <c r="E27" i="42"/>
  <c r="F27" i="42" s="1"/>
  <c r="E26" i="42"/>
  <c r="F26" i="42" s="1"/>
  <c r="E24" i="42"/>
  <c r="E23" i="42"/>
  <c r="E22" i="42"/>
  <c r="F22" i="42" s="1"/>
  <c r="E21" i="42"/>
  <c r="E20" i="42"/>
  <c r="E29" i="42"/>
  <c r="F29" i="42" s="1"/>
  <c r="E56" i="42"/>
  <c r="E57" i="42"/>
  <c r="H43" i="9"/>
  <c r="E25" i="42"/>
  <c r="Z44" i="68" l="1"/>
  <c r="AA44" i="68" s="1"/>
  <c r="R42" i="68"/>
  <c r="W42" i="68"/>
  <c r="T45" i="68"/>
  <c r="V45" i="68"/>
  <c r="W45" i="68" s="1"/>
  <c r="Y45" i="68" s="1"/>
  <c r="V14" i="68"/>
  <c r="W14" i="68" s="1"/>
  <c r="Y14" i="68" s="1"/>
  <c r="V43" i="68"/>
  <c r="W43" i="68" s="1"/>
  <c r="Y43" i="68" s="1"/>
  <c r="Z13" i="68"/>
  <c r="AA13" i="68" s="1"/>
  <c r="E10" i="42"/>
  <c r="E58" i="42"/>
  <c r="E59" i="42"/>
  <c r="E41" i="42"/>
  <c r="E47" i="42"/>
  <c r="F47" i="42" s="1"/>
  <c r="E64" i="42"/>
  <c r="E16" i="42"/>
  <c r="E45" i="42"/>
  <c r="E44" i="42"/>
  <c r="AG274" i="68"/>
  <c r="AF274" i="68"/>
  <c r="AD274" i="68"/>
  <c r="AC274" i="68"/>
  <c r="Q274" i="68"/>
  <c r="N274" i="68"/>
  <c r="O274" i="68" s="1"/>
  <c r="I274" i="68"/>
  <c r="AE274" i="68" s="1"/>
  <c r="AG191" i="68"/>
  <c r="AF191" i="68"/>
  <c r="AD191" i="68"/>
  <c r="AC191" i="68"/>
  <c r="Q191" i="68"/>
  <c r="N191" i="68"/>
  <c r="O191" i="68" s="1"/>
  <c r="I191" i="68"/>
  <c r="AE191" i="68" s="1"/>
  <c r="Z43" i="68" l="1"/>
  <c r="AB43" i="68" s="1"/>
  <c r="Z14" i="68"/>
  <c r="AA14" i="68" s="1"/>
  <c r="Z45" i="68"/>
  <c r="AB45" i="68" s="1"/>
  <c r="Y42" i="68"/>
  <c r="T42" i="68"/>
  <c r="P274" i="68"/>
  <c r="T274" i="68" s="1"/>
  <c r="V274" i="68"/>
  <c r="W274" i="68" s="1"/>
  <c r="Y274" i="68" s="1"/>
  <c r="P191" i="68"/>
  <c r="T191" i="68" s="1"/>
  <c r="V191" i="68"/>
  <c r="W191" i="68" s="1"/>
  <c r="Y191" i="68" s="1"/>
  <c r="E62" i="42"/>
  <c r="E61" i="42"/>
  <c r="E60" i="42"/>
  <c r="E63" i="42"/>
  <c r="E43" i="42"/>
  <c r="E40" i="42"/>
  <c r="E46" i="42"/>
  <c r="A31" i="40"/>
  <c r="A30" i="40"/>
  <c r="A28" i="40"/>
  <c r="A26" i="40"/>
  <c r="A25" i="40"/>
  <c r="A24" i="40"/>
  <c r="A23" i="40"/>
  <c r="A22" i="40"/>
  <c r="A21" i="40"/>
  <c r="A20" i="40"/>
  <c r="A19" i="40"/>
  <c r="A18" i="40"/>
  <c r="A16" i="40"/>
  <c r="AA43" i="68" l="1"/>
  <c r="AA45" i="68"/>
  <c r="Z42" i="68"/>
  <c r="AA42" i="68" s="1"/>
  <c r="Z274" i="68"/>
  <c r="AB274" i="68" s="1"/>
  <c r="R274" i="68"/>
  <c r="Z191" i="68"/>
  <c r="AB191" i="68" s="1"/>
  <c r="R191" i="68"/>
  <c r="F20" i="34"/>
  <c r="L20" i="34" s="1"/>
  <c r="E39" i="42"/>
  <c r="E38" i="42"/>
  <c r="E42" i="42"/>
  <c r="E15" i="42"/>
  <c r="E14" i="42"/>
  <c r="E13" i="42"/>
  <c r="E12" i="42"/>
  <c r="E11" i="42"/>
  <c r="A54" i="32"/>
  <c r="C45" i="32"/>
  <c r="D45" i="32" s="1"/>
  <c r="A45" i="32"/>
  <c r="C51" i="32"/>
  <c r="D51" i="32" s="1"/>
  <c r="A51" i="32"/>
  <c r="C41" i="32"/>
  <c r="D41" i="32" s="1"/>
  <c r="A41" i="32"/>
  <c r="AA191" i="68" l="1"/>
  <c r="AA274" i="68"/>
  <c r="AB42" i="68"/>
  <c r="N25" i="32"/>
  <c r="J51" i="32" s="1"/>
  <c r="M25" i="32"/>
  <c r="G51" i="32" s="1"/>
  <c r="I51" i="32" s="1"/>
  <c r="N19" i="32"/>
  <c r="N36" i="32" s="1"/>
  <c r="M19" i="32"/>
  <c r="G45" i="32" s="1"/>
  <c r="I45" i="32" s="1"/>
  <c r="N15" i="32"/>
  <c r="M15" i="32"/>
  <c r="G41" i="32" s="1"/>
  <c r="I41" i="32" s="1"/>
  <c r="I352" i="68"/>
  <c r="AG349" i="68"/>
  <c r="AF349" i="68"/>
  <c r="AD349" i="68"/>
  <c r="AC349" i="68"/>
  <c r="Q349" i="68"/>
  <c r="N349" i="68"/>
  <c r="O349" i="68" s="1"/>
  <c r="I349" i="68"/>
  <c r="AE349" i="68" s="1"/>
  <c r="AG323" i="68"/>
  <c r="AF323" i="68"/>
  <c r="AD323" i="68"/>
  <c r="AC323" i="68"/>
  <c r="Q323" i="68"/>
  <c r="N323" i="68"/>
  <c r="O323" i="68" s="1"/>
  <c r="I323" i="68"/>
  <c r="AE323" i="68" s="1"/>
  <c r="AG61" i="68"/>
  <c r="AF61" i="68"/>
  <c r="AD61" i="68"/>
  <c r="AC61" i="68"/>
  <c r="Q61" i="68"/>
  <c r="N61" i="68"/>
  <c r="O61" i="68" s="1"/>
  <c r="I61" i="68"/>
  <c r="AE61" i="68" s="1"/>
  <c r="L291" i="68"/>
  <c r="AG273" i="68"/>
  <c r="AF273" i="68"/>
  <c r="AD273" i="68"/>
  <c r="AC273" i="68"/>
  <c r="Q273" i="68"/>
  <c r="N273" i="68"/>
  <c r="O273" i="68" s="1"/>
  <c r="I273" i="68"/>
  <c r="AE273" i="68" s="1"/>
  <c r="AG190" i="68"/>
  <c r="AF190" i="68"/>
  <c r="AD190" i="68"/>
  <c r="AC190" i="68"/>
  <c r="Q190" i="68"/>
  <c r="N190" i="68"/>
  <c r="O190" i="68" s="1"/>
  <c r="I190" i="68"/>
  <c r="AE190" i="68" s="1"/>
  <c r="AG189" i="68"/>
  <c r="AF189" i="68"/>
  <c r="AD189" i="68"/>
  <c r="AC189" i="68"/>
  <c r="Q189" i="68"/>
  <c r="N189" i="68"/>
  <c r="O189" i="68" s="1"/>
  <c r="I189" i="68"/>
  <c r="AE189" i="68" s="1"/>
  <c r="AG31" i="68"/>
  <c r="AF31" i="68"/>
  <c r="AD31" i="68"/>
  <c r="AC31" i="68"/>
  <c r="Q31" i="68"/>
  <c r="N31" i="68"/>
  <c r="O31" i="68" s="1"/>
  <c r="I31" i="68"/>
  <c r="AE31" i="68" s="1"/>
  <c r="J41" i="32" l="1"/>
  <c r="K41" i="32" s="1"/>
  <c r="P15" i="32" s="1"/>
  <c r="Q15" i="32" s="1"/>
  <c r="K51" i="32"/>
  <c r="J45" i="32"/>
  <c r="K45" i="32" s="1"/>
  <c r="P19" i="32" s="1"/>
  <c r="Q19" i="32" s="1"/>
  <c r="V349" i="68"/>
  <c r="W349" i="68" s="1"/>
  <c r="Y349" i="68" s="1"/>
  <c r="P323" i="68"/>
  <c r="T323" i="68" s="1"/>
  <c r="P61" i="68"/>
  <c r="T61" i="68" s="1"/>
  <c r="V61" i="68"/>
  <c r="W61" i="68" s="1"/>
  <c r="Y61" i="68" s="1"/>
  <c r="V323" i="68"/>
  <c r="W323" i="68" s="1"/>
  <c r="Y323" i="68" s="1"/>
  <c r="AU19" i="68"/>
  <c r="P273" i="68"/>
  <c r="T273" i="68" s="1"/>
  <c r="P349" i="68"/>
  <c r="V273" i="68"/>
  <c r="W273" i="68" s="1"/>
  <c r="Y273" i="68" s="1"/>
  <c r="P190" i="68"/>
  <c r="T190" i="68" s="1"/>
  <c r="V189" i="68"/>
  <c r="W189" i="68" s="1"/>
  <c r="Y189" i="68" s="1"/>
  <c r="V190" i="68"/>
  <c r="W190" i="68" s="1"/>
  <c r="Y190" i="68" s="1"/>
  <c r="P189" i="68"/>
  <c r="T189" i="68" s="1"/>
  <c r="P31" i="68"/>
  <c r="T31" i="68" s="1"/>
  <c r="V31" i="68"/>
  <c r="W31" i="68" s="1"/>
  <c r="Y31" i="68" s="1"/>
  <c r="AW19" i="68" l="1"/>
  <c r="AY19" i="68" s="1"/>
  <c r="P25" i="32"/>
  <c r="Q25" i="32" s="1"/>
  <c r="Q26" i="32"/>
  <c r="R26" i="32" s="1"/>
  <c r="C29" i="40" s="1"/>
  <c r="D29" i="40" s="1"/>
  <c r="Z323" i="68"/>
  <c r="AB323" i="68" s="1"/>
  <c r="R61" i="68"/>
  <c r="R323" i="68"/>
  <c r="AV19" i="68"/>
  <c r="Z61" i="68"/>
  <c r="AA61" i="68" s="1"/>
  <c r="R273" i="68"/>
  <c r="Z273" i="68"/>
  <c r="AB273" i="68" s="1"/>
  <c r="Z31" i="68"/>
  <c r="AB31" i="68" s="1"/>
  <c r="R349" i="68"/>
  <c r="T349" i="68"/>
  <c r="Z349" i="68" s="1"/>
  <c r="AA349" i="68" s="1"/>
  <c r="Z189" i="68"/>
  <c r="AB189" i="68" s="1"/>
  <c r="R189" i="68"/>
  <c r="R31" i="68"/>
  <c r="R190" i="68"/>
  <c r="Z190" i="68"/>
  <c r="AB190" i="68" s="1"/>
  <c r="U26" i="48"/>
  <c r="U16" i="48"/>
  <c r="U12" i="49"/>
  <c r="U27" i="49"/>
  <c r="U23" i="49"/>
  <c r="U19" i="49"/>
  <c r="U16" i="49"/>
  <c r="AC48" i="47"/>
  <c r="AC45" i="47" s="1"/>
  <c r="AC47" i="47"/>
  <c r="AC44" i="47" s="1"/>
  <c r="AC46" i="47"/>
  <c r="AC43" i="47" s="1"/>
  <c r="AC42" i="47"/>
  <c r="AC39" i="47" s="1"/>
  <c r="AC41" i="47"/>
  <c r="AC38" i="47" s="1"/>
  <c r="AC40" i="47"/>
  <c r="AC37" i="47" s="1"/>
  <c r="AY357" i="68" l="1"/>
  <c r="BA19" i="68"/>
  <c r="BA357" i="68" s="1"/>
  <c r="Q36" i="32"/>
  <c r="AA190" i="68"/>
  <c r="AA31" i="68"/>
  <c r="AA323" i="68"/>
  <c r="AA273" i="68"/>
  <c r="AA189" i="68"/>
  <c r="U19" i="48"/>
  <c r="U31" i="48"/>
  <c r="AX19" i="68"/>
  <c r="AZ19" i="68" s="1"/>
  <c r="U27" i="48"/>
  <c r="U30" i="48"/>
  <c r="U22" i="48"/>
  <c r="AB61" i="68"/>
  <c r="AB349" i="68"/>
  <c r="U28" i="48"/>
  <c r="U29" i="48"/>
  <c r="U24" i="48"/>
  <c r="U25" i="48"/>
  <c r="U18" i="48"/>
  <c r="U13" i="48"/>
  <c r="U14" i="48"/>
  <c r="U23" i="48"/>
  <c r="U15" i="48"/>
  <c r="U20" i="48"/>
  <c r="U33" i="48"/>
  <c r="U12" i="48"/>
  <c r="U21" i="48"/>
  <c r="U22" i="49"/>
  <c r="U18" i="49"/>
  <c r="U13" i="49"/>
  <c r="U24" i="49"/>
  <c r="U20" i="49"/>
  <c r="U15" i="49"/>
  <c r="U29" i="49"/>
  <c r="U14" i="49"/>
  <c r="U26" i="49"/>
  <c r="U25" i="49"/>
  <c r="U21" i="49"/>
  <c r="F21" i="27"/>
  <c r="F20" i="27"/>
  <c r="F19" i="27"/>
  <c r="E21" i="27"/>
  <c r="E20" i="27"/>
  <c r="E19" i="27"/>
  <c r="D21" i="27"/>
  <c r="D20" i="27"/>
  <c r="D19" i="27"/>
  <c r="AZ357" i="68" l="1"/>
  <c r="BD19" i="68"/>
  <c r="BD357" i="68" s="1"/>
  <c r="BB19" i="68"/>
  <c r="BB357" i="68" s="1"/>
  <c r="V16" i="49"/>
  <c r="V29" i="49"/>
  <c r="V33" i="48"/>
  <c r="U42" i="48"/>
  <c r="V16" i="48"/>
  <c r="U41" i="48"/>
  <c r="K67" i="5"/>
  <c r="K66" i="5"/>
  <c r="K65" i="5"/>
  <c r="K64" i="5"/>
  <c r="K63" i="5"/>
  <c r="K62" i="5"/>
  <c r="K61" i="5"/>
  <c r="K60" i="5"/>
  <c r="K59" i="5"/>
  <c r="K58" i="5"/>
  <c r="K57" i="5"/>
  <c r="J67" i="5"/>
  <c r="J66" i="5"/>
  <c r="J65" i="5"/>
  <c r="J64" i="5"/>
  <c r="J63" i="5"/>
  <c r="J62" i="5"/>
  <c r="J61" i="5"/>
  <c r="J60" i="5"/>
  <c r="J59" i="5"/>
  <c r="J58" i="5"/>
  <c r="J57" i="5"/>
  <c r="K56" i="5"/>
  <c r="J56" i="5"/>
  <c r="J43" i="5"/>
  <c r="J42" i="5"/>
  <c r="J41" i="5"/>
  <c r="J40" i="5"/>
  <c r="J39" i="5"/>
  <c r="J38" i="5"/>
  <c r="J37" i="5"/>
  <c r="J36" i="5"/>
  <c r="J35" i="5"/>
  <c r="J34" i="5"/>
  <c r="J33" i="5"/>
  <c r="J32" i="5"/>
  <c r="K43" i="5"/>
  <c r="K42" i="5"/>
  <c r="K41" i="5"/>
  <c r="K40" i="5"/>
  <c r="K39" i="5"/>
  <c r="K38" i="5"/>
  <c r="K37" i="5"/>
  <c r="K36" i="5"/>
  <c r="K35" i="5"/>
  <c r="K34" i="5"/>
  <c r="K33" i="5"/>
  <c r="K32" i="5"/>
  <c r="F66" i="5"/>
  <c r="F65" i="5"/>
  <c r="F64" i="5"/>
  <c r="F63" i="5"/>
  <c r="E67" i="5"/>
  <c r="E66" i="5"/>
  <c r="E65" i="5"/>
  <c r="E64" i="5"/>
  <c r="E63" i="5"/>
  <c r="A67" i="5"/>
  <c r="A66" i="5"/>
  <c r="A65" i="5"/>
  <c r="A64" i="5"/>
  <c r="A63" i="5"/>
  <c r="A42" i="5"/>
  <c r="A41" i="5"/>
  <c r="A40" i="5"/>
  <c r="A39" i="5"/>
  <c r="F43" i="5"/>
  <c r="F42" i="5"/>
  <c r="F41" i="5"/>
  <c r="F40" i="5"/>
  <c r="F39" i="5"/>
  <c r="E43" i="5"/>
  <c r="E42" i="5"/>
  <c r="E41" i="5"/>
  <c r="E40" i="5"/>
  <c r="E39" i="5"/>
  <c r="K21" i="5"/>
  <c r="J21" i="5"/>
  <c r="F21" i="5"/>
  <c r="E21" i="5"/>
  <c r="K20" i="5"/>
  <c r="J20" i="5"/>
  <c r="F20" i="5"/>
  <c r="E20" i="5"/>
  <c r="K19" i="5"/>
  <c r="J19" i="5"/>
  <c r="F19" i="5"/>
  <c r="E19" i="5"/>
  <c r="K18" i="5"/>
  <c r="J18" i="5"/>
  <c r="F18" i="5"/>
  <c r="E18" i="5"/>
  <c r="K17" i="5"/>
  <c r="J17" i="5"/>
  <c r="F17" i="5"/>
  <c r="E17" i="5"/>
  <c r="A21" i="5"/>
  <c r="A20" i="5"/>
  <c r="A19" i="5"/>
  <c r="A18" i="5"/>
  <c r="A17" i="5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A64" i="27"/>
  <c r="A63" i="27"/>
  <c r="A62" i="27"/>
  <c r="A61" i="27"/>
  <c r="A60" i="27"/>
  <c r="A39" i="27"/>
  <c r="A40" i="27"/>
  <c r="A41" i="27"/>
  <c r="A42" i="27"/>
  <c r="F42" i="27"/>
  <c r="E42" i="27"/>
  <c r="D42" i="27"/>
  <c r="F41" i="27"/>
  <c r="E41" i="27"/>
  <c r="D41" i="27"/>
  <c r="F40" i="27"/>
  <c r="E40" i="27"/>
  <c r="D40" i="27"/>
  <c r="F39" i="27"/>
  <c r="E39" i="27"/>
  <c r="D39" i="27"/>
  <c r="F38" i="27"/>
  <c r="E38" i="27"/>
  <c r="D38" i="27"/>
  <c r="A38" i="27"/>
  <c r="F18" i="27"/>
  <c r="E18" i="27"/>
  <c r="D18" i="27"/>
  <c r="F17" i="27"/>
  <c r="E17" i="27"/>
  <c r="D17" i="27"/>
  <c r="A21" i="27"/>
  <c r="A20" i="27"/>
  <c r="A19" i="27"/>
  <c r="A18" i="27"/>
  <c r="A17" i="27"/>
  <c r="C43" i="5"/>
  <c r="C42" i="5"/>
  <c r="C41" i="5"/>
  <c r="C67" i="5"/>
  <c r="C66" i="5"/>
  <c r="C65" i="5"/>
  <c r="C21" i="5"/>
  <c r="C20" i="5"/>
  <c r="C19" i="5"/>
  <c r="C40" i="5"/>
  <c r="C64" i="5"/>
  <c r="C18" i="5"/>
  <c r="AI37" i="48"/>
  <c r="AH37" i="48"/>
  <c r="AG37" i="48"/>
  <c r="AF37" i="48"/>
  <c r="AE37" i="48"/>
  <c r="AD37" i="48"/>
  <c r="AC37" i="48"/>
  <c r="AB37" i="48"/>
  <c r="AA37" i="48"/>
  <c r="Z37" i="48"/>
  <c r="Y37" i="48"/>
  <c r="X37" i="48"/>
  <c r="F38" i="13"/>
  <c r="M38" i="13" s="1"/>
  <c r="N38" i="13" s="1"/>
  <c r="N76" i="7"/>
  <c r="N71" i="7"/>
  <c r="AG188" i="68"/>
  <c r="AF188" i="68"/>
  <c r="AD188" i="68"/>
  <c r="AC188" i="68"/>
  <c r="Q188" i="68"/>
  <c r="N188" i="68"/>
  <c r="O188" i="68" s="1"/>
  <c r="I188" i="68"/>
  <c r="AE188" i="68" s="1"/>
  <c r="O71" i="4"/>
  <c r="C62" i="27" l="1"/>
  <c r="D20" i="5"/>
  <c r="H20" i="5" s="1"/>
  <c r="I20" i="5" s="1"/>
  <c r="C61" i="27"/>
  <c r="D41" i="5"/>
  <c r="H41" i="5" s="1"/>
  <c r="I41" i="5" s="1"/>
  <c r="C40" i="27"/>
  <c r="C42" i="27"/>
  <c r="C41" i="27"/>
  <c r="D66" i="5"/>
  <c r="H66" i="5" s="1"/>
  <c r="I66" i="5" s="1"/>
  <c r="D179" i="7"/>
  <c r="C72" i="2"/>
  <c r="F72" i="2" s="1"/>
  <c r="J72" i="2" s="1"/>
  <c r="C73" i="3" s="1"/>
  <c r="U37" i="48"/>
  <c r="D21" i="5"/>
  <c r="H21" i="5" s="1"/>
  <c r="I21" i="5" s="1"/>
  <c r="D43" i="5"/>
  <c r="H43" i="5" s="1"/>
  <c r="I43" i="5" s="1"/>
  <c r="C60" i="27"/>
  <c r="C39" i="27"/>
  <c r="D64" i="5"/>
  <c r="H64" i="5" s="1"/>
  <c r="I64" i="5" s="1"/>
  <c r="D19" i="5"/>
  <c r="H19" i="5" s="1"/>
  <c r="I19" i="5" s="1"/>
  <c r="V188" i="68"/>
  <c r="W188" i="68" s="1"/>
  <c r="Y188" i="68" s="1"/>
  <c r="P188" i="68"/>
  <c r="T188" i="68" s="1"/>
  <c r="C64" i="27"/>
  <c r="D42" i="5"/>
  <c r="H42" i="5" s="1"/>
  <c r="I42" i="5" s="1"/>
  <c r="C63" i="27"/>
  <c r="D65" i="5"/>
  <c r="H65" i="5" s="1"/>
  <c r="I65" i="5" s="1"/>
  <c r="D40" i="5"/>
  <c r="H40" i="5" s="1"/>
  <c r="I40" i="5" s="1"/>
  <c r="D18" i="5"/>
  <c r="H18" i="5" s="1"/>
  <c r="I18" i="5" s="1"/>
  <c r="C38" i="27"/>
  <c r="W68" i="37"/>
  <c r="W67" i="37"/>
  <c r="W63" i="37"/>
  <c r="W62" i="37"/>
  <c r="W61" i="37"/>
  <c r="W60" i="37"/>
  <c r="W59" i="37"/>
  <c r="W58" i="37"/>
  <c r="W57" i="37"/>
  <c r="W56" i="37"/>
  <c r="W55" i="37"/>
  <c r="W54" i="37"/>
  <c r="W53" i="37"/>
  <c r="W52" i="37"/>
  <c r="W51" i="37"/>
  <c r="W48" i="37"/>
  <c r="W47" i="37"/>
  <c r="W46" i="37"/>
  <c r="W45" i="37"/>
  <c r="W44" i="37"/>
  <c r="W43" i="37"/>
  <c r="W42" i="37"/>
  <c r="W41" i="37"/>
  <c r="W40" i="37"/>
  <c r="W39" i="37"/>
  <c r="W38" i="37"/>
  <c r="W36" i="37"/>
  <c r="W35" i="37"/>
  <c r="W33" i="37"/>
  <c r="W30" i="37"/>
  <c r="W29" i="37"/>
  <c r="W28" i="37"/>
  <c r="W27" i="37"/>
  <c r="W26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T68" i="37"/>
  <c r="T67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48" i="37"/>
  <c r="T47" i="37"/>
  <c r="T46" i="37"/>
  <c r="T45" i="37"/>
  <c r="T44" i="37"/>
  <c r="T43" i="37"/>
  <c r="T42" i="37"/>
  <c r="T41" i="37"/>
  <c r="T40" i="37"/>
  <c r="T39" i="37"/>
  <c r="T38" i="37"/>
  <c r="T36" i="37"/>
  <c r="T35" i="37"/>
  <c r="T33" i="37"/>
  <c r="T30" i="37"/>
  <c r="T29" i="37"/>
  <c r="T28" i="37"/>
  <c r="T27" i="37"/>
  <c r="T26" i="37"/>
  <c r="T25" i="37"/>
  <c r="T24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O68" i="37"/>
  <c r="O67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48" i="37"/>
  <c r="O47" i="37"/>
  <c r="O46" i="37"/>
  <c r="O45" i="37"/>
  <c r="O44" i="37"/>
  <c r="O43" i="37"/>
  <c r="O42" i="37"/>
  <c r="O41" i="37"/>
  <c r="O40" i="37"/>
  <c r="O39" i="37"/>
  <c r="O38" i="37"/>
  <c r="O36" i="37"/>
  <c r="O35" i="37"/>
  <c r="O33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L68" i="37"/>
  <c r="L67" i="37"/>
  <c r="L63" i="37"/>
  <c r="L62" i="37"/>
  <c r="L61" i="37"/>
  <c r="L60" i="37"/>
  <c r="L59" i="37"/>
  <c r="L58" i="37"/>
  <c r="L57" i="37"/>
  <c r="L56" i="37"/>
  <c r="L55" i="37"/>
  <c r="L54" i="37"/>
  <c r="L53" i="37"/>
  <c r="L52" i="37"/>
  <c r="L51" i="37"/>
  <c r="L48" i="37"/>
  <c r="L47" i="37"/>
  <c r="L46" i="37"/>
  <c r="L45" i="37"/>
  <c r="L44" i="37"/>
  <c r="L43" i="37"/>
  <c r="L42" i="37"/>
  <c r="L41" i="37"/>
  <c r="L40" i="37"/>
  <c r="L39" i="37"/>
  <c r="L38" i="37"/>
  <c r="L36" i="37"/>
  <c r="L35" i="37"/>
  <c r="L33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G68" i="37"/>
  <c r="G67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48" i="37"/>
  <c r="G47" i="37"/>
  <c r="G46" i="37"/>
  <c r="G45" i="37"/>
  <c r="G44" i="37"/>
  <c r="G43" i="37"/>
  <c r="G42" i="37"/>
  <c r="G41" i="37"/>
  <c r="G40" i="37"/>
  <c r="G39" i="37"/>
  <c r="G38" i="37"/>
  <c r="G36" i="37"/>
  <c r="G35" i="37"/>
  <c r="G33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D68" i="37"/>
  <c r="D67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48" i="37"/>
  <c r="D47" i="37"/>
  <c r="D46" i="37"/>
  <c r="D45" i="37"/>
  <c r="D44" i="37"/>
  <c r="D43" i="37"/>
  <c r="D42" i="37"/>
  <c r="D41" i="37"/>
  <c r="D40" i="37"/>
  <c r="D39" i="37"/>
  <c r="D38" i="37"/>
  <c r="D36" i="37"/>
  <c r="D35" i="37"/>
  <c r="D33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E23" i="35"/>
  <c r="E22" i="35"/>
  <c r="E21" i="35"/>
  <c r="E20" i="35"/>
  <c r="E19" i="35"/>
  <c r="E18" i="35"/>
  <c r="E17" i="35"/>
  <c r="E16" i="35"/>
  <c r="E15" i="35"/>
  <c r="E14" i="35"/>
  <c r="E13" i="35"/>
  <c r="E12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AG56" i="68"/>
  <c r="AF56" i="68"/>
  <c r="AD56" i="68"/>
  <c r="AC56" i="68"/>
  <c r="Q56" i="68"/>
  <c r="N56" i="68"/>
  <c r="O56" i="68" s="1"/>
  <c r="I56" i="68"/>
  <c r="AE56" i="68" s="1"/>
  <c r="AG55" i="68"/>
  <c r="AF55" i="68"/>
  <c r="AD55" i="68"/>
  <c r="AC55" i="68"/>
  <c r="Q55" i="68"/>
  <c r="N55" i="68"/>
  <c r="O55" i="68" s="1"/>
  <c r="I55" i="68"/>
  <c r="AE55" i="68" s="1"/>
  <c r="AG322" i="68"/>
  <c r="AF322" i="68"/>
  <c r="AD322" i="68"/>
  <c r="AC322" i="68"/>
  <c r="Q322" i="68"/>
  <c r="N322" i="68"/>
  <c r="O322" i="68" s="1"/>
  <c r="I322" i="68"/>
  <c r="AE322" i="68" s="1"/>
  <c r="AG321" i="68"/>
  <c r="AF321" i="68"/>
  <c r="AD321" i="68"/>
  <c r="AC321" i="68"/>
  <c r="Q321" i="68"/>
  <c r="N321" i="68"/>
  <c r="O321" i="68" s="1"/>
  <c r="I321" i="68"/>
  <c r="AE321" i="68" s="1"/>
  <c r="L298" i="68"/>
  <c r="I296" i="68"/>
  <c r="AE296" i="68" s="1"/>
  <c r="AG296" i="68"/>
  <c r="AF296" i="68"/>
  <c r="AD296" i="68"/>
  <c r="AC296" i="68"/>
  <c r="Q296" i="68"/>
  <c r="N296" i="68"/>
  <c r="O296" i="68" s="1"/>
  <c r="AG30" i="68"/>
  <c r="AF30" i="68"/>
  <c r="AD30" i="68"/>
  <c r="AC30" i="68"/>
  <c r="Q30" i="68"/>
  <c r="N30" i="68"/>
  <c r="O30" i="68" s="1"/>
  <c r="I30" i="68"/>
  <c r="AE30" i="68" s="1"/>
  <c r="AG29" i="68"/>
  <c r="AF29" i="68"/>
  <c r="AD29" i="68"/>
  <c r="AC29" i="68"/>
  <c r="Q29" i="68"/>
  <c r="N29" i="68"/>
  <c r="O29" i="68" s="1"/>
  <c r="I29" i="68"/>
  <c r="AE29" i="68" s="1"/>
  <c r="AG28" i="68"/>
  <c r="AF28" i="68"/>
  <c r="AD28" i="68"/>
  <c r="AC28" i="68"/>
  <c r="Q28" i="68"/>
  <c r="N28" i="68"/>
  <c r="O28" i="68" s="1"/>
  <c r="I28" i="68"/>
  <c r="AE28" i="68" s="1"/>
  <c r="AG187" i="68"/>
  <c r="AF187" i="68"/>
  <c r="AD187" i="68"/>
  <c r="AC187" i="68"/>
  <c r="Q187" i="68"/>
  <c r="N187" i="68"/>
  <c r="O187" i="68" s="1"/>
  <c r="I187" i="68"/>
  <c r="AE187" i="68" s="1"/>
  <c r="AG186" i="68"/>
  <c r="AF186" i="68"/>
  <c r="AD186" i="68"/>
  <c r="AC186" i="68"/>
  <c r="Q186" i="68"/>
  <c r="N186" i="68"/>
  <c r="O186" i="68" s="1"/>
  <c r="I186" i="68"/>
  <c r="AE186" i="68" s="1"/>
  <c r="AG185" i="68"/>
  <c r="AF185" i="68"/>
  <c r="AD185" i="68"/>
  <c r="AC185" i="68"/>
  <c r="Q185" i="68"/>
  <c r="N185" i="68"/>
  <c r="O185" i="68" s="1"/>
  <c r="I185" i="68"/>
  <c r="AE185" i="68" s="1"/>
  <c r="AG184" i="68"/>
  <c r="AF184" i="68"/>
  <c r="AD184" i="68"/>
  <c r="AC184" i="68"/>
  <c r="Q184" i="68"/>
  <c r="N184" i="68"/>
  <c r="O184" i="68" s="1"/>
  <c r="I184" i="68"/>
  <c r="AE184" i="68" s="1"/>
  <c r="E31" i="41"/>
  <c r="F31" i="41"/>
  <c r="C39" i="32"/>
  <c r="D39" i="32" s="1"/>
  <c r="A39" i="32"/>
  <c r="N13" i="32"/>
  <c r="M13" i="32"/>
  <c r="G39" i="32" s="1"/>
  <c r="I39" i="32" s="1"/>
  <c r="G15" i="9"/>
  <c r="G14" i="9"/>
  <c r="G13" i="9"/>
  <c r="G12" i="9"/>
  <c r="G11" i="9"/>
  <c r="G10" i="9"/>
  <c r="N28" i="32"/>
  <c r="N37" i="32" s="1"/>
  <c r="M28" i="32"/>
  <c r="G54" i="32" s="1"/>
  <c r="I54" i="32" s="1"/>
  <c r="AC198" i="47"/>
  <c r="AC273" i="47" s="1"/>
  <c r="AC197" i="47"/>
  <c r="AC272" i="47" s="1"/>
  <c r="AC196" i="47"/>
  <c r="AC271" i="47" s="1"/>
  <c r="AC193" i="47"/>
  <c r="AC268" i="47" s="1"/>
  <c r="AC189" i="47"/>
  <c r="AC267" i="47" s="1"/>
  <c r="AC188" i="47"/>
  <c r="AC266" i="47" s="1"/>
  <c r="AC187" i="47"/>
  <c r="AC265" i="47" s="1"/>
  <c r="AC186" i="47"/>
  <c r="AC185" i="47"/>
  <c r="AC182" i="47"/>
  <c r="AC254" i="47" s="1"/>
  <c r="AC181" i="47"/>
  <c r="AC253" i="47" s="1"/>
  <c r="AC180" i="47"/>
  <c r="AC252" i="47" s="1"/>
  <c r="AC179" i="47"/>
  <c r="AC251" i="47" s="1"/>
  <c r="AC178" i="47"/>
  <c r="AC250" i="47" s="1"/>
  <c r="W198" i="47"/>
  <c r="W273" i="47" s="1"/>
  <c r="W197" i="47"/>
  <c r="W272" i="47" s="1"/>
  <c r="W196" i="47"/>
  <c r="W271" i="47" s="1"/>
  <c r="W195" i="47"/>
  <c r="W270" i="47" s="1"/>
  <c r="W194" i="47"/>
  <c r="W269" i="47" s="1"/>
  <c r="W193" i="47"/>
  <c r="W268" i="47" s="1"/>
  <c r="X192" i="47"/>
  <c r="X191" i="47"/>
  <c r="W189" i="47"/>
  <c r="W188" i="47"/>
  <c r="W187" i="47"/>
  <c r="W186" i="47"/>
  <c r="W185" i="47"/>
  <c r="W184" i="47"/>
  <c r="W183" i="47"/>
  <c r="W255" i="47" s="1"/>
  <c r="W182" i="47"/>
  <c r="W254" i="47" s="1"/>
  <c r="W181" i="47"/>
  <c r="W253" i="47" s="1"/>
  <c r="W180" i="47"/>
  <c r="W252" i="47" s="1"/>
  <c r="W179" i="47"/>
  <c r="W251" i="47" s="1"/>
  <c r="W178" i="47"/>
  <c r="W250" i="47" s="1"/>
  <c r="X63" i="47"/>
  <c r="X62" i="47"/>
  <c r="X61" i="47"/>
  <c r="AD192" i="47"/>
  <c r="X25" i="31" s="1"/>
  <c r="O192" i="47"/>
  <c r="R192" i="47" s="1"/>
  <c r="AD191" i="47"/>
  <c r="O25" i="31" s="1"/>
  <c r="Q25" i="31" s="1"/>
  <c r="O191" i="47"/>
  <c r="R191" i="47" s="1"/>
  <c r="AD190" i="47"/>
  <c r="X190" i="47"/>
  <c r="O190" i="47"/>
  <c r="R190" i="47" s="1"/>
  <c r="AC195" i="47"/>
  <c r="AC270" i="47" s="1"/>
  <c r="AC194" i="47"/>
  <c r="AC269" i="47" s="1"/>
  <c r="AC184" i="47"/>
  <c r="AC183" i="47"/>
  <c r="AC255" i="47" s="1"/>
  <c r="AC63" i="47"/>
  <c r="AD63" i="47" s="1"/>
  <c r="X96" i="31" s="1"/>
  <c r="O63" i="47"/>
  <c r="R63" i="47" s="1"/>
  <c r="AC62" i="47"/>
  <c r="AD62" i="47" s="1"/>
  <c r="O96" i="31" s="1"/>
  <c r="O62" i="47"/>
  <c r="R62" i="47" s="1"/>
  <c r="AC61" i="47"/>
  <c r="AD61" i="47" s="1"/>
  <c r="F96" i="31" s="1"/>
  <c r="O61" i="47"/>
  <c r="R61" i="47" s="1"/>
  <c r="I82" i="44"/>
  <c r="I81" i="44"/>
  <c r="A22" i="39"/>
  <c r="A21" i="39"/>
  <c r="A20" i="39"/>
  <c r="A19" i="39"/>
  <c r="A18" i="39"/>
  <c r="A17" i="39"/>
  <c r="A16" i="39"/>
  <c r="A15" i="39"/>
  <c r="A14" i="39"/>
  <c r="A13" i="39"/>
  <c r="A12" i="39"/>
  <c r="A11" i="39"/>
  <c r="Q45" i="39"/>
  <c r="R44" i="39"/>
  <c r="I42" i="39"/>
  <c r="H42" i="39"/>
  <c r="J42" i="39" s="1"/>
  <c r="F42" i="39"/>
  <c r="E42" i="39"/>
  <c r="G42" i="39" s="1"/>
  <c r="C42" i="39"/>
  <c r="K42" i="39" s="1"/>
  <c r="B42" i="39"/>
  <c r="I41" i="39"/>
  <c r="H41" i="39"/>
  <c r="F41" i="39"/>
  <c r="E41" i="39"/>
  <c r="C41" i="39"/>
  <c r="B41" i="39"/>
  <c r="I40" i="39"/>
  <c r="H40" i="39"/>
  <c r="F40" i="39"/>
  <c r="E40" i="39"/>
  <c r="C40" i="39"/>
  <c r="K40" i="39" s="1"/>
  <c r="B40" i="39"/>
  <c r="D40" i="39" s="1"/>
  <c r="I39" i="39"/>
  <c r="H39" i="39"/>
  <c r="F39" i="39"/>
  <c r="K39" i="39" s="1"/>
  <c r="E39" i="39"/>
  <c r="B39" i="39"/>
  <c r="D39" i="39" s="1"/>
  <c r="I38" i="39"/>
  <c r="H38" i="39"/>
  <c r="F38" i="39"/>
  <c r="E38" i="39"/>
  <c r="C38" i="39"/>
  <c r="B38" i="39"/>
  <c r="I37" i="39"/>
  <c r="H37" i="39"/>
  <c r="F37" i="39"/>
  <c r="E37" i="39"/>
  <c r="C37" i="39"/>
  <c r="K37" i="39" s="1"/>
  <c r="B37" i="39"/>
  <c r="I38" i="12"/>
  <c r="P38" i="12" s="1"/>
  <c r="Q38" i="12" s="1"/>
  <c r="K38" i="3"/>
  <c r="H38" i="3"/>
  <c r="O36" i="4"/>
  <c r="O38" i="3" l="1"/>
  <c r="P38" i="3" s="1"/>
  <c r="K38" i="39"/>
  <c r="K41" i="39"/>
  <c r="D41" i="39"/>
  <c r="D37" i="39"/>
  <c r="U25" i="31"/>
  <c r="S24" i="37" s="1"/>
  <c r="V24" i="37" s="1"/>
  <c r="U96" i="31"/>
  <c r="L96" i="31"/>
  <c r="L25" i="31"/>
  <c r="K24" i="37" s="1"/>
  <c r="N24" i="37" s="1"/>
  <c r="P24" i="37" s="1"/>
  <c r="J37" i="39"/>
  <c r="J38" i="39"/>
  <c r="J39" i="32"/>
  <c r="AD257" i="47"/>
  <c r="O36" i="31" s="1"/>
  <c r="Q36" i="31" s="1"/>
  <c r="AC260" i="47"/>
  <c r="AD258" i="47"/>
  <c r="X36" i="31" s="1"/>
  <c r="Z36" i="31" s="1"/>
  <c r="AC261" i="47"/>
  <c r="AD256" i="47"/>
  <c r="AC259" i="47"/>
  <c r="X258" i="47"/>
  <c r="W261" i="47"/>
  <c r="X256" i="47"/>
  <c r="W259" i="47"/>
  <c r="X257" i="47"/>
  <c r="W260" i="47"/>
  <c r="C25" i="31"/>
  <c r="C24" i="37" s="1"/>
  <c r="F24" i="37" s="1"/>
  <c r="H24" i="37" s="1"/>
  <c r="AF190" i="47"/>
  <c r="C96" i="31"/>
  <c r="AF61" i="47"/>
  <c r="J54" i="32"/>
  <c r="K54" i="32" s="1"/>
  <c r="P28" i="32" s="1"/>
  <c r="Q28" i="32" s="1"/>
  <c r="Q37" i="32" s="1"/>
  <c r="D42" i="39"/>
  <c r="W266" i="47"/>
  <c r="X263" i="47"/>
  <c r="W265" i="47"/>
  <c r="X262" i="47"/>
  <c r="W267" i="47"/>
  <c r="X264" i="47"/>
  <c r="J40" i="39"/>
  <c r="G39" i="39"/>
  <c r="D38" i="39"/>
  <c r="C37" i="2"/>
  <c r="F37" i="2" s="1"/>
  <c r="J37" i="2" s="1"/>
  <c r="C38" i="3" s="1"/>
  <c r="D144" i="7"/>
  <c r="Z188" i="68"/>
  <c r="AA188" i="68" s="1"/>
  <c r="R188" i="68"/>
  <c r="P30" i="68"/>
  <c r="R30" i="68" s="1"/>
  <c r="I83" i="44"/>
  <c r="O81" i="44" s="1"/>
  <c r="J39" i="39"/>
  <c r="G41" i="39"/>
  <c r="G40" i="39"/>
  <c r="J41" i="39"/>
  <c r="G37" i="39"/>
  <c r="G38" i="39"/>
  <c r="P186" i="68"/>
  <c r="R186" i="68" s="1"/>
  <c r="P185" i="68"/>
  <c r="R185" i="68" s="1"/>
  <c r="P322" i="68"/>
  <c r="R322" i="68" s="1"/>
  <c r="V56" i="68"/>
  <c r="W56" i="68" s="1"/>
  <c r="Y56" i="68" s="1"/>
  <c r="P187" i="68"/>
  <c r="R187" i="68" s="1"/>
  <c r="P55" i="68"/>
  <c r="R55" i="68" s="1"/>
  <c r="P56" i="68"/>
  <c r="R56" i="68" s="1"/>
  <c r="P321" i="68"/>
  <c r="T321" i="68" s="1"/>
  <c r="P184" i="68"/>
  <c r="T184" i="68" s="1"/>
  <c r="P28" i="68"/>
  <c r="T28" i="68" s="1"/>
  <c r="P29" i="68"/>
  <c r="T29" i="68" s="1"/>
  <c r="X24" i="37"/>
  <c r="U24" i="37"/>
  <c r="M24" i="37"/>
  <c r="V55" i="68"/>
  <c r="W55" i="68" s="1"/>
  <c r="Y55" i="68" s="1"/>
  <c r="V322" i="68"/>
  <c r="W322" i="68" s="1"/>
  <c r="Y322" i="68" s="1"/>
  <c r="V321" i="68"/>
  <c r="W321" i="68" s="1"/>
  <c r="Y321" i="68" s="1"/>
  <c r="V296" i="68"/>
  <c r="W296" i="68" s="1"/>
  <c r="Y296" i="68" s="1"/>
  <c r="P296" i="68"/>
  <c r="T296" i="68" s="1"/>
  <c r="V30" i="68"/>
  <c r="W30" i="68" s="1"/>
  <c r="Y30" i="68" s="1"/>
  <c r="V29" i="68"/>
  <c r="W29" i="68" s="1"/>
  <c r="Y29" i="68" s="1"/>
  <c r="V28" i="68"/>
  <c r="W28" i="68" s="1"/>
  <c r="Y28" i="68" s="1"/>
  <c r="V187" i="68"/>
  <c r="W187" i="68" s="1"/>
  <c r="Y187" i="68" s="1"/>
  <c r="V185" i="68"/>
  <c r="W185" i="68" s="1"/>
  <c r="Y185" i="68" s="1"/>
  <c r="V184" i="68"/>
  <c r="W184" i="68" s="1"/>
  <c r="Y184" i="68" s="1"/>
  <c r="V186" i="68"/>
  <c r="W186" i="68" s="1"/>
  <c r="Y186" i="68" s="1"/>
  <c r="Z25" i="31"/>
  <c r="C36" i="31" l="1"/>
  <c r="L39" i="31"/>
  <c r="U36" i="31"/>
  <c r="S34" i="37" s="1"/>
  <c r="U34" i="37" s="1"/>
  <c r="AF256" i="47"/>
  <c r="U39" i="31"/>
  <c r="S37" i="37" s="1"/>
  <c r="L36" i="31"/>
  <c r="K34" i="37" s="1"/>
  <c r="N34" i="37" s="1"/>
  <c r="P34" i="37" s="1"/>
  <c r="F36" i="31"/>
  <c r="H36" i="31" s="1"/>
  <c r="R36" i="31"/>
  <c r="C31" i="15" s="1"/>
  <c r="E36" i="31"/>
  <c r="C34" i="37"/>
  <c r="F34" i="37" s="1"/>
  <c r="E24" i="37"/>
  <c r="I24" i="37" s="1"/>
  <c r="C39" i="31"/>
  <c r="C37" i="37" s="1"/>
  <c r="AF262" i="47"/>
  <c r="Q24" i="37"/>
  <c r="AB188" i="68"/>
  <c r="W39" i="31"/>
  <c r="AB39" i="31" s="1"/>
  <c r="K37" i="37"/>
  <c r="R39" i="31"/>
  <c r="N39" i="31"/>
  <c r="S39" i="31" s="1"/>
  <c r="T30" i="68"/>
  <c r="Z30" i="68" s="1"/>
  <c r="AB30" i="68" s="1"/>
  <c r="T322" i="68"/>
  <c r="Z322" i="68" s="1"/>
  <c r="AB322" i="68" s="1"/>
  <c r="R29" i="68"/>
  <c r="T186" i="68"/>
  <c r="Z186" i="68" s="1"/>
  <c r="AB186" i="68" s="1"/>
  <c r="T187" i="68"/>
  <c r="Z187" i="68" s="1"/>
  <c r="AB187" i="68" s="1"/>
  <c r="T185" i="68"/>
  <c r="Z185" i="68" s="1"/>
  <c r="AB185" i="68" s="1"/>
  <c r="T56" i="68"/>
  <c r="Z56" i="68" s="1"/>
  <c r="AB56" i="68" s="1"/>
  <c r="T55" i="68"/>
  <c r="Z55" i="68" s="1"/>
  <c r="AB55" i="68" s="1"/>
  <c r="R321" i="68"/>
  <c r="R28" i="68"/>
  <c r="R184" i="68"/>
  <c r="Z321" i="68"/>
  <c r="AB321" i="68" s="1"/>
  <c r="Z184" i="68"/>
  <c r="AB184" i="68" s="1"/>
  <c r="Z29" i="68"/>
  <c r="AB29" i="68" s="1"/>
  <c r="Y24" i="37"/>
  <c r="Z296" i="68"/>
  <c r="AB296" i="68" s="1"/>
  <c r="R296" i="68"/>
  <c r="Z28" i="68"/>
  <c r="AB28" i="68" s="1"/>
  <c r="AA39" i="31" l="1"/>
  <c r="C34" i="16" s="1"/>
  <c r="J34" i="16" s="1"/>
  <c r="M34" i="37"/>
  <c r="I36" i="31"/>
  <c r="C39" i="100" s="1"/>
  <c r="E39" i="100" s="1"/>
  <c r="V34" i="37"/>
  <c r="X34" i="37" s="1"/>
  <c r="Y34" i="37" s="1"/>
  <c r="AA36" i="31"/>
  <c r="C31" i="16" s="1"/>
  <c r="W36" i="31"/>
  <c r="AB36" i="31" s="1"/>
  <c r="N36" i="31"/>
  <c r="S36" i="31" s="1"/>
  <c r="J36" i="31"/>
  <c r="AE36" i="31" s="1"/>
  <c r="AA187" i="68"/>
  <c r="AA184" i="68"/>
  <c r="AA55" i="68"/>
  <c r="AA185" i="68"/>
  <c r="AA30" i="68"/>
  <c r="AA29" i="68"/>
  <c r="AA56" i="68"/>
  <c r="AA186" i="68"/>
  <c r="AA321" i="68"/>
  <c r="AA322" i="68"/>
  <c r="AA28" i="68"/>
  <c r="AA296" i="68"/>
  <c r="E39" i="31"/>
  <c r="J39" i="31" s="1"/>
  <c r="AE39" i="31" s="1"/>
  <c r="I39" i="31"/>
  <c r="E34" i="16"/>
  <c r="J31" i="15"/>
  <c r="K31" i="15" s="1"/>
  <c r="E31" i="15"/>
  <c r="AC39" i="31"/>
  <c r="C34" i="15"/>
  <c r="AH39" i="31"/>
  <c r="Q34" i="37"/>
  <c r="N37" i="37"/>
  <c r="P37" i="37" s="1"/>
  <c r="M37" i="37"/>
  <c r="Q37" i="37" s="1"/>
  <c r="F37" i="37"/>
  <c r="H37" i="37" s="1"/>
  <c r="E37" i="37"/>
  <c r="U37" i="37"/>
  <c r="V37" i="37"/>
  <c r="X37" i="37" s="1"/>
  <c r="AA24" i="37"/>
  <c r="AD39" i="31" l="1"/>
  <c r="C42" i="100"/>
  <c r="E42" i="100" s="1"/>
  <c r="H34" i="16"/>
  <c r="K34" i="16"/>
  <c r="AH36" i="31"/>
  <c r="AD36" i="31"/>
  <c r="E31" i="16"/>
  <c r="J31" i="16"/>
  <c r="K31" i="16" s="1"/>
  <c r="AC36" i="31"/>
  <c r="I37" i="37"/>
  <c r="H34" i="15"/>
  <c r="J34" i="15"/>
  <c r="K34" i="15"/>
  <c r="E34" i="15"/>
  <c r="Y37" i="37"/>
  <c r="H86" i="2" l="1"/>
  <c r="AD55" i="47"/>
  <c r="V50" i="8"/>
  <c r="W50" i="8"/>
  <c r="X50" i="8"/>
  <c r="Y50" i="8"/>
  <c r="AB50" i="8"/>
  <c r="V51" i="8"/>
  <c r="Y51" i="8"/>
  <c r="AB51" i="8"/>
  <c r="V49" i="8"/>
  <c r="V53" i="8" s="1"/>
  <c r="W49" i="8"/>
  <c r="X49" i="8"/>
  <c r="Y49" i="8"/>
  <c r="AB49" i="8"/>
  <c r="AB53" i="8" s="1"/>
  <c r="AC49" i="8"/>
  <c r="U38" i="8"/>
  <c r="J28" i="9"/>
  <c r="E27" i="9" s="1"/>
  <c r="E28" i="9"/>
  <c r="U40" i="8"/>
  <c r="V26" i="8"/>
  <c r="Y26" i="8"/>
  <c r="AB26" i="8"/>
  <c r="V27" i="8"/>
  <c r="Y27" i="8"/>
  <c r="AB27" i="8"/>
  <c r="V25" i="8"/>
  <c r="Y25" i="8"/>
  <c r="AB25" i="8"/>
  <c r="AC25" i="8"/>
  <c r="AD310" i="68"/>
  <c r="AF310" i="68"/>
  <c r="AG310" i="68"/>
  <c r="AD311" i="68"/>
  <c r="AF311" i="68"/>
  <c r="AG311" i="68"/>
  <c r="AD312" i="68"/>
  <c r="AF312" i="68"/>
  <c r="AG312" i="68"/>
  <c r="AD313" i="68"/>
  <c r="AF313" i="68"/>
  <c r="AG313" i="68"/>
  <c r="AD314" i="68"/>
  <c r="AF314" i="68"/>
  <c r="AG314" i="68"/>
  <c r="AD315" i="68"/>
  <c r="AF315" i="68"/>
  <c r="AG315" i="68"/>
  <c r="AD316" i="68"/>
  <c r="AF316" i="68"/>
  <c r="AG316" i="68"/>
  <c r="Q310" i="68"/>
  <c r="Q311" i="68"/>
  <c r="Q312" i="68"/>
  <c r="Q313" i="68"/>
  <c r="Q314" i="68"/>
  <c r="Q315" i="68"/>
  <c r="Q316" i="68"/>
  <c r="I316" i="68"/>
  <c r="AE316" i="68" s="1"/>
  <c r="I314" i="68"/>
  <c r="AE314" i="68" s="1"/>
  <c r="I312" i="68"/>
  <c r="AE312" i="68" s="1"/>
  <c r="I310" i="68"/>
  <c r="AE310" i="68" s="1"/>
  <c r="AC316" i="68"/>
  <c r="AC314" i="68"/>
  <c r="AC312" i="68"/>
  <c r="AC310" i="68"/>
  <c r="N310" i="68"/>
  <c r="O310" i="68" s="1"/>
  <c r="N311" i="68"/>
  <c r="O311" i="68" s="1"/>
  <c r="N312" i="68"/>
  <c r="O312" i="68" s="1"/>
  <c r="N313" i="68"/>
  <c r="O313" i="68" s="1"/>
  <c r="N314" i="68"/>
  <c r="O314" i="68" s="1"/>
  <c r="N315" i="68"/>
  <c r="O315" i="68" s="1"/>
  <c r="N316" i="68"/>
  <c r="O316" i="68" s="1"/>
  <c r="AC68" i="68"/>
  <c r="AD68" i="68"/>
  <c r="AF68" i="68"/>
  <c r="AG68" i="68"/>
  <c r="Q68" i="68"/>
  <c r="N68" i="68"/>
  <c r="O68" i="68" s="1"/>
  <c r="I68" i="68"/>
  <c r="AE68" i="68" s="1"/>
  <c r="AC20" i="68"/>
  <c r="AD20" i="68"/>
  <c r="AF20" i="68"/>
  <c r="AG20" i="68"/>
  <c r="N20" i="68"/>
  <c r="O20" i="68" s="1"/>
  <c r="I20" i="68"/>
  <c r="AE20" i="68" s="1"/>
  <c r="N46" i="68"/>
  <c r="N48" i="68"/>
  <c r="O48" i="68" s="1"/>
  <c r="N49" i="68"/>
  <c r="O49" i="68" s="1"/>
  <c r="N50" i="68"/>
  <c r="O50" i="68" s="1"/>
  <c r="N15" i="68"/>
  <c r="O15" i="68" s="1"/>
  <c r="N52" i="68"/>
  <c r="O52" i="68" s="1"/>
  <c r="N17" i="68"/>
  <c r="O17" i="68" s="1"/>
  <c r="I46" i="68"/>
  <c r="AE46" i="68" s="1"/>
  <c r="I47" i="68"/>
  <c r="AE47" i="68" s="1"/>
  <c r="I48" i="68"/>
  <c r="AE48" i="68" s="1"/>
  <c r="I49" i="68"/>
  <c r="AE49" i="68" s="1"/>
  <c r="I50" i="68"/>
  <c r="AE50" i="68" s="1"/>
  <c r="I51" i="68"/>
  <c r="AE51" i="68" s="1"/>
  <c r="I15" i="68"/>
  <c r="AE15" i="68" s="1"/>
  <c r="I16" i="68"/>
  <c r="AE16" i="68" s="1"/>
  <c r="I52" i="68"/>
  <c r="AE52" i="68" s="1"/>
  <c r="I53" i="68"/>
  <c r="AE53" i="68" s="1"/>
  <c r="I17" i="68"/>
  <c r="AE17" i="68" s="1"/>
  <c r="I18" i="68"/>
  <c r="AE18" i="68" s="1"/>
  <c r="Q46" i="68"/>
  <c r="Q47" i="68"/>
  <c r="Q48" i="68"/>
  <c r="Q49" i="68"/>
  <c r="Q50" i="68"/>
  <c r="Q51" i="68"/>
  <c r="Q15" i="68"/>
  <c r="Q16" i="68"/>
  <c r="Q52" i="68"/>
  <c r="Q53" i="68"/>
  <c r="Q17" i="68"/>
  <c r="Q18" i="68"/>
  <c r="AC46" i="68"/>
  <c r="AD46" i="68"/>
  <c r="AF46" i="68"/>
  <c r="AG46" i="68"/>
  <c r="AC47" i="68"/>
  <c r="AD47" i="68"/>
  <c r="AF47" i="68"/>
  <c r="AG47" i="68"/>
  <c r="AC48" i="68"/>
  <c r="AD48" i="68"/>
  <c r="AF48" i="68"/>
  <c r="AG48" i="68"/>
  <c r="AC49" i="68"/>
  <c r="AD49" i="68"/>
  <c r="AF49" i="68"/>
  <c r="AG49" i="68"/>
  <c r="AC50" i="68"/>
  <c r="AD50" i="68"/>
  <c r="AF50" i="68"/>
  <c r="AG50" i="68"/>
  <c r="AC51" i="68"/>
  <c r="AD51" i="68"/>
  <c r="AF51" i="68"/>
  <c r="AG51" i="68"/>
  <c r="AC15" i="68"/>
  <c r="AD15" i="68"/>
  <c r="AF15" i="68"/>
  <c r="AG15" i="68"/>
  <c r="AC16" i="68"/>
  <c r="AD16" i="68"/>
  <c r="AF16" i="68"/>
  <c r="AG16" i="68"/>
  <c r="AC52" i="68"/>
  <c r="AD52" i="68"/>
  <c r="AF52" i="68"/>
  <c r="AG52" i="68"/>
  <c r="AC53" i="68"/>
  <c r="AD53" i="68"/>
  <c r="AF53" i="68"/>
  <c r="AG53" i="68"/>
  <c r="AC17" i="68"/>
  <c r="AD17" i="68"/>
  <c r="AF17" i="68"/>
  <c r="AC18" i="68"/>
  <c r="AD18" i="68"/>
  <c r="AF18" i="68"/>
  <c r="AG18" i="68"/>
  <c r="N18" i="68"/>
  <c r="O18" i="68" s="1"/>
  <c r="N53" i="68"/>
  <c r="O53" i="68" s="1"/>
  <c r="N51" i="68"/>
  <c r="O51" i="68" s="1"/>
  <c r="N47" i="68"/>
  <c r="O47" i="68" s="1"/>
  <c r="N20" i="32"/>
  <c r="J46" i="32" s="1"/>
  <c r="N12" i="32"/>
  <c r="N40" i="32" s="1"/>
  <c r="H17" i="24"/>
  <c r="O17" i="24" s="1"/>
  <c r="P17" i="24" s="1"/>
  <c r="C39" i="21"/>
  <c r="O39" i="21" s="1"/>
  <c r="C50" i="21"/>
  <c r="O50" i="21" s="1"/>
  <c r="C56" i="21"/>
  <c r="O56" i="21" s="1"/>
  <c r="C59" i="21"/>
  <c r="O59" i="21" s="1"/>
  <c r="C63" i="21"/>
  <c r="C84" i="21"/>
  <c r="O84" i="21" s="1"/>
  <c r="C87" i="21"/>
  <c r="C89" i="21"/>
  <c r="O89" i="21" s="1"/>
  <c r="C98" i="21"/>
  <c r="O98" i="21" s="1"/>
  <c r="O87" i="21"/>
  <c r="I19" i="68"/>
  <c r="AE19" i="68" s="1"/>
  <c r="N19" i="68"/>
  <c r="O19" i="68" s="1"/>
  <c r="AC19" i="68"/>
  <c r="AD19" i="68"/>
  <c r="AF19" i="68"/>
  <c r="AG19" i="68"/>
  <c r="I21" i="68"/>
  <c r="AE21" i="68" s="1"/>
  <c r="N21" i="68"/>
  <c r="Q21" i="68"/>
  <c r="AC21" i="68"/>
  <c r="AD21" i="68"/>
  <c r="AF21" i="68"/>
  <c r="AG21" i="68"/>
  <c r="I22" i="68"/>
  <c r="AE22" i="68" s="1"/>
  <c r="N22" i="68"/>
  <c r="O22" i="68" s="1"/>
  <c r="Q22" i="68"/>
  <c r="AC22" i="68"/>
  <c r="AD22" i="68"/>
  <c r="AF22" i="68"/>
  <c r="AG22" i="68"/>
  <c r="I23" i="68"/>
  <c r="AE23" i="68" s="1"/>
  <c r="N23" i="68"/>
  <c r="O23" i="68" s="1"/>
  <c r="Q23" i="68"/>
  <c r="AC23" i="68"/>
  <c r="AD23" i="68"/>
  <c r="AF23" i="68"/>
  <c r="AG23" i="68"/>
  <c r="I24" i="68"/>
  <c r="AE24" i="68" s="1"/>
  <c r="N24" i="68"/>
  <c r="O24" i="68" s="1"/>
  <c r="Q24" i="68"/>
  <c r="AC24" i="68"/>
  <c r="AD24" i="68"/>
  <c r="AF24" i="68"/>
  <c r="AG24" i="68"/>
  <c r="I54" i="68"/>
  <c r="AE54" i="68" s="1"/>
  <c r="N54" i="68"/>
  <c r="Q54" i="68"/>
  <c r="AC54" i="68"/>
  <c r="AD54" i="68"/>
  <c r="AF54" i="68"/>
  <c r="AG54" i="68"/>
  <c r="I25" i="68"/>
  <c r="AE25" i="68" s="1"/>
  <c r="N25" i="68"/>
  <c r="Q25" i="68"/>
  <c r="AC25" i="68"/>
  <c r="AD25" i="68"/>
  <c r="AF25" i="68"/>
  <c r="AG25" i="68"/>
  <c r="I26" i="68"/>
  <c r="AE26" i="68" s="1"/>
  <c r="N26" i="68"/>
  <c r="O26" i="68" s="1"/>
  <c r="AC26" i="68"/>
  <c r="AD26" i="68"/>
  <c r="AF26" i="68"/>
  <c r="AG26" i="68"/>
  <c r="I27" i="68"/>
  <c r="AE27" i="68" s="1"/>
  <c r="N27" i="68"/>
  <c r="O27" i="68" s="1"/>
  <c r="Q27" i="68"/>
  <c r="AC27" i="68"/>
  <c r="AD27" i="68"/>
  <c r="AF27" i="68"/>
  <c r="AG27" i="68"/>
  <c r="I67" i="68"/>
  <c r="AE67" i="68" s="1"/>
  <c r="N67" i="68"/>
  <c r="N73" i="68" s="1"/>
  <c r="Q67" i="68"/>
  <c r="AC67" i="68"/>
  <c r="AD67" i="68"/>
  <c r="AF67" i="68"/>
  <c r="AG67" i="68"/>
  <c r="I77" i="68"/>
  <c r="AE77" i="68" s="1"/>
  <c r="N77" i="68"/>
  <c r="O77" i="68" s="1"/>
  <c r="Q77" i="68"/>
  <c r="AC77" i="68"/>
  <c r="AD77" i="68"/>
  <c r="AF77" i="68"/>
  <c r="AG77" i="68"/>
  <c r="I78" i="68"/>
  <c r="AE78" i="68" s="1"/>
  <c r="N78" i="68"/>
  <c r="O78" i="68" s="1"/>
  <c r="Q78" i="68"/>
  <c r="AC78" i="68"/>
  <c r="AD78" i="68"/>
  <c r="AF78" i="68"/>
  <c r="AG78" i="68"/>
  <c r="I79" i="68"/>
  <c r="AE79" i="68" s="1"/>
  <c r="N79" i="68"/>
  <c r="O79" i="68" s="1"/>
  <c r="Q79" i="68"/>
  <c r="AC79" i="68"/>
  <c r="AD79" i="68"/>
  <c r="AF79" i="68"/>
  <c r="AG79" i="68"/>
  <c r="I80" i="68"/>
  <c r="AE80" i="68" s="1"/>
  <c r="N80" i="68"/>
  <c r="O80" i="68" s="1"/>
  <c r="Q80" i="68"/>
  <c r="AC80" i="68"/>
  <c r="AD80" i="68"/>
  <c r="AF80" i="68"/>
  <c r="AG80" i="68"/>
  <c r="I81" i="68"/>
  <c r="AE81" i="68" s="1"/>
  <c r="N81" i="68"/>
  <c r="O81" i="68" s="1"/>
  <c r="Q81" i="68"/>
  <c r="AC81" i="68"/>
  <c r="AD81" i="68"/>
  <c r="AF81" i="68"/>
  <c r="AG81" i="68"/>
  <c r="I82" i="68"/>
  <c r="AE82" i="68" s="1"/>
  <c r="N82" i="68"/>
  <c r="O82" i="68" s="1"/>
  <c r="Q82" i="68"/>
  <c r="AC82" i="68"/>
  <c r="AD82" i="68"/>
  <c r="AF82" i="68"/>
  <c r="AG82" i="68"/>
  <c r="I83" i="68"/>
  <c r="AE83" i="68" s="1"/>
  <c r="N83" i="68"/>
  <c r="O83" i="68" s="1"/>
  <c r="Q83" i="68"/>
  <c r="AC83" i="68"/>
  <c r="AD83" i="68"/>
  <c r="AF83" i="68"/>
  <c r="AG83" i="68"/>
  <c r="I84" i="68"/>
  <c r="AE84" i="68" s="1"/>
  <c r="N84" i="68"/>
  <c r="O84" i="68" s="1"/>
  <c r="Q84" i="68"/>
  <c r="AC84" i="68"/>
  <c r="AD84" i="68"/>
  <c r="AF84" i="68"/>
  <c r="AG84" i="68"/>
  <c r="I85" i="68"/>
  <c r="AE85" i="68" s="1"/>
  <c r="N85" i="68"/>
  <c r="O85" i="68" s="1"/>
  <c r="Q85" i="68"/>
  <c r="AC85" i="68"/>
  <c r="AD85" i="68"/>
  <c r="AF85" i="68"/>
  <c r="AG85" i="68"/>
  <c r="I86" i="68"/>
  <c r="AE86" i="68" s="1"/>
  <c r="N86" i="68"/>
  <c r="O86" i="68" s="1"/>
  <c r="Q86" i="68"/>
  <c r="AC86" i="68"/>
  <c r="AD86" i="68"/>
  <c r="AF86" i="68"/>
  <c r="AG86" i="68"/>
  <c r="I87" i="68"/>
  <c r="AE87" i="68" s="1"/>
  <c r="N87" i="68"/>
  <c r="O87" i="68" s="1"/>
  <c r="Q87" i="68"/>
  <c r="AC87" i="68"/>
  <c r="AD87" i="68"/>
  <c r="AF87" i="68"/>
  <c r="AG87" i="68"/>
  <c r="I88" i="68"/>
  <c r="AE88" i="68" s="1"/>
  <c r="N88" i="68"/>
  <c r="O88" i="68" s="1"/>
  <c r="Q88" i="68"/>
  <c r="AC88" i="68"/>
  <c r="AD88" i="68"/>
  <c r="AF88" i="68"/>
  <c r="AG88" i="68"/>
  <c r="I89" i="68"/>
  <c r="AE89" i="68" s="1"/>
  <c r="N89" i="68"/>
  <c r="O89" i="68" s="1"/>
  <c r="Q89" i="68"/>
  <c r="AC89" i="68"/>
  <c r="AD89" i="68"/>
  <c r="AF89" i="68"/>
  <c r="AG89" i="68"/>
  <c r="I90" i="68"/>
  <c r="AE90" i="68" s="1"/>
  <c r="N90" i="68"/>
  <c r="O90" i="68" s="1"/>
  <c r="Q90" i="68"/>
  <c r="AC90" i="68"/>
  <c r="AD90" i="68"/>
  <c r="AF90" i="68"/>
  <c r="AG90" i="68"/>
  <c r="I91" i="68"/>
  <c r="AE91" i="68" s="1"/>
  <c r="N91" i="68"/>
  <c r="O91" i="68" s="1"/>
  <c r="Q91" i="68"/>
  <c r="AC91" i="68"/>
  <c r="AD91" i="68"/>
  <c r="AF91" i="68"/>
  <c r="AG91" i="68"/>
  <c r="I92" i="68"/>
  <c r="AE92" i="68" s="1"/>
  <c r="N92" i="68"/>
  <c r="O92" i="68" s="1"/>
  <c r="Q92" i="68"/>
  <c r="AC92" i="68"/>
  <c r="AD92" i="68"/>
  <c r="AF92" i="68"/>
  <c r="AG92" i="68"/>
  <c r="I93" i="68"/>
  <c r="AE93" i="68" s="1"/>
  <c r="N93" i="68"/>
  <c r="O93" i="68" s="1"/>
  <c r="Q93" i="68"/>
  <c r="AC93" i="68"/>
  <c r="AD93" i="68"/>
  <c r="AF93" i="68"/>
  <c r="AG93" i="68"/>
  <c r="I94" i="68"/>
  <c r="AE94" i="68" s="1"/>
  <c r="N94" i="68"/>
  <c r="O94" i="68" s="1"/>
  <c r="Q94" i="68"/>
  <c r="AC94" i="68"/>
  <c r="AD94" i="68"/>
  <c r="AF94" i="68"/>
  <c r="AG94" i="68"/>
  <c r="I95" i="68"/>
  <c r="AE95" i="68" s="1"/>
  <c r="N95" i="68"/>
  <c r="O95" i="68" s="1"/>
  <c r="Q95" i="68"/>
  <c r="AC95" i="68"/>
  <c r="AD95" i="68"/>
  <c r="AF95" i="68"/>
  <c r="AG95" i="68"/>
  <c r="I96" i="68"/>
  <c r="AE96" i="68" s="1"/>
  <c r="N96" i="68"/>
  <c r="O96" i="68" s="1"/>
  <c r="Q96" i="68"/>
  <c r="AC96" i="68"/>
  <c r="AD96" i="68"/>
  <c r="AF96" i="68"/>
  <c r="AG96" i="68"/>
  <c r="I97" i="68"/>
  <c r="AE97" i="68" s="1"/>
  <c r="N97" i="68"/>
  <c r="O97" i="68" s="1"/>
  <c r="Q97" i="68"/>
  <c r="AC97" i="68"/>
  <c r="AD97" i="68"/>
  <c r="AF97" i="68"/>
  <c r="AG97" i="68"/>
  <c r="I98" i="68"/>
  <c r="AE98" i="68" s="1"/>
  <c r="N98" i="68"/>
  <c r="O98" i="68" s="1"/>
  <c r="Q98" i="68"/>
  <c r="AC98" i="68"/>
  <c r="AD98" i="68"/>
  <c r="AF98" i="68"/>
  <c r="AG98" i="68"/>
  <c r="I99" i="68"/>
  <c r="AE99" i="68" s="1"/>
  <c r="N99" i="68"/>
  <c r="O99" i="68" s="1"/>
  <c r="Q99" i="68"/>
  <c r="AC99" i="68"/>
  <c r="AD99" i="68"/>
  <c r="AF99" i="68"/>
  <c r="AG99" i="68"/>
  <c r="I100" i="68"/>
  <c r="AE100" i="68" s="1"/>
  <c r="N100" i="68"/>
  <c r="O100" i="68" s="1"/>
  <c r="Q100" i="68"/>
  <c r="AC100" i="68"/>
  <c r="AD100" i="68"/>
  <c r="AF100" i="68"/>
  <c r="AG100" i="68"/>
  <c r="I101" i="68"/>
  <c r="AE101" i="68" s="1"/>
  <c r="N101" i="68"/>
  <c r="O101" i="68" s="1"/>
  <c r="Q101" i="68"/>
  <c r="AC101" i="68"/>
  <c r="AD101" i="68"/>
  <c r="AF101" i="68"/>
  <c r="AG101" i="68"/>
  <c r="I102" i="68"/>
  <c r="AE102" i="68" s="1"/>
  <c r="N102" i="68"/>
  <c r="O102" i="68" s="1"/>
  <c r="Q102" i="68"/>
  <c r="AC102" i="68"/>
  <c r="AD102" i="68"/>
  <c r="AF102" i="68"/>
  <c r="AG102" i="68"/>
  <c r="I103" i="68"/>
  <c r="AE103" i="68" s="1"/>
  <c r="N103" i="68"/>
  <c r="O103" i="68" s="1"/>
  <c r="Q103" i="68"/>
  <c r="AC103" i="68"/>
  <c r="AD103" i="68"/>
  <c r="AF103" i="68"/>
  <c r="AG103" i="68"/>
  <c r="I104" i="68"/>
  <c r="AE104" i="68" s="1"/>
  <c r="N104" i="68"/>
  <c r="O104" i="68" s="1"/>
  <c r="Q104" i="68"/>
  <c r="AC104" i="68"/>
  <c r="AD104" i="68"/>
  <c r="AF104" i="68"/>
  <c r="AG104" i="68"/>
  <c r="I105" i="68"/>
  <c r="AE105" i="68" s="1"/>
  <c r="N105" i="68"/>
  <c r="O105" i="68" s="1"/>
  <c r="Q105" i="68"/>
  <c r="AC105" i="68"/>
  <c r="AD105" i="68"/>
  <c r="AF105" i="68"/>
  <c r="AG105" i="68"/>
  <c r="I106" i="68"/>
  <c r="AE106" i="68" s="1"/>
  <c r="N106" i="68"/>
  <c r="O106" i="68" s="1"/>
  <c r="Q106" i="68"/>
  <c r="AC106" i="68"/>
  <c r="AD106" i="68"/>
  <c r="AF106" i="68"/>
  <c r="AG106" i="68"/>
  <c r="I107" i="68"/>
  <c r="AE107" i="68" s="1"/>
  <c r="N107" i="68"/>
  <c r="O107" i="68" s="1"/>
  <c r="Q107" i="68"/>
  <c r="AC107" i="68"/>
  <c r="AD107" i="68"/>
  <c r="AF107" i="68"/>
  <c r="AG107" i="68"/>
  <c r="I108" i="68"/>
  <c r="AE108" i="68" s="1"/>
  <c r="N108" i="68"/>
  <c r="O108" i="68" s="1"/>
  <c r="Q108" i="68"/>
  <c r="AC108" i="68"/>
  <c r="AD108" i="68"/>
  <c r="AF108" i="68"/>
  <c r="AG108" i="68"/>
  <c r="I109" i="68"/>
  <c r="AE109" i="68" s="1"/>
  <c r="N109" i="68"/>
  <c r="O109" i="68" s="1"/>
  <c r="Q109" i="68"/>
  <c r="AC109" i="68"/>
  <c r="AD109" i="68"/>
  <c r="AF109" i="68"/>
  <c r="AG109" i="68"/>
  <c r="I110" i="68"/>
  <c r="AE110" i="68" s="1"/>
  <c r="N110" i="68"/>
  <c r="O110" i="68" s="1"/>
  <c r="Q110" i="68"/>
  <c r="AC110" i="68"/>
  <c r="AD110" i="68"/>
  <c r="AF110" i="68"/>
  <c r="AG110" i="68"/>
  <c r="I111" i="68"/>
  <c r="AE111" i="68" s="1"/>
  <c r="N111" i="68"/>
  <c r="O111" i="68" s="1"/>
  <c r="Q111" i="68"/>
  <c r="AC111" i="68"/>
  <c r="AD111" i="68"/>
  <c r="AF111" i="68"/>
  <c r="AG111" i="68"/>
  <c r="I112" i="68"/>
  <c r="AE112" i="68" s="1"/>
  <c r="N112" i="68"/>
  <c r="O112" i="68" s="1"/>
  <c r="Q112" i="68"/>
  <c r="AC112" i="68"/>
  <c r="AD112" i="68"/>
  <c r="AF112" i="68"/>
  <c r="AG112" i="68"/>
  <c r="I113" i="68"/>
  <c r="AE113" i="68" s="1"/>
  <c r="N113" i="68"/>
  <c r="O113" i="68" s="1"/>
  <c r="Q113" i="68"/>
  <c r="AC113" i="68"/>
  <c r="AD113" i="68"/>
  <c r="AF113" i="68"/>
  <c r="AG113" i="68"/>
  <c r="I114" i="68"/>
  <c r="AE114" i="68" s="1"/>
  <c r="N114" i="68"/>
  <c r="O114" i="68" s="1"/>
  <c r="Q114" i="68"/>
  <c r="AC114" i="68"/>
  <c r="AD114" i="68"/>
  <c r="AF114" i="68"/>
  <c r="AG114" i="68"/>
  <c r="I115" i="68"/>
  <c r="AE115" i="68" s="1"/>
  <c r="N115" i="68"/>
  <c r="O115" i="68" s="1"/>
  <c r="Q115" i="68"/>
  <c r="AC115" i="68"/>
  <c r="AD115" i="68"/>
  <c r="AF115" i="68"/>
  <c r="AG115" i="68"/>
  <c r="I116" i="68"/>
  <c r="AE116" i="68" s="1"/>
  <c r="N116" i="68"/>
  <c r="O116" i="68" s="1"/>
  <c r="Q116" i="68"/>
  <c r="AC116" i="68"/>
  <c r="AD116" i="68"/>
  <c r="AF116" i="68"/>
  <c r="AG116" i="68"/>
  <c r="I117" i="68"/>
  <c r="AE117" i="68" s="1"/>
  <c r="N117" i="68"/>
  <c r="O117" i="68" s="1"/>
  <c r="Q117" i="68"/>
  <c r="AC117" i="68"/>
  <c r="AD117" i="68"/>
  <c r="AF117" i="68"/>
  <c r="AG117" i="68"/>
  <c r="I118" i="68"/>
  <c r="AE118" i="68" s="1"/>
  <c r="N118" i="68"/>
  <c r="O118" i="68" s="1"/>
  <c r="Q118" i="68"/>
  <c r="AC118" i="68"/>
  <c r="AD118" i="68"/>
  <c r="AF118" i="68"/>
  <c r="AG118" i="68"/>
  <c r="I119" i="68"/>
  <c r="AE119" i="68" s="1"/>
  <c r="N119" i="68"/>
  <c r="O119" i="68" s="1"/>
  <c r="Q119" i="68"/>
  <c r="AC119" i="68"/>
  <c r="AD119" i="68"/>
  <c r="AF119" i="68"/>
  <c r="AG119" i="68"/>
  <c r="I120" i="68"/>
  <c r="AE120" i="68" s="1"/>
  <c r="N120" i="68"/>
  <c r="O120" i="68" s="1"/>
  <c r="Q120" i="68"/>
  <c r="AC120" i="68"/>
  <c r="AD120" i="68"/>
  <c r="AF120" i="68"/>
  <c r="AG120" i="68"/>
  <c r="I121" i="68"/>
  <c r="AE121" i="68" s="1"/>
  <c r="N121" i="68"/>
  <c r="O121" i="68" s="1"/>
  <c r="Q121" i="68"/>
  <c r="AC121" i="68"/>
  <c r="AD121" i="68"/>
  <c r="AF121" i="68"/>
  <c r="AG121" i="68"/>
  <c r="I122" i="68"/>
  <c r="AE122" i="68" s="1"/>
  <c r="N122" i="68"/>
  <c r="O122" i="68" s="1"/>
  <c r="Q122" i="68"/>
  <c r="AC122" i="68"/>
  <c r="AD122" i="68"/>
  <c r="AF122" i="68"/>
  <c r="AG122" i="68"/>
  <c r="I123" i="68"/>
  <c r="AE123" i="68" s="1"/>
  <c r="N123" i="68"/>
  <c r="O123" i="68" s="1"/>
  <c r="Q123" i="68"/>
  <c r="AC123" i="68"/>
  <c r="AD123" i="68"/>
  <c r="AF123" i="68"/>
  <c r="AG123" i="68"/>
  <c r="I124" i="68"/>
  <c r="AE124" i="68" s="1"/>
  <c r="N124" i="68"/>
  <c r="O124" i="68" s="1"/>
  <c r="Q124" i="68"/>
  <c r="AC124" i="68"/>
  <c r="AD124" i="68"/>
  <c r="AF124" i="68"/>
  <c r="AG124" i="68"/>
  <c r="I125" i="68"/>
  <c r="AE125" i="68" s="1"/>
  <c r="N125" i="68"/>
  <c r="O125" i="68" s="1"/>
  <c r="Q125" i="68"/>
  <c r="AC125" i="68"/>
  <c r="AD125" i="68"/>
  <c r="AF125" i="68"/>
  <c r="AG125" i="68"/>
  <c r="I126" i="68"/>
  <c r="AE126" i="68" s="1"/>
  <c r="N126" i="68"/>
  <c r="O126" i="68" s="1"/>
  <c r="Q126" i="68"/>
  <c r="AC126" i="68"/>
  <c r="AD126" i="68"/>
  <c r="AF126" i="68"/>
  <c r="AG126" i="68"/>
  <c r="I127" i="68"/>
  <c r="AE127" i="68" s="1"/>
  <c r="N127" i="68"/>
  <c r="O127" i="68" s="1"/>
  <c r="Q127" i="68"/>
  <c r="AC127" i="68"/>
  <c r="AD127" i="68"/>
  <c r="AF127" i="68"/>
  <c r="AG127" i="68"/>
  <c r="I128" i="68"/>
  <c r="AE128" i="68" s="1"/>
  <c r="N128" i="68"/>
  <c r="O128" i="68" s="1"/>
  <c r="Q128" i="68"/>
  <c r="AC128" i="68"/>
  <c r="AD128" i="68"/>
  <c r="AF128" i="68"/>
  <c r="AG128" i="68"/>
  <c r="I129" i="68"/>
  <c r="AE129" i="68" s="1"/>
  <c r="N129" i="68"/>
  <c r="O129" i="68" s="1"/>
  <c r="Q129" i="68"/>
  <c r="AC129" i="68"/>
  <c r="AD129" i="68"/>
  <c r="AF129" i="68"/>
  <c r="AG129" i="68"/>
  <c r="I130" i="68"/>
  <c r="AE130" i="68" s="1"/>
  <c r="N130" i="68"/>
  <c r="O130" i="68" s="1"/>
  <c r="Q130" i="68"/>
  <c r="AC130" i="68"/>
  <c r="AD130" i="68"/>
  <c r="AF130" i="68"/>
  <c r="AG130" i="68"/>
  <c r="I131" i="68"/>
  <c r="AE131" i="68" s="1"/>
  <c r="N131" i="68"/>
  <c r="O131" i="68" s="1"/>
  <c r="Q131" i="68"/>
  <c r="AC131" i="68"/>
  <c r="AD131" i="68"/>
  <c r="AF131" i="68"/>
  <c r="AG131" i="68"/>
  <c r="I132" i="68"/>
  <c r="AE132" i="68" s="1"/>
  <c r="N132" i="68"/>
  <c r="O132" i="68" s="1"/>
  <c r="Q132" i="68"/>
  <c r="AC132" i="68"/>
  <c r="AD132" i="68"/>
  <c r="AF132" i="68"/>
  <c r="AG132" i="68"/>
  <c r="I133" i="68"/>
  <c r="AE133" i="68" s="1"/>
  <c r="N133" i="68"/>
  <c r="O133" i="68" s="1"/>
  <c r="Q133" i="68"/>
  <c r="AC133" i="68"/>
  <c r="AD133" i="68"/>
  <c r="AF133" i="68"/>
  <c r="AG133" i="68"/>
  <c r="I134" i="68"/>
  <c r="AE134" i="68" s="1"/>
  <c r="N134" i="68"/>
  <c r="O134" i="68" s="1"/>
  <c r="Q134" i="68"/>
  <c r="AC134" i="68"/>
  <c r="AD134" i="68"/>
  <c r="AF134" i="68"/>
  <c r="AG134" i="68"/>
  <c r="I135" i="68"/>
  <c r="AE135" i="68" s="1"/>
  <c r="N135" i="68"/>
  <c r="O135" i="68" s="1"/>
  <c r="Q135" i="68"/>
  <c r="AC135" i="68"/>
  <c r="AD135" i="68"/>
  <c r="AF135" i="68"/>
  <c r="AG135" i="68"/>
  <c r="I136" i="68"/>
  <c r="AE136" i="68" s="1"/>
  <c r="N136" i="68"/>
  <c r="O136" i="68" s="1"/>
  <c r="Q136" i="68"/>
  <c r="AC136" i="68"/>
  <c r="AD136" i="68"/>
  <c r="AF136" i="68"/>
  <c r="AG136" i="68"/>
  <c r="I137" i="68"/>
  <c r="AE137" i="68" s="1"/>
  <c r="N137" i="68"/>
  <c r="O137" i="68" s="1"/>
  <c r="Q137" i="68"/>
  <c r="AC137" i="68"/>
  <c r="AD137" i="68"/>
  <c r="AF137" i="68"/>
  <c r="AG137" i="68"/>
  <c r="I138" i="68"/>
  <c r="AE138" i="68" s="1"/>
  <c r="N138" i="68"/>
  <c r="O138" i="68" s="1"/>
  <c r="Q138" i="68"/>
  <c r="AC138" i="68"/>
  <c r="AD138" i="68"/>
  <c r="AF138" i="68"/>
  <c r="AG138" i="68"/>
  <c r="I139" i="68"/>
  <c r="AE139" i="68" s="1"/>
  <c r="N139" i="68"/>
  <c r="O139" i="68" s="1"/>
  <c r="Q139" i="68"/>
  <c r="AC139" i="68"/>
  <c r="AD139" i="68"/>
  <c r="AF139" i="68"/>
  <c r="AG139" i="68"/>
  <c r="I140" i="68"/>
  <c r="AE140" i="68" s="1"/>
  <c r="N140" i="68"/>
  <c r="O140" i="68" s="1"/>
  <c r="Q140" i="68"/>
  <c r="AC140" i="68"/>
  <c r="AD140" i="68"/>
  <c r="AF140" i="68"/>
  <c r="AG140" i="68"/>
  <c r="I141" i="68"/>
  <c r="AE141" i="68" s="1"/>
  <c r="N141" i="68"/>
  <c r="O141" i="68" s="1"/>
  <c r="Q141" i="68"/>
  <c r="AC141" i="68"/>
  <c r="AD141" i="68"/>
  <c r="AF141" i="68"/>
  <c r="AG141" i="68"/>
  <c r="I142" i="68"/>
  <c r="AE142" i="68" s="1"/>
  <c r="N142" i="68"/>
  <c r="O142" i="68" s="1"/>
  <c r="Q142" i="68"/>
  <c r="AC142" i="68"/>
  <c r="AD142" i="68"/>
  <c r="AF142" i="68"/>
  <c r="AG142" i="68"/>
  <c r="I143" i="68"/>
  <c r="AE143" i="68" s="1"/>
  <c r="N143" i="68"/>
  <c r="O143" i="68" s="1"/>
  <c r="Q143" i="68"/>
  <c r="AC143" i="68"/>
  <c r="AD143" i="68"/>
  <c r="AF143" i="68"/>
  <c r="AG143" i="68"/>
  <c r="I144" i="68"/>
  <c r="AE144" i="68" s="1"/>
  <c r="N144" i="68"/>
  <c r="O144" i="68" s="1"/>
  <c r="Q144" i="68"/>
  <c r="AC144" i="68"/>
  <c r="AD144" i="68"/>
  <c r="AF144" i="68"/>
  <c r="AG144" i="68"/>
  <c r="I145" i="68"/>
  <c r="AE145" i="68" s="1"/>
  <c r="N145" i="68"/>
  <c r="O145" i="68" s="1"/>
  <c r="Q145" i="68"/>
  <c r="AC145" i="68"/>
  <c r="AD145" i="68"/>
  <c r="AF145" i="68"/>
  <c r="AG145" i="68"/>
  <c r="I146" i="68"/>
  <c r="AE146" i="68" s="1"/>
  <c r="N146" i="68"/>
  <c r="O146" i="68" s="1"/>
  <c r="Q146" i="68"/>
  <c r="AC146" i="68"/>
  <c r="AD146" i="68"/>
  <c r="AF146" i="68"/>
  <c r="AG146" i="68"/>
  <c r="I147" i="68"/>
  <c r="AE147" i="68" s="1"/>
  <c r="N147" i="68"/>
  <c r="O147" i="68" s="1"/>
  <c r="Q147" i="68"/>
  <c r="AC147" i="68"/>
  <c r="AD147" i="68"/>
  <c r="AF147" i="68"/>
  <c r="AG147" i="68"/>
  <c r="I148" i="68"/>
  <c r="AE148" i="68" s="1"/>
  <c r="N148" i="68"/>
  <c r="O148" i="68" s="1"/>
  <c r="Q148" i="68"/>
  <c r="AC148" i="68"/>
  <c r="AD148" i="68"/>
  <c r="AF148" i="68"/>
  <c r="AG148" i="68"/>
  <c r="I149" i="68"/>
  <c r="AE149" i="68" s="1"/>
  <c r="N149" i="68"/>
  <c r="O149" i="68" s="1"/>
  <c r="Q149" i="68"/>
  <c r="AC149" i="68"/>
  <c r="AD149" i="68"/>
  <c r="AF149" i="68"/>
  <c r="AG149" i="68"/>
  <c r="I150" i="68"/>
  <c r="AE150" i="68" s="1"/>
  <c r="N150" i="68"/>
  <c r="O150" i="68" s="1"/>
  <c r="Q150" i="68"/>
  <c r="AC150" i="68"/>
  <c r="AD150" i="68"/>
  <c r="AF150" i="68"/>
  <c r="AG150" i="68"/>
  <c r="I151" i="68"/>
  <c r="AE151" i="68" s="1"/>
  <c r="N151" i="68"/>
  <c r="O151" i="68" s="1"/>
  <c r="Q151" i="68"/>
  <c r="AC151" i="68"/>
  <c r="AD151" i="68"/>
  <c r="AF151" i="68"/>
  <c r="AG151" i="68"/>
  <c r="I152" i="68"/>
  <c r="AE152" i="68" s="1"/>
  <c r="N152" i="68"/>
  <c r="O152" i="68" s="1"/>
  <c r="Q152" i="68"/>
  <c r="AC152" i="68"/>
  <c r="AD152" i="68"/>
  <c r="AF152" i="68"/>
  <c r="AG152" i="68"/>
  <c r="I153" i="68"/>
  <c r="AE153" i="68" s="1"/>
  <c r="N153" i="68"/>
  <c r="O153" i="68" s="1"/>
  <c r="Q153" i="68"/>
  <c r="AC153" i="68"/>
  <c r="AD153" i="68"/>
  <c r="AF153" i="68"/>
  <c r="AG153" i="68"/>
  <c r="I154" i="68"/>
  <c r="AE154" i="68" s="1"/>
  <c r="N154" i="68"/>
  <c r="O154" i="68" s="1"/>
  <c r="Q154" i="68"/>
  <c r="AC154" i="68"/>
  <c r="AD154" i="68"/>
  <c r="AF154" i="68"/>
  <c r="AG154" i="68"/>
  <c r="I155" i="68"/>
  <c r="AE155" i="68" s="1"/>
  <c r="N155" i="68"/>
  <c r="O155" i="68" s="1"/>
  <c r="Q155" i="68"/>
  <c r="AC155" i="68"/>
  <c r="AD155" i="68"/>
  <c r="AF155" i="68"/>
  <c r="AG155" i="68"/>
  <c r="I156" i="68"/>
  <c r="AE156" i="68" s="1"/>
  <c r="N156" i="68"/>
  <c r="O156" i="68" s="1"/>
  <c r="Q156" i="68"/>
  <c r="AC156" i="68"/>
  <c r="AD156" i="68"/>
  <c r="AF156" i="68"/>
  <c r="AG156" i="68"/>
  <c r="I157" i="68"/>
  <c r="AE157" i="68" s="1"/>
  <c r="N157" i="68"/>
  <c r="O157" i="68" s="1"/>
  <c r="Q157" i="68"/>
  <c r="AC157" i="68"/>
  <c r="AD157" i="68"/>
  <c r="AF157" i="68"/>
  <c r="AG157" i="68"/>
  <c r="I158" i="68"/>
  <c r="AE158" i="68" s="1"/>
  <c r="N158" i="68"/>
  <c r="O158" i="68" s="1"/>
  <c r="Q158" i="68"/>
  <c r="AC158" i="68"/>
  <c r="AD158" i="68"/>
  <c r="AF158" i="68"/>
  <c r="AG158" i="68"/>
  <c r="I159" i="68"/>
  <c r="AE159" i="68" s="1"/>
  <c r="N159" i="68"/>
  <c r="O159" i="68" s="1"/>
  <c r="Q159" i="68"/>
  <c r="AC159" i="68"/>
  <c r="AD159" i="68"/>
  <c r="AF159" i="68"/>
  <c r="AG159" i="68"/>
  <c r="I160" i="68"/>
  <c r="AE160" i="68" s="1"/>
  <c r="N160" i="68"/>
  <c r="O160" i="68" s="1"/>
  <c r="Q160" i="68"/>
  <c r="AC160" i="68"/>
  <c r="AD160" i="68"/>
  <c r="AF160" i="68"/>
  <c r="AG160" i="68"/>
  <c r="I161" i="68"/>
  <c r="AE161" i="68" s="1"/>
  <c r="N161" i="68"/>
  <c r="O161" i="68" s="1"/>
  <c r="Q161" i="68"/>
  <c r="AC161" i="68"/>
  <c r="AD161" i="68"/>
  <c r="AF161" i="68"/>
  <c r="AG161" i="68"/>
  <c r="I162" i="68"/>
  <c r="AE162" i="68" s="1"/>
  <c r="N162" i="68"/>
  <c r="O162" i="68" s="1"/>
  <c r="Q162" i="68"/>
  <c r="AC162" i="68"/>
  <c r="AD162" i="68"/>
  <c r="AF162" i="68"/>
  <c r="AG162" i="68"/>
  <c r="I163" i="68"/>
  <c r="AE163" i="68" s="1"/>
  <c r="N163" i="68"/>
  <c r="O163" i="68" s="1"/>
  <c r="Q163" i="68"/>
  <c r="AC163" i="68"/>
  <c r="AD163" i="68"/>
  <c r="AF163" i="68"/>
  <c r="AG163" i="68"/>
  <c r="I164" i="68"/>
  <c r="AE164" i="68" s="1"/>
  <c r="N164" i="68"/>
  <c r="O164" i="68" s="1"/>
  <c r="Q164" i="68"/>
  <c r="AC164" i="68"/>
  <c r="AD164" i="68"/>
  <c r="AF164" i="68"/>
  <c r="AG164" i="68"/>
  <c r="I165" i="68"/>
  <c r="AE165" i="68" s="1"/>
  <c r="N165" i="68"/>
  <c r="O165" i="68" s="1"/>
  <c r="Q165" i="68"/>
  <c r="AC165" i="68"/>
  <c r="AD165" i="68"/>
  <c r="AF165" i="68"/>
  <c r="AG165" i="68"/>
  <c r="I166" i="68"/>
  <c r="AE166" i="68" s="1"/>
  <c r="N166" i="68"/>
  <c r="O166" i="68" s="1"/>
  <c r="Q166" i="68"/>
  <c r="AC166" i="68"/>
  <c r="AD166" i="68"/>
  <c r="AF166" i="68"/>
  <c r="AG166" i="68"/>
  <c r="I167" i="68"/>
  <c r="AE167" i="68" s="1"/>
  <c r="N167" i="68"/>
  <c r="O167" i="68" s="1"/>
  <c r="Q167" i="68"/>
  <c r="AC167" i="68"/>
  <c r="AD167" i="68"/>
  <c r="AF167" i="68"/>
  <c r="AG167" i="68"/>
  <c r="I168" i="68"/>
  <c r="AE168" i="68" s="1"/>
  <c r="N168" i="68"/>
  <c r="O168" i="68" s="1"/>
  <c r="Q168" i="68"/>
  <c r="AC168" i="68"/>
  <c r="AD168" i="68"/>
  <c r="AF168" i="68"/>
  <c r="AG168" i="68"/>
  <c r="I169" i="68"/>
  <c r="AE169" i="68" s="1"/>
  <c r="N169" i="68"/>
  <c r="O169" i="68" s="1"/>
  <c r="Q169" i="68"/>
  <c r="AC169" i="68"/>
  <c r="AD169" i="68"/>
  <c r="AF169" i="68"/>
  <c r="AG169" i="68"/>
  <c r="I170" i="68"/>
  <c r="AE170" i="68" s="1"/>
  <c r="N170" i="68"/>
  <c r="O170" i="68" s="1"/>
  <c r="Q170" i="68"/>
  <c r="AC170" i="68"/>
  <c r="AD170" i="68"/>
  <c r="AF170" i="68"/>
  <c r="AG170" i="68"/>
  <c r="I171" i="68"/>
  <c r="AE171" i="68" s="1"/>
  <c r="N171" i="68"/>
  <c r="O171" i="68" s="1"/>
  <c r="Q171" i="68"/>
  <c r="AC171" i="68"/>
  <c r="AD171" i="68"/>
  <c r="AF171" i="68"/>
  <c r="AG171" i="68"/>
  <c r="I172" i="68"/>
  <c r="AE172" i="68" s="1"/>
  <c r="N172" i="68"/>
  <c r="O172" i="68" s="1"/>
  <c r="Q172" i="68"/>
  <c r="AC172" i="68"/>
  <c r="AD172" i="68"/>
  <c r="AF172" i="68"/>
  <c r="AG172" i="68"/>
  <c r="I173" i="68"/>
  <c r="AE173" i="68" s="1"/>
  <c r="N173" i="68"/>
  <c r="O173" i="68" s="1"/>
  <c r="Q173" i="68"/>
  <c r="AC173" i="68"/>
  <c r="AD173" i="68"/>
  <c r="AF173" i="68"/>
  <c r="AG173" i="68"/>
  <c r="I174" i="68"/>
  <c r="AE174" i="68" s="1"/>
  <c r="N174" i="68"/>
  <c r="O174" i="68" s="1"/>
  <c r="Q174" i="68"/>
  <c r="AC174" i="68"/>
  <c r="AD174" i="68"/>
  <c r="AF174" i="68"/>
  <c r="AG174" i="68"/>
  <c r="I175" i="68"/>
  <c r="AE175" i="68" s="1"/>
  <c r="N175" i="68"/>
  <c r="O175" i="68" s="1"/>
  <c r="Q175" i="68"/>
  <c r="AC175" i="68"/>
  <c r="AD175" i="68"/>
  <c r="AF175" i="68"/>
  <c r="AG175" i="68"/>
  <c r="I176" i="68"/>
  <c r="AE176" i="68" s="1"/>
  <c r="N176" i="68"/>
  <c r="O176" i="68" s="1"/>
  <c r="Q176" i="68"/>
  <c r="AC176" i="68"/>
  <c r="AD176" i="68"/>
  <c r="AF176" i="68"/>
  <c r="AG176" i="68"/>
  <c r="I177" i="68"/>
  <c r="AE177" i="68" s="1"/>
  <c r="N177" i="68"/>
  <c r="O177" i="68" s="1"/>
  <c r="Q177" i="68"/>
  <c r="AC177" i="68"/>
  <c r="AD177" i="68"/>
  <c r="AF177" i="68"/>
  <c r="AG177" i="68"/>
  <c r="I178" i="68"/>
  <c r="AE178" i="68" s="1"/>
  <c r="N178" i="68"/>
  <c r="O178" i="68" s="1"/>
  <c r="Q178" i="68"/>
  <c r="AC178" i="68"/>
  <c r="AD178" i="68"/>
  <c r="AF178" i="68"/>
  <c r="AG178" i="68"/>
  <c r="I179" i="68"/>
  <c r="AE179" i="68" s="1"/>
  <c r="N179" i="68"/>
  <c r="O179" i="68" s="1"/>
  <c r="Q179" i="68"/>
  <c r="AC179" i="68"/>
  <c r="AD179" i="68"/>
  <c r="AF179" i="68"/>
  <c r="AG179" i="68"/>
  <c r="I180" i="68"/>
  <c r="AE180" i="68" s="1"/>
  <c r="N180" i="68"/>
  <c r="O180" i="68" s="1"/>
  <c r="Q180" i="68"/>
  <c r="AC180" i="68"/>
  <c r="AD180" i="68"/>
  <c r="AF180" i="68"/>
  <c r="AG180" i="68"/>
  <c r="I181" i="68"/>
  <c r="AE181" i="68" s="1"/>
  <c r="N181" i="68"/>
  <c r="O181" i="68" s="1"/>
  <c r="Q181" i="68"/>
  <c r="AC181" i="68"/>
  <c r="AD181" i="68"/>
  <c r="AF181" i="68"/>
  <c r="AG181" i="68"/>
  <c r="I182" i="68"/>
  <c r="AE182" i="68" s="1"/>
  <c r="N182" i="68"/>
  <c r="O182" i="68" s="1"/>
  <c r="Q182" i="68"/>
  <c r="AC182" i="68"/>
  <c r="AD182" i="68"/>
  <c r="AF182" i="68"/>
  <c r="AG182" i="68"/>
  <c r="I183" i="68"/>
  <c r="AE183" i="68" s="1"/>
  <c r="N183" i="68"/>
  <c r="O183" i="68" s="1"/>
  <c r="Q183" i="68"/>
  <c r="AC183" i="68"/>
  <c r="AD183" i="68"/>
  <c r="AF183" i="68"/>
  <c r="AG183" i="68"/>
  <c r="I212" i="68"/>
  <c r="AE212" i="68" s="1"/>
  <c r="N212" i="68"/>
  <c r="Q212" i="68"/>
  <c r="AC212" i="68"/>
  <c r="AD212" i="68"/>
  <c r="AF212" i="68"/>
  <c r="AG212" i="68"/>
  <c r="I217" i="68"/>
  <c r="AE217" i="68" s="1"/>
  <c r="N217" i="68"/>
  <c r="O217" i="68" s="1"/>
  <c r="Q217" i="68"/>
  <c r="AC217" i="68"/>
  <c r="AD217" i="68"/>
  <c r="AF217" i="68"/>
  <c r="AG217" i="68"/>
  <c r="I218" i="68"/>
  <c r="AE218" i="68" s="1"/>
  <c r="N218" i="68"/>
  <c r="O218" i="68" s="1"/>
  <c r="Q218" i="68"/>
  <c r="AC218" i="68"/>
  <c r="AD218" i="68"/>
  <c r="AF218" i="68"/>
  <c r="AG218" i="68"/>
  <c r="I219" i="68"/>
  <c r="AE219" i="68" s="1"/>
  <c r="N219" i="68"/>
  <c r="O219" i="68" s="1"/>
  <c r="Q219" i="68"/>
  <c r="T219" i="68" s="1"/>
  <c r="AC219" i="68"/>
  <c r="AD219" i="68"/>
  <c r="AF219" i="68"/>
  <c r="AG219" i="68"/>
  <c r="I220" i="68"/>
  <c r="AE220" i="68" s="1"/>
  <c r="N220" i="68"/>
  <c r="O220" i="68" s="1"/>
  <c r="Q220" i="68"/>
  <c r="R220" i="68" s="1"/>
  <c r="AC220" i="68"/>
  <c r="AD220" i="68"/>
  <c r="AF220" i="68"/>
  <c r="AG220" i="68"/>
  <c r="I221" i="68"/>
  <c r="AE221" i="68" s="1"/>
  <c r="N221" i="68"/>
  <c r="O221" i="68" s="1"/>
  <c r="Q221" i="68"/>
  <c r="AC221" i="68"/>
  <c r="AD221" i="68"/>
  <c r="AF221" i="68"/>
  <c r="AG221" i="68"/>
  <c r="I222" i="68"/>
  <c r="AE222" i="68" s="1"/>
  <c r="N222" i="68"/>
  <c r="O222" i="68" s="1"/>
  <c r="Q222" i="68"/>
  <c r="AC222" i="68"/>
  <c r="AD222" i="68"/>
  <c r="AF222" i="68"/>
  <c r="AG222" i="68"/>
  <c r="I223" i="68"/>
  <c r="AE223" i="68" s="1"/>
  <c r="N223" i="68"/>
  <c r="O223" i="68" s="1"/>
  <c r="Q223" i="68"/>
  <c r="AC223" i="68"/>
  <c r="AD223" i="68"/>
  <c r="AF223" i="68"/>
  <c r="AG223" i="68"/>
  <c r="I224" i="68"/>
  <c r="AE224" i="68" s="1"/>
  <c r="N224" i="68"/>
  <c r="O224" i="68" s="1"/>
  <c r="Q224" i="68"/>
  <c r="AC224" i="68"/>
  <c r="AD224" i="68"/>
  <c r="AF224" i="68"/>
  <c r="AG224" i="68"/>
  <c r="I225" i="68"/>
  <c r="AE225" i="68" s="1"/>
  <c r="N225" i="68"/>
  <c r="O225" i="68" s="1"/>
  <c r="Q225" i="68"/>
  <c r="AC225" i="68"/>
  <c r="AD225" i="68"/>
  <c r="AF225" i="68"/>
  <c r="AG225" i="68"/>
  <c r="I226" i="68"/>
  <c r="AE226" i="68" s="1"/>
  <c r="N226" i="68"/>
  <c r="O226" i="68" s="1"/>
  <c r="Q226" i="68"/>
  <c r="AC226" i="68"/>
  <c r="AD226" i="68"/>
  <c r="AF226" i="68"/>
  <c r="AG226" i="68"/>
  <c r="I227" i="68"/>
  <c r="AE227" i="68" s="1"/>
  <c r="N227" i="68"/>
  <c r="O227" i="68" s="1"/>
  <c r="Q227" i="68"/>
  <c r="AC227" i="68"/>
  <c r="AD227" i="68"/>
  <c r="AF227" i="68"/>
  <c r="AG227" i="68"/>
  <c r="I228" i="68"/>
  <c r="AE228" i="68" s="1"/>
  <c r="N228" i="68"/>
  <c r="O228" i="68" s="1"/>
  <c r="Q228" i="68"/>
  <c r="AC228" i="68"/>
  <c r="AD228" i="68"/>
  <c r="AF228" i="68"/>
  <c r="AG228" i="68"/>
  <c r="I229" i="68"/>
  <c r="AE229" i="68" s="1"/>
  <c r="N229" i="68"/>
  <c r="O229" i="68" s="1"/>
  <c r="Q229" i="68"/>
  <c r="AC229" i="68"/>
  <c r="AD229" i="68"/>
  <c r="AF229" i="68"/>
  <c r="AG229" i="68"/>
  <c r="I230" i="68"/>
  <c r="AE230" i="68" s="1"/>
  <c r="N230" i="68"/>
  <c r="O230" i="68" s="1"/>
  <c r="Q230" i="68"/>
  <c r="AC230" i="68"/>
  <c r="AD230" i="68"/>
  <c r="AF230" i="68"/>
  <c r="AG230" i="68"/>
  <c r="I231" i="68"/>
  <c r="AE231" i="68" s="1"/>
  <c r="N231" i="68"/>
  <c r="O231" i="68" s="1"/>
  <c r="Q231" i="68"/>
  <c r="AC231" i="68"/>
  <c r="AD231" i="68"/>
  <c r="AF231" i="68"/>
  <c r="AG231" i="68"/>
  <c r="I232" i="68"/>
  <c r="AE232" i="68" s="1"/>
  <c r="N232" i="68"/>
  <c r="O232" i="68" s="1"/>
  <c r="Q232" i="68"/>
  <c r="AC232" i="68"/>
  <c r="AD232" i="68"/>
  <c r="AF232" i="68"/>
  <c r="AG232" i="68"/>
  <c r="I233" i="68"/>
  <c r="AE233" i="68" s="1"/>
  <c r="N233" i="68"/>
  <c r="O233" i="68" s="1"/>
  <c r="Q233" i="68"/>
  <c r="AC233" i="68"/>
  <c r="AD233" i="68"/>
  <c r="AF233" i="68"/>
  <c r="AG233" i="68"/>
  <c r="I234" i="68"/>
  <c r="AE234" i="68" s="1"/>
  <c r="N234" i="68"/>
  <c r="O234" i="68" s="1"/>
  <c r="Q234" i="68"/>
  <c r="AC234" i="68"/>
  <c r="AD234" i="68"/>
  <c r="AF234" i="68"/>
  <c r="AG234" i="68"/>
  <c r="I235" i="68"/>
  <c r="AE235" i="68" s="1"/>
  <c r="N235" i="68"/>
  <c r="O235" i="68" s="1"/>
  <c r="Q235" i="68"/>
  <c r="AC235" i="68"/>
  <c r="AD235" i="68"/>
  <c r="AF235" i="68"/>
  <c r="AG235" i="68"/>
  <c r="I236" i="68"/>
  <c r="AE236" i="68" s="1"/>
  <c r="N236" i="68"/>
  <c r="O236" i="68" s="1"/>
  <c r="Q236" i="68"/>
  <c r="AC236" i="68"/>
  <c r="AD236" i="68"/>
  <c r="AF236" i="68"/>
  <c r="AG236" i="68"/>
  <c r="I242" i="68"/>
  <c r="AE242" i="68" s="1"/>
  <c r="N242" i="68"/>
  <c r="O242" i="68" s="1"/>
  <c r="Q242" i="68"/>
  <c r="AC242" i="68"/>
  <c r="AD242" i="68"/>
  <c r="AF242" i="68"/>
  <c r="AG242" i="68"/>
  <c r="L244" i="68"/>
  <c r="I247" i="68"/>
  <c r="AE247" i="68" s="1"/>
  <c r="N247" i="68"/>
  <c r="O247" i="68" s="1"/>
  <c r="Q247" i="68"/>
  <c r="AC247" i="68"/>
  <c r="AD247" i="68"/>
  <c r="AF247" i="68"/>
  <c r="AG247" i="68"/>
  <c r="I248" i="68"/>
  <c r="AE248" i="68" s="1"/>
  <c r="N248" i="68"/>
  <c r="O248" i="68" s="1"/>
  <c r="Q248" i="68"/>
  <c r="AC248" i="68"/>
  <c r="AD248" i="68"/>
  <c r="AF248" i="68"/>
  <c r="AG248" i="68"/>
  <c r="I249" i="68"/>
  <c r="AE249" i="68" s="1"/>
  <c r="N249" i="68"/>
  <c r="O249" i="68" s="1"/>
  <c r="Q249" i="68"/>
  <c r="AC249" i="68"/>
  <c r="AD249" i="68"/>
  <c r="AF249" i="68"/>
  <c r="AG249" i="68"/>
  <c r="I250" i="68"/>
  <c r="AE250" i="68" s="1"/>
  <c r="N250" i="68"/>
  <c r="O250" i="68" s="1"/>
  <c r="Q250" i="68"/>
  <c r="AC250" i="68"/>
  <c r="AD250" i="68"/>
  <c r="AF250" i="68"/>
  <c r="AG250" i="68"/>
  <c r="I251" i="68"/>
  <c r="AE251" i="68" s="1"/>
  <c r="N251" i="68"/>
  <c r="O251" i="68" s="1"/>
  <c r="Q251" i="68"/>
  <c r="AC251" i="68"/>
  <c r="AD251" i="68"/>
  <c r="AF251" i="68"/>
  <c r="AG251" i="68"/>
  <c r="I252" i="68"/>
  <c r="AE252" i="68" s="1"/>
  <c r="N252" i="68"/>
  <c r="O252" i="68" s="1"/>
  <c r="Q252" i="68"/>
  <c r="AC252" i="68"/>
  <c r="AD252" i="68"/>
  <c r="AF252" i="68"/>
  <c r="AG252" i="68"/>
  <c r="I253" i="68"/>
  <c r="AE253" i="68" s="1"/>
  <c r="N253" i="68"/>
  <c r="O253" i="68" s="1"/>
  <c r="Q253" i="68"/>
  <c r="AC253" i="68"/>
  <c r="AD253" i="68"/>
  <c r="AF253" i="68"/>
  <c r="AG253" i="68"/>
  <c r="I254" i="68"/>
  <c r="AE254" i="68" s="1"/>
  <c r="N254" i="68"/>
  <c r="O254" i="68" s="1"/>
  <c r="Q254" i="68"/>
  <c r="AC254" i="68"/>
  <c r="AD254" i="68"/>
  <c r="AF254" i="68"/>
  <c r="AG254" i="68"/>
  <c r="I255" i="68"/>
  <c r="AE255" i="68" s="1"/>
  <c r="N255" i="68"/>
  <c r="O255" i="68" s="1"/>
  <c r="Q255" i="68"/>
  <c r="AC255" i="68"/>
  <c r="AD255" i="68"/>
  <c r="AF255" i="68"/>
  <c r="AG255" i="68"/>
  <c r="I256" i="68"/>
  <c r="AE256" i="68" s="1"/>
  <c r="N256" i="68"/>
  <c r="O256" i="68" s="1"/>
  <c r="Q256" i="68"/>
  <c r="AC256" i="68"/>
  <c r="AD256" i="68"/>
  <c r="AF256" i="68"/>
  <c r="AG256" i="68"/>
  <c r="I257" i="68"/>
  <c r="AE257" i="68" s="1"/>
  <c r="N257" i="68"/>
  <c r="O257" i="68" s="1"/>
  <c r="Q257" i="68"/>
  <c r="AC257" i="68"/>
  <c r="AD257" i="68"/>
  <c r="AF257" i="68"/>
  <c r="AG257" i="68"/>
  <c r="I258" i="68"/>
  <c r="AE258" i="68" s="1"/>
  <c r="N258" i="68"/>
  <c r="O258" i="68" s="1"/>
  <c r="Q258" i="68"/>
  <c r="AC258" i="68"/>
  <c r="AD258" i="68"/>
  <c r="AF258" i="68"/>
  <c r="AG258" i="68"/>
  <c r="I259" i="68"/>
  <c r="AE259" i="68" s="1"/>
  <c r="N259" i="68"/>
  <c r="O259" i="68" s="1"/>
  <c r="Q259" i="68"/>
  <c r="AC259" i="68"/>
  <c r="AD259" i="68"/>
  <c r="AF259" i="68"/>
  <c r="AG259" i="68"/>
  <c r="I260" i="68"/>
  <c r="AE260" i="68" s="1"/>
  <c r="N260" i="68"/>
  <c r="O260" i="68" s="1"/>
  <c r="Q260" i="68"/>
  <c r="AC260" i="68"/>
  <c r="AD260" i="68"/>
  <c r="AF260" i="68"/>
  <c r="AG260" i="68"/>
  <c r="I261" i="68"/>
  <c r="AE261" i="68" s="1"/>
  <c r="N261" i="68"/>
  <c r="O261" i="68" s="1"/>
  <c r="Q261" i="68"/>
  <c r="AC261" i="68"/>
  <c r="AD261" i="68"/>
  <c r="AF261" i="68"/>
  <c r="AG261" i="68"/>
  <c r="I262" i="68"/>
  <c r="AE262" i="68" s="1"/>
  <c r="N262" i="68"/>
  <c r="O262" i="68" s="1"/>
  <c r="Q262" i="68"/>
  <c r="AC262" i="68"/>
  <c r="AD262" i="68"/>
  <c r="AF262" i="68"/>
  <c r="AG262" i="68"/>
  <c r="I263" i="68"/>
  <c r="AE263" i="68" s="1"/>
  <c r="N263" i="68"/>
  <c r="O263" i="68" s="1"/>
  <c r="Q263" i="68"/>
  <c r="AC263" i="68"/>
  <c r="AD263" i="68"/>
  <c r="AF263" i="68"/>
  <c r="AG263" i="68"/>
  <c r="I264" i="68"/>
  <c r="AE264" i="68" s="1"/>
  <c r="N264" i="68"/>
  <c r="O264" i="68" s="1"/>
  <c r="Q264" i="68"/>
  <c r="AC264" i="68"/>
  <c r="AD264" i="68"/>
  <c r="AF264" i="68"/>
  <c r="AG264" i="68"/>
  <c r="I265" i="68"/>
  <c r="AE265" i="68" s="1"/>
  <c r="N265" i="68"/>
  <c r="O265" i="68" s="1"/>
  <c r="Q265" i="68"/>
  <c r="AC265" i="68"/>
  <c r="AD265" i="68"/>
  <c r="AF265" i="68"/>
  <c r="AG265" i="68"/>
  <c r="I266" i="68"/>
  <c r="AE266" i="68" s="1"/>
  <c r="N266" i="68"/>
  <c r="O266" i="68" s="1"/>
  <c r="Q266" i="68"/>
  <c r="AC266" i="68"/>
  <c r="AD266" i="68"/>
  <c r="AF266" i="68"/>
  <c r="AG266" i="68"/>
  <c r="I267" i="68"/>
  <c r="AE267" i="68" s="1"/>
  <c r="N267" i="68"/>
  <c r="O267" i="68" s="1"/>
  <c r="Q267" i="68"/>
  <c r="AC267" i="68"/>
  <c r="AD267" i="68"/>
  <c r="AF267" i="68"/>
  <c r="AG267" i="68"/>
  <c r="I268" i="68"/>
  <c r="AE268" i="68" s="1"/>
  <c r="N268" i="68"/>
  <c r="O268" i="68" s="1"/>
  <c r="Q268" i="68"/>
  <c r="AC268" i="68"/>
  <c r="AD268" i="68"/>
  <c r="AF268" i="68"/>
  <c r="AG268" i="68"/>
  <c r="I269" i="68"/>
  <c r="AE269" i="68" s="1"/>
  <c r="N269" i="68"/>
  <c r="O269" i="68" s="1"/>
  <c r="Q269" i="68"/>
  <c r="AC269" i="68"/>
  <c r="AD269" i="68"/>
  <c r="AF269" i="68"/>
  <c r="AG269" i="68"/>
  <c r="I270" i="68"/>
  <c r="AE270" i="68" s="1"/>
  <c r="N270" i="68"/>
  <c r="O270" i="68" s="1"/>
  <c r="Q270" i="68"/>
  <c r="AC270" i="68"/>
  <c r="AD270" i="68"/>
  <c r="AF270" i="68"/>
  <c r="AG270" i="68"/>
  <c r="I271" i="68"/>
  <c r="AE271" i="68" s="1"/>
  <c r="N271" i="68"/>
  <c r="O271" i="68" s="1"/>
  <c r="Q271" i="68"/>
  <c r="AC271" i="68"/>
  <c r="AD271" i="68"/>
  <c r="AF271" i="68"/>
  <c r="AG271" i="68"/>
  <c r="I272" i="68"/>
  <c r="AE272" i="68" s="1"/>
  <c r="N272" i="68"/>
  <c r="O272" i="68" s="1"/>
  <c r="Q272" i="68"/>
  <c r="AC272" i="68"/>
  <c r="AD272" i="68"/>
  <c r="AF272" i="68"/>
  <c r="AG272" i="68"/>
  <c r="I281" i="68"/>
  <c r="AE281" i="68" s="1"/>
  <c r="N281" i="68"/>
  <c r="O281" i="68" s="1"/>
  <c r="Q281" i="68"/>
  <c r="AC281" i="68"/>
  <c r="AD281" i="68"/>
  <c r="AF281" i="68"/>
  <c r="AG281" i="68"/>
  <c r="I287" i="68"/>
  <c r="AE287" i="68" s="1"/>
  <c r="N287" i="68"/>
  <c r="O287" i="68" s="1"/>
  <c r="Q287" i="68"/>
  <c r="AC287" i="68"/>
  <c r="AD287" i="68"/>
  <c r="AF287" i="68"/>
  <c r="AG287" i="68"/>
  <c r="I288" i="68"/>
  <c r="AE288" i="68" s="1"/>
  <c r="N288" i="68"/>
  <c r="O288" i="68" s="1"/>
  <c r="Q288" i="68"/>
  <c r="AC288" i="68"/>
  <c r="AD288" i="68"/>
  <c r="AF288" i="68"/>
  <c r="AG288" i="68"/>
  <c r="L290" i="68"/>
  <c r="I294" i="68"/>
  <c r="AE294" i="68" s="1"/>
  <c r="N294" i="68"/>
  <c r="N298" i="68" s="1"/>
  <c r="Q294" i="68"/>
  <c r="Q298" i="68" s="1"/>
  <c r="AC294" i="68"/>
  <c r="AD294" i="68"/>
  <c r="AF294" i="68"/>
  <c r="AG294" i="68"/>
  <c r="I302" i="68"/>
  <c r="AE302" i="68" s="1"/>
  <c r="N302" i="68"/>
  <c r="O302" i="68" s="1"/>
  <c r="Q302" i="68"/>
  <c r="AC302" i="68"/>
  <c r="AD302" i="68"/>
  <c r="AF302" i="68"/>
  <c r="AG302" i="68"/>
  <c r="I303" i="68"/>
  <c r="AE303" i="68" s="1"/>
  <c r="N303" i="68"/>
  <c r="O303" i="68" s="1"/>
  <c r="Q303" i="68"/>
  <c r="AC303" i="68"/>
  <c r="AD303" i="68"/>
  <c r="AF303" i="68"/>
  <c r="AG303" i="68"/>
  <c r="I304" i="68"/>
  <c r="AE304" i="68" s="1"/>
  <c r="N304" i="68"/>
  <c r="O304" i="68" s="1"/>
  <c r="Q304" i="68"/>
  <c r="AC304" i="68"/>
  <c r="AD304" i="68"/>
  <c r="AF304" i="68"/>
  <c r="AG304" i="68"/>
  <c r="I305" i="68"/>
  <c r="AE305" i="68" s="1"/>
  <c r="N305" i="68"/>
  <c r="O305" i="68" s="1"/>
  <c r="Q305" i="68"/>
  <c r="AC305" i="68"/>
  <c r="AD305" i="68"/>
  <c r="AF305" i="68"/>
  <c r="AG305" i="68"/>
  <c r="I306" i="68"/>
  <c r="AE306" i="68" s="1"/>
  <c r="N306" i="68"/>
  <c r="O306" i="68" s="1"/>
  <c r="Q306" i="68"/>
  <c r="AC306" i="68"/>
  <c r="AD306" i="68"/>
  <c r="AF306" i="68"/>
  <c r="AG306" i="68"/>
  <c r="I307" i="68"/>
  <c r="AE307" i="68" s="1"/>
  <c r="N307" i="68"/>
  <c r="O307" i="68" s="1"/>
  <c r="Q307" i="68"/>
  <c r="AC307" i="68"/>
  <c r="AD307" i="68"/>
  <c r="AF307" i="68"/>
  <c r="AG307" i="68"/>
  <c r="I308" i="68"/>
  <c r="AE308" i="68" s="1"/>
  <c r="N308" i="68"/>
  <c r="O308" i="68" s="1"/>
  <c r="Q308" i="68"/>
  <c r="AC308" i="68"/>
  <c r="AD308" i="68"/>
  <c r="AF308" i="68"/>
  <c r="AG308" i="68"/>
  <c r="I309" i="68"/>
  <c r="AE309" i="68" s="1"/>
  <c r="N309" i="68"/>
  <c r="O309" i="68" s="1"/>
  <c r="Q309" i="68"/>
  <c r="AC309" i="68"/>
  <c r="AD309" i="68"/>
  <c r="AF309" i="68"/>
  <c r="AG309" i="68"/>
  <c r="I311" i="68"/>
  <c r="AE311" i="68" s="1"/>
  <c r="AC311" i="68"/>
  <c r="I313" i="68"/>
  <c r="AE313" i="68" s="1"/>
  <c r="AC313" i="68"/>
  <c r="I315" i="68"/>
  <c r="AE315" i="68" s="1"/>
  <c r="AC315" i="68"/>
  <c r="I317" i="68"/>
  <c r="AE317" i="68" s="1"/>
  <c r="N317" i="68"/>
  <c r="O317" i="68" s="1"/>
  <c r="Q317" i="68"/>
  <c r="AC317" i="68"/>
  <c r="AD317" i="68"/>
  <c r="AF317" i="68"/>
  <c r="AG317" i="68"/>
  <c r="I318" i="68"/>
  <c r="AE318" i="68" s="1"/>
  <c r="N318" i="68"/>
  <c r="O318" i="68" s="1"/>
  <c r="Q318" i="68"/>
  <c r="T318" i="68" s="1"/>
  <c r="AC318" i="68"/>
  <c r="AD318" i="68"/>
  <c r="AF318" i="68"/>
  <c r="AG318" i="68"/>
  <c r="I319" i="68"/>
  <c r="AE319" i="68" s="1"/>
  <c r="N319" i="68"/>
  <c r="O319" i="68" s="1"/>
  <c r="Q319" i="68"/>
  <c r="AC319" i="68"/>
  <c r="AD319" i="68"/>
  <c r="AF319" i="68"/>
  <c r="AG319" i="68"/>
  <c r="I320" i="68"/>
  <c r="AE320" i="68" s="1"/>
  <c r="N320" i="68"/>
  <c r="O320" i="68" s="1"/>
  <c r="Q320" i="68"/>
  <c r="AC320" i="68"/>
  <c r="AD320" i="68"/>
  <c r="AF320" i="68"/>
  <c r="AG320" i="68"/>
  <c r="I327" i="68"/>
  <c r="AE327" i="68" s="1"/>
  <c r="N327" i="68"/>
  <c r="O327" i="68" s="1"/>
  <c r="Q327" i="68"/>
  <c r="AC327" i="68"/>
  <c r="AD327" i="68"/>
  <c r="AF327" i="68"/>
  <c r="AG327" i="68"/>
  <c r="I332" i="68"/>
  <c r="AE332" i="68" s="1"/>
  <c r="N332" i="68"/>
  <c r="O332" i="68" s="1"/>
  <c r="Q332" i="68"/>
  <c r="AC332" i="68"/>
  <c r="AD332" i="68"/>
  <c r="AF332" i="68"/>
  <c r="AG332" i="68"/>
  <c r="I333" i="68"/>
  <c r="AE333" i="68" s="1"/>
  <c r="N333" i="68"/>
  <c r="O333" i="68" s="1"/>
  <c r="Q333" i="68"/>
  <c r="AC333" i="68"/>
  <c r="AD333" i="68"/>
  <c r="AF333" i="68"/>
  <c r="AG333" i="68"/>
  <c r="I334" i="68"/>
  <c r="AE334" i="68" s="1"/>
  <c r="N334" i="68"/>
  <c r="O334" i="68" s="1"/>
  <c r="Q334" i="68"/>
  <c r="AC334" i="68"/>
  <c r="AD334" i="68"/>
  <c r="AF334" i="68"/>
  <c r="AG334" i="68"/>
  <c r="I340" i="68"/>
  <c r="AE340" i="68" s="1"/>
  <c r="N340" i="68"/>
  <c r="O340" i="68" s="1"/>
  <c r="Q340" i="68"/>
  <c r="AC340" i="68"/>
  <c r="AD340" i="68"/>
  <c r="AF340" i="68"/>
  <c r="AG340" i="68"/>
  <c r="I341" i="68"/>
  <c r="AE341" i="68" s="1"/>
  <c r="N341" i="68"/>
  <c r="O341" i="68" s="1"/>
  <c r="Q341" i="68"/>
  <c r="AC341" i="68"/>
  <c r="AD341" i="68"/>
  <c r="AF341" i="68"/>
  <c r="AG341" i="68"/>
  <c r="I342" i="68"/>
  <c r="AE342" i="68" s="1"/>
  <c r="N342" i="68"/>
  <c r="O342" i="68" s="1"/>
  <c r="Q342" i="68"/>
  <c r="AC342" i="68"/>
  <c r="AD342" i="68"/>
  <c r="AF342" i="68"/>
  <c r="AG342" i="68"/>
  <c r="I343" i="68"/>
  <c r="AE343" i="68" s="1"/>
  <c r="N343" i="68"/>
  <c r="O343" i="68" s="1"/>
  <c r="Q343" i="68"/>
  <c r="AC343" i="68"/>
  <c r="AD343" i="68"/>
  <c r="AF343" i="68"/>
  <c r="AG343" i="68"/>
  <c r="I344" i="68"/>
  <c r="AE344" i="68" s="1"/>
  <c r="N344" i="68"/>
  <c r="O344" i="68" s="1"/>
  <c r="Q344" i="68"/>
  <c r="AC344" i="68"/>
  <c r="AD344" i="68"/>
  <c r="AF344" i="68"/>
  <c r="AG344" i="68"/>
  <c r="I345" i="68"/>
  <c r="AE345" i="68" s="1"/>
  <c r="N345" i="68"/>
  <c r="O345" i="68" s="1"/>
  <c r="Q345" i="68"/>
  <c r="AC345" i="68"/>
  <c r="AD345" i="68"/>
  <c r="AF345" i="68"/>
  <c r="AG345" i="68"/>
  <c r="I346" i="68"/>
  <c r="AE346" i="68" s="1"/>
  <c r="N346" i="68"/>
  <c r="O346" i="68" s="1"/>
  <c r="Q346" i="68"/>
  <c r="AC346" i="68"/>
  <c r="AD346" i="68"/>
  <c r="AF346" i="68"/>
  <c r="AG346" i="68"/>
  <c r="I347" i="68"/>
  <c r="AE347" i="68" s="1"/>
  <c r="N347" i="68"/>
  <c r="O347" i="68" s="1"/>
  <c r="Q347" i="68"/>
  <c r="AC347" i="68"/>
  <c r="AD347" i="68"/>
  <c r="AF347" i="68"/>
  <c r="AG347" i="68"/>
  <c r="I348" i="68"/>
  <c r="AE348" i="68" s="1"/>
  <c r="N348" i="68"/>
  <c r="O348" i="68" s="1"/>
  <c r="Q348" i="68"/>
  <c r="AC348" i="68"/>
  <c r="AD348" i="68"/>
  <c r="AF348" i="68"/>
  <c r="AG348" i="68"/>
  <c r="AE352" i="68"/>
  <c r="N352" i="68"/>
  <c r="O352" i="68" s="1"/>
  <c r="Q352" i="68"/>
  <c r="AC352" i="68"/>
  <c r="AD352" i="68"/>
  <c r="AF352" i="68"/>
  <c r="AG352" i="68"/>
  <c r="M354" i="68"/>
  <c r="AI357" i="68"/>
  <c r="AJ357" i="68"/>
  <c r="P12" i="49"/>
  <c r="P13" i="49"/>
  <c r="P14" i="49"/>
  <c r="P15" i="49"/>
  <c r="P16" i="49"/>
  <c r="P18" i="49"/>
  <c r="P19" i="49"/>
  <c r="P20" i="49"/>
  <c r="P39" i="49" s="1"/>
  <c r="P21" i="49"/>
  <c r="P40" i="49" s="1"/>
  <c r="P22" i="49"/>
  <c r="P41" i="49" s="1"/>
  <c r="P23" i="49"/>
  <c r="P42" i="49" s="1"/>
  <c r="P24" i="49"/>
  <c r="P43" i="49" s="1"/>
  <c r="P25" i="49"/>
  <c r="P44" i="49" s="1"/>
  <c r="P26" i="49"/>
  <c r="P45" i="49" s="1"/>
  <c r="P27" i="49"/>
  <c r="P46" i="49" s="1"/>
  <c r="P29" i="49"/>
  <c r="P12" i="48"/>
  <c r="AH12" i="48"/>
  <c r="AI12" i="48"/>
  <c r="P13" i="48"/>
  <c r="P14" i="48"/>
  <c r="P15" i="48"/>
  <c r="P16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3" i="48"/>
  <c r="O10" i="47"/>
  <c r="O11" i="47"/>
  <c r="O12" i="47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X28" i="47"/>
  <c r="O29" i="47"/>
  <c r="X29" i="47"/>
  <c r="O30" i="47"/>
  <c r="X30" i="47"/>
  <c r="O31" i="47"/>
  <c r="X31" i="47"/>
  <c r="O32" i="47"/>
  <c r="X32" i="47"/>
  <c r="O33" i="47"/>
  <c r="X33" i="47"/>
  <c r="O34" i="47"/>
  <c r="X34" i="47"/>
  <c r="O35" i="47"/>
  <c r="X35" i="47"/>
  <c r="O36" i="47"/>
  <c r="X36" i="47"/>
  <c r="O37" i="47"/>
  <c r="X37" i="47"/>
  <c r="AD37" i="47"/>
  <c r="O38" i="47"/>
  <c r="X38" i="47"/>
  <c r="AD38" i="47"/>
  <c r="O21" i="31" s="1"/>
  <c r="Q21" i="31" s="1"/>
  <c r="O39" i="47"/>
  <c r="X39" i="47"/>
  <c r="AD39" i="47"/>
  <c r="X21" i="31" s="1"/>
  <c r="Z21" i="31" s="1"/>
  <c r="O40" i="47"/>
  <c r="Q40" i="47" s="1"/>
  <c r="Q37" i="47" s="1"/>
  <c r="X40" i="47"/>
  <c r="AF40" i="47" s="1"/>
  <c r="O41" i="47"/>
  <c r="Q41" i="47" s="1"/>
  <c r="Q38" i="47" s="1"/>
  <c r="X41" i="47"/>
  <c r="O42" i="47"/>
  <c r="Q42" i="47" s="1"/>
  <c r="Q39" i="47" s="1"/>
  <c r="X42" i="47"/>
  <c r="O43" i="47"/>
  <c r="X43" i="47"/>
  <c r="O44" i="47"/>
  <c r="X44" i="47"/>
  <c r="O45" i="47"/>
  <c r="X45" i="47"/>
  <c r="O46" i="47"/>
  <c r="Q46" i="47" s="1"/>
  <c r="Q43" i="47" s="1"/>
  <c r="X46" i="47"/>
  <c r="AF46" i="47" s="1"/>
  <c r="AD46" i="47"/>
  <c r="O47" i="47"/>
  <c r="Q47" i="47" s="1"/>
  <c r="Q44" i="47" s="1"/>
  <c r="X47" i="47"/>
  <c r="AD47" i="47"/>
  <c r="O48" i="47"/>
  <c r="Q48" i="47" s="1"/>
  <c r="Q45" i="47" s="1"/>
  <c r="X48" i="47"/>
  <c r="AD48" i="47"/>
  <c r="O55" i="47"/>
  <c r="R55" i="47" s="1"/>
  <c r="X55" i="47"/>
  <c r="O56" i="47"/>
  <c r="R56" i="47" s="1"/>
  <c r="X56" i="47"/>
  <c r="AD56" i="47"/>
  <c r="O10" i="31" s="1"/>
  <c r="Q10" i="31" s="1"/>
  <c r="O57" i="47"/>
  <c r="Q57" i="47"/>
  <c r="Q54" i="47" s="1"/>
  <c r="X57" i="47"/>
  <c r="AC57" i="47"/>
  <c r="O58" i="47"/>
  <c r="R58" i="47" s="1"/>
  <c r="X58" i="47"/>
  <c r="AD58" i="47"/>
  <c r="O59" i="47"/>
  <c r="R59" i="47" s="1"/>
  <c r="X59" i="47"/>
  <c r="AD59" i="47"/>
  <c r="O60" i="47"/>
  <c r="R60" i="47" s="1"/>
  <c r="X60" i="47"/>
  <c r="AD60" i="47"/>
  <c r="O64" i="47"/>
  <c r="Q64" i="47" s="1"/>
  <c r="Q10" i="47" s="1"/>
  <c r="W64" i="47"/>
  <c r="W10" i="47" s="1"/>
  <c r="X10" i="47" s="1"/>
  <c r="AC64" i="47"/>
  <c r="AC10" i="47" s="1"/>
  <c r="O65" i="47"/>
  <c r="Q65" i="47" s="1"/>
  <c r="Q11" i="47" s="1"/>
  <c r="W65" i="47"/>
  <c r="W11" i="47" s="1"/>
  <c r="AC65" i="47"/>
  <c r="AC11" i="47" s="1"/>
  <c r="AD11" i="47" s="1"/>
  <c r="O66" i="47"/>
  <c r="Q66" i="47" s="1"/>
  <c r="Q12" i="47" s="1"/>
  <c r="W66" i="47"/>
  <c r="W12" i="47" s="1"/>
  <c r="AC66" i="47"/>
  <c r="AC12" i="47" s="1"/>
  <c r="AD12" i="47" s="1"/>
  <c r="O67" i="47"/>
  <c r="Q67" i="47" s="1"/>
  <c r="Q13" i="47" s="1"/>
  <c r="W67" i="47"/>
  <c r="W13" i="47" s="1"/>
  <c r="AC67" i="47"/>
  <c r="AC13" i="47" s="1"/>
  <c r="AD13" i="47" s="1"/>
  <c r="O68" i="47"/>
  <c r="Q68" i="47" s="1"/>
  <c r="Q14" i="47" s="1"/>
  <c r="W68" i="47"/>
  <c r="W14" i="47" s="1"/>
  <c r="X14" i="47" s="1"/>
  <c r="AC68" i="47"/>
  <c r="AC14" i="47" s="1"/>
  <c r="O69" i="47"/>
  <c r="Q69" i="47" s="1"/>
  <c r="Q15" i="47" s="1"/>
  <c r="W69" i="47"/>
  <c r="W15" i="47" s="1"/>
  <c r="X15" i="47" s="1"/>
  <c r="AC69" i="47"/>
  <c r="AC15" i="47" s="1"/>
  <c r="O70" i="47"/>
  <c r="Q70" i="47" s="1"/>
  <c r="Q16" i="47" s="1"/>
  <c r="W70" i="47"/>
  <c r="W16" i="47" s="1"/>
  <c r="AC70" i="47"/>
  <c r="O71" i="47"/>
  <c r="Q71" i="47" s="1"/>
  <c r="W71" i="47"/>
  <c r="W17" i="47" s="1"/>
  <c r="AC71" i="47"/>
  <c r="AD29" i="47" s="1"/>
  <c r="O18" i="31" s="1"/>
  <c r="O72" i="47"/>
  <c r="Q72" i="47" s="1"/>
  <c r="W72" i="47"/>
  <c r="W18" i="47" s="1"/>
  <c r="X18" i="47" s="1"/>
  <c r="AC72" i="47"/>
  <c r="AD30" i="47" s="1"/>
  <c r="X18" i="31" s="1"/>
  <c r="O73" i="47"/>
  <c r="Q73" i="47" s="1"/>
  <c r="Q31" i="47" s="1"/>
  <c r="W73" i="47"/>
  <c r="W19" i="47" s="1"/>
  <c r="AC73" i="47"/>
  <c r="AC31" i="47" s="1"/>
  <c r="AD31" i="47" s="1"/>
  <c r="O74" i="47"/>
  <c r="Q74" i="47" s="1"/>
  <c r="Q20" i="47" s="1"/>
  <c r="W74" i="47"/>
  <c r="W20" i="47" s="1"/>
  <c r="AC74" i="47"/>
  <c r="AC20" i="47" s="1"/>
  <c r="AD20" i="47" s="1"/>
  <c r="O75" i="47"/>
  <c r="Q75" i="47" s="1"/>
  <c r="W75" i="47"/>
  <c r="W21" i="47" s="1"/>
  <c r="AC75" i="47"/>
  <c r="AC21" i="47" s="1"/>
  <c r="O76" i="47"/>
  <c r="Q76" i="47" s="1"/>
  <c r="W76" i="47"/>
  <c r="W22" i="47" s="1"/>
  <c r="X22" i="47" s="1"/>
  <c r="AC76" i="47"/>
  <c r="AC22" i="47" s="1"/>
  <c r="AD22" i="47" s="1"/>
  <c r="F16" i="31" s="1"/>
  <c r="H16" i="31" s="1"/>
  <c r="O77" i="47"/>
  <c r="Q77" i="47" s="1"/>
  <c r="W77" i="47"/>
  <c r="W23" i="47" s="1"/>
  <c r="AC77" i="47"/>
  <c r="AC23" i="47" s="1"/>
  <c r="AD23" i="47" s="1"/>
  <c r="O78" i="47"/>
  <c r="Q78" i="47" s="1"/>
  <c r="Q24" i="47" s="1"/>
  <c r="W78" i="47"/>
  <c r="W24" i="47" s="1"/>
  <c r="AC78" i="47"/>
  <c r="O79" i="47"/>
  <c r="Q79" i="47" s="1"/>
  <c r="W79" i="47"/>
  <c r="W25" i="47" s="1"/>
  <c r="X25" i="47" s="1"/>
  <c r="AC79" i="47"/>
  <c r="AC34" i="47" s="1"/>
  <c r="AD34" i="47" s="1"/>
  <c r="O80" i="47"/>
  <c r="Q80" i="47" s="1"/>
  <c r="W80" i="47"/>
  <c r="W26" i="47" s="1"/>
  <c r="X26" i="47" s="1"/>
  <c r="AC80" i="47"/>
  <c r="AC26" i="47" s="1"/>
  <c r="O81" i="47"/>
  <c r="Q81" i="47" s="1"/>
  <c r="Q27" i="47" s="1"/>
  <c r="W81" i="47"/>
  <c r="W27" i="47" s="1"/>
  <c r="AC81" i="47"/>
  <c r="AC27" i="47" s="1"/>
  <c r="AD27" i="47" s="1"/>
  <c r="O82" i="47"/>
  <c r="R82" i="47" s="1"/>
  <c r="X82" i="47"/>
  <c r="AD82" i="47"/>
  <c r="O83" i="47"/>
  <c r="R83" i="47" s="1"/>
  <c r="X83" i="47"/>
  <c r="AD83" i="47"/>
  <c r="O84" i="47"/>
  <c r="R84" i="47" s="1"/>
  <c r="X84" i="47"/>
  <c r="AD84" i="47"/>
  <c r="O85" i="47"/>
  <c r="P85" i="47" s="1"/>
  <c r="V85" i="47"/>
  <c r="O86" i="47"/>
  <c r="P86" i="47" s="1"/>
  <c r="V86" i="47"/>
  <c r="AB86" i="47"/>
  <c r="O87" i="47"/>
  <c r="P87" i="47" s="1"/>
  <c r="W87" i="47"/>
  <c r="V87" i="47"/>
  <c r="AB87" i="47"/>
  <c r="AC87" i="47"/>
  <c r="O88" i="47"/>
  <c r="P88" i="47" s="1"/>
  <c r="O89" i="47"/>
  <c r="P89" i="47" s="1"/>
  <c r="W89" i="47"/>
  <c r="V89" i="47"/>
  <c r="O90" i="47"/>
  <c r="P90" i="47" s="1"/>
  <c r="V90" i="47"/>
  <c r="W90" i="47"/>
  <c r="AB90" i="47"/>
  <c r="O91" i="47"/>
  <c r="P91" i="47" s="1"/>
  <c r="V91" i="47"/>
  <c r="AB91" i="47"/>
  <c r="O92" i="47"/>
  <c r="P92" i="47" s="1"/>
  <c r="V92" i="47"/>
  <c r="AB92" i="47"/>
  <c r="O93" i="47"/>
  <c r="P93" i="47" s="1"/>
  <c r="V93" i="47"/>
  <c r="AB93" i="47"/>
  <c r="O94" i="47"/>
  <c r="P94" i="47" s="1"/>
  <c r="V94" i="47"/>
  <c r="W94" i="47"/>
  <c r="AB94" i="47"/>
  <c r="O95" i="47"/>
  <c r="P95" i="47" s="1"/>
  <c r="V95" i="47"/>
  <c r="AB95" i="47"/>
  <c r="AC95" i="47"/>
  <c r="O96" i="47"/>
  <c r="P96" i="47" s="1"/>
  <c r="V96" i="47"/>
  <c r="O97" i="47"/>
  <c r="V97" i="47"/>
  <c r="W97" i="47"/>
  <c r="AB97" i="47"/>
  <c r="O98" i="47"/>
  <c r="P98" i="47" s="1"/>
  <c r="V98" i="47"/>
  <c r="O99" i="47"/>
  <c r="P99" i="47" s="1"/>
  <c r="AB99" i="47"/>
  <c r="AC99" i="47"/>
  <c r="O100" i="47"/>
  <c r="P100" i="47" s="1"/>
  <c r="V100" i="47"/>
  <c r="AB100" i="47"/>
  <c r="O101" i="47"/>
  <c r="P101" i="47" s="1"/>
  <c r="V101" i="47"/>
  <c r="AB101" i="47"/>
  <c r="O102" i="47"/>
  <c r="P102" i="47" s="1"/>
  <c r="V102" i="47"/>
  <c r="AB102" i="47"/>
  <c r="O103" i="47"/>
  <c r="P103" i="47" s="1"/>
  <c r="AB103" i="47"/>
  <c r="AC103" i="47"/>
  <c r="O104" i="47"/>
  <c r="Q104" i="47" s="1"/>
  <c r="W104" i="47"/>
  <c r="AB104" i="47"/>
  <c r="O105" i="47"/>
  <c r="V105" i="47"/>
  <c r="O106" i="47"/>
  <c r="P106" i="47" s="1"/>
  <c r="V106" i="47"/>
  <c r="AB106" i="47"/>
  <c r="O107" i="47"/>
  <c r="P107" i="47" s="1"/>
  <c r="V107" i="47"/>
  <c r="AB107" i="47"/>
  <c r="O108" i="47"/>
  <c r="P108" i="47" s="1"/>
  <c r="V108" i="47"/>
  <c r="AB108" i="47"/>
  <c r="O109" i="47"/>
  <c r="P109" i="47" s="1"/>
  <c r="AB109" i="47"/>
  <c r="AC109" i="47"/>
  <c r="O110" i="47"/>
  <c r="P110" i="47" s="1"/>
  <c r="V110" i="47"/>
  <c r="O111" i="47"/>
  <c r="V111" i="47"/>
  <c r="AB111" i="47"/>
  <c r="O112" i="47"/>
  <c r="P112" i="47" s="1"/>
  <c r="V112" i="47"/>
  <c r="AB112" i="47"/>
  <c r="O113" i="47"/>
  <c r="P113" i="47" s="1"/>
  <c r="V113" i="47"/>
  <c r="AB113" i="47"/>
  <c r="O114" i="47"/>
  <c r="P114" i="47" s="1"/>
  <c r="V114" i="47"/>
  <c r="AB114" i="47"/>
  <c r="O115" i="47"/>
  <c r="P115" i="47" s="1"/>
  <c r="W115" i="47"/>
  <c r="O116" i="47"/>
  <c r="Q116" i="47" s="1"/>
  <c r="W116" i="47"/>
  <c r="V116" i="47"/>
  <c r="AC116" i="47"/>
  <c r="AB116" i="47"/>
  <c r="O117" i="47"/>
  <c r="P117" i="47" s="1"/>
  <c r="V117" i="47"/>
  <c r="W117" i="47"/>
  <c r="AB117" i="47"/>
  <c r="AC117" i="47"/>
  <c r="O118" i="47"/>
  <c r="R118" i="47" s="1"/>
  <c r="X118" i="47"/>
  <c r="AD118" i="47"/>
  <c r="O119" i="47"/>
  <c r="R119" i="47" s="1"/>
  <c r="X119" i="47"/>
  <c r="AD119" i="47"/>
  <c r="O120" i="47"/>
  <c r="R120" i="47" s="1"/>
  <c r="X120" i="47"/>
  <c r="AD120" i="47"/>
  <c r="O121" i="47"/>
  <c r="R121" i="47" s="1"/>
  <c r="X121" i="47"/>
  <c r="AD121" i="47"/>
  <c r="O122" i="47"/>
  <c r="R122" i="47" s="1"/>
  <c r="X122" i="47"/>
  <c r="AD122" i="47"/>
  <c r="O44" i="31" s="1"/>
  <c r="O123" i="47"/>
  <c r="R123" i="47" s="1"/>
  <c r="X123" i="47"/>
  <c r="AD123" i="47"/>
  <c r="X44" i="31" s="1"/>
  <c r="Z44" i="31" s="1"/>
  <c r="O124" i="47"/>
  <c r="R124" i="47" s="1"/>
  <c r="X124" i="47"/>
  <c r="AD124" i="47"/>
  <c r="O125" i="47"/>
  <c r="R125" i="47" s="1"/>
  <c r="X125" i="47"/>
  <c r="AD125" i="47"/>
  <c r="O45" i="31" s="1"/>
  <c r="O126" i="47"/>
  <c r="R126" i="47" s="1"/>
  <c r="X126" i="47"/>
  <c r="AD126" i="47"/>
  <c r="O127" i="47"/>
  <c r="R127" i="47" s="1"/>
  <c r="X127" i="47"/>
  <c r="AD127" i="47"/>
  <c r="F46" i="31" s="1"/>
  <c r="H46" i="31" s="1"/>
  <c r="O128" i="47"/>
  <c r="R128" i="47" s="1"/>
  <c r="X128" i="47"/>
  <c r="AD128" i="47"/>
  <c r="O46" i="31" s="1"/>
  <c r="Q46" i="31" s="1"/>
  <c r="O129" i="47"/>
  <c r="R129" i="47" s="1"/>
  <c r="X129" i="47"/>
  <c r="AD129" i="47"/>
  <c r="X46" i="31" s="1"/>
  <c r="Z46" i="31" s="1"/>
  <c r="O130" i="47"/>
  <c r="R130" i="47" s="1"/>
  <c r="X130" i="47"/>
  <c r="AD130" i="47"/>
  <c r="O131" i="47"/>
  <c r="R131" i="47" s="1"/>
  <c r="X131" i="47"/>
  <c r="AD131" i="47"/>
  <c r="O47" i="31" s="1"/>
  <c r="O132" i="47"/>
  <c r="R132" i="47" s="1"/>
  <c r="X132" i="47"/>
  <c r="AD132" i="47"/>
  <c r="O133" i="47"/>
  <c r="R133" i="47" s="1"/>
  <c r="X133" i="47"/>
  <c r="AD133" i="47"/>
  <c r="O134" i="47"/>
  <c r="R134" i="47" s="1"/>
  <c r="X134" i="47"/>
  <c r="AD134" i="47"/>
  <c r="O48" i="31" s="1"/>
  <c r="O135" i="47"/>
  <c r="R135" i="47" s="1"/>
  <c r="X135" i="47"/>
  <c r="AD135" i="47"/>
  <c r="X48" i="31" s="1"/>
  <c r="O136" i="47"/>
  <c r="R136" i="47" s="1"/>
  <c r="X136" i="47"/>
  <c r="AD136" i="47"/>
  <c r="O137" i="47"/>
  <c r="R137" i="47" s="1"/>
  <c r="X137" i="47"/>
  <c r="AD137" i="47"/>
  <c r="O59" i="31" s="1"/>
  <c r="O138" i="47"/>
  <c r="R138" i="47" s="1"/>
  <c r="X138" i="47"/>
  <c r="AD138" i="47"/>
  <c r="X59" i="31" s="1"/>
  <c r="Z59" i="31" s="1"/>
  <c r="O139" i="47"/>
  <c r="R139" i="47" s="1"/>
  <c r="X139" i="47"/>
  <c r="AD139" i="47"/>
  <c r="O140" i="47"/>
  <c r="R140" i="47" s="1"/>
  <c r="X140" i="47"/>
  <c r="AD140" i="47"/>
  <c r="O141" i="47"/>
  <c r="R141" i="47" s="1"/>
  <c r="X141" i="47"/>
  <c r="AD141" i="47"/>
  <c r="O142" i="47"/>
  <c r="R142" i="47" s="1"/>
  <c r="X142" i="47"/>
  <c r="AD142" i="47"/>
  <c r="O143" i="47"/>
  <c r="R143" i="47" s="1"/>
  <c r="X143" i="47"/>
  <c r="AD143" i="47"/>
  <c r="O144" i="47"/>
  <c r="R144" i="47" s="1"/>
  <c r="X144" i="47"/>
  <c r="AD144" i="47"/>
  <c r="O145" i="47"/>
  <c r="R145" i="47" s="1"/>
  <c r="X145" i="47"/>
  <c r="AD145" i="47"/>
  <c r="O146" i="47"/>
  <c r="R146" i="47" s="1"/>
  <c r="X146" i="47"/>
  <c r="AD146" i="47"/>
  <c r="O147" i="47"/>
  <c r="R147" i="47" s="1"/>
  <c r="X147" i="47"/>
  <c r="AD147" i="47"/>
  <c r="O151" i="47"/>
  <c r="R151" i="47" s="1"/>
  <c r="X151" i="47"/>
  <c r="AD151" i="47"/>
  <c r="F32" i="31" s="1"/>
  <c r="O152" i="47"/>
  <c r="R152" i="47" s="1"/>
  <c r="X152" i="47"/>
  <c r="AD152" i="47"/>
  <c r="O32" i="31" s="1"/>
  <c r="Q32" i="31" s="1"/>
  <c r="O153" i="47"/>
  <c r="R153" i="47" s="1"/>
  <c r="X153" i="47"/>
  <c r="AD153" i="47"/>
  <c r="X32" i="31" s="1"/>
  <c r="Z32" i="31" s="1"/>
  <c r="O154" i="47"/>
  <c r="R154" i="47" s="1"/>
  <c r="X154" i="47"/>
  <c r="AF154" i="47" s="1"/>
  <c r="AD154" i="47"/>
  <c r="O155" i="47"/>
  <c r="R155" i="47" s="1"/>
  <c r="X155" i="47"/>
  <c r="AD155" i="47"/>
  <c r="O156" i="47"/>
  <c r="R156" i="47" s="1"/>
  <c r="X156" i="47"/>
  <c r="AD156" i="47"/>
  <c r="O157" i="47"/>
  <c r="R157" i="47" s="1"/>
  <c r="X157" i="47"/>
  <c r="AD157" i="47"/>
  <c r="O158" i="47"/>
  <c r="R158" i="47" s="1"/>
  <c r="X158" i="47"/>
  <c r="AD158" i="47"/>
  <c r="O159" i="47"/>
  <c r="R159" i="47" s="1"/>
  <c r="X159" i="47"/>
  <c r="AD159" i="47"/>
  <c r="O160" i="47"/>
  <c r="R160" i="47" s="1"/>
  <c r="X160" i="47"/>
  <c r="AF160" i="47" s="1"/>
  <c r="AD160" i="47"/>
  <c r="O161" i="47"/>
  <c r="R161" i="47" s="1"/>
  <c r="X161" i="47"/>
  <c r="AD161" i="47"/>
  <c r="O162" i="47"/>
  <c r="R162" i="47" s="1"/>
  <c r="X162" i="47"/>
  <c r="AD162" i="47"/>
  <c r="O163" i="47"/>
  <c r="R163" i="47" s="1"/>
  <c r="X163" i="47"/>
  <c r="AF163" i="47" s="1"/>
  <c r="AD163" i="47"/>
  <c r="O164" i="47"/>
  <c r="R164" i="47" s="1"/>
  <c r="X164" i="47"/>
  <c r="AD164" i="47"/>
  <c r="O165" i="47"/>
  <c r="R165" i="47" s="1"/>
  <c r="X165" i="47"/>
  <c r="AD165" i="47"/>
  <c r="O166" i="47"/>
  <c r="R166" i="47" s="1"/>
  <c r="X166" i="47"/>
  <c r="AD166" i="47"/>
  <c r="O167" i="47"/>
  <c r="R167" i="47" s="1"/>
  <c r="X167" i="47"/>
  <c r="AD167" i="47"/>
  <c r="O168" i="47"/>
  <c r="R168" i="47" s="1"/>
  <c r="X168" i="47"/>
  <c r="AD168" i="47"/>
  <c r="O169" i="47"/>
  <c r="R169" i="47" s="1"/>
  <c r="X169" i="47"/>
  <c r="AD169" i="47"/>
  <c r="O170" i="47"/>
  <c r="R170" i="47" s="1"/>
  <c r="X170" i="47"/>
  <c r="AD170" i="47"/>
  <c r="O171" i="47"/>
  <c r="R171" i="47" s="1"/>
  <c r="X171" i="47"/>
  <c r="AD171" i="47"/>
  <c r="O172" i="47"/>
  <c r="R172" i="47" s="1"/>
  <c r="X172" i="47"/>
  <c r="AD172" i="47"/>
  <c r="O173" i="47"/>
  <c r="R173" i="47" s="1"/>
  <c r="X173" i="47"/>
  <c r="AD173" i="47"/>
  <c r="O174" i="47"/>
  <c r="R174" i="47" s="1"/>
  <c r="X174" i="47"/>
  <c r="AD174" i="47"/>
  <c r="O175" i="47"/>
  <c r="R175" i="47" s="1"/>
  <c r="X175" i="47"/>
  <c r="AF175" i="47" s="1"/>
  <c r="AD175" i="47"/>
  <c r="O176" i="47"/>
  <c r="R176" i="47" s="1"/>
  <c r="X176" i="47"/>
  <c r="AD176" i="47"/>
  <c r="O177" i="47"/>
  <c r="R177" i="47" s="1"/>
  <c r="X177" i="47"/>
  <c r="AD177" i="47"/>
  <c r="O178" i="47"/>
  <c r="X178" i="47"/>
  <c r="AF178" i="47" s="1"/>
  <c r="AD178" i="47"/>
  <c r="O179" i="47"/>
  <c r="X179" i="47"/>
  <c r="AD179" i="47"/>
  <c r="O180" i="47"/>
  <c r="X180" i="47"/>
  <c r="AD180" i="47"/>
  <c r="O181" i="47"/>
  <c r="X181" i="47"/>
  <c r="AF181" i="47" s="1"/>
  <c r="AD181" i="47"/>
  <c r="O182" i="47"/>
  <c r="X182" i="47"/>
  <c r="AD182" i="47"/>
  <c r="O183" i="47"/>
  <c r="X183" i="47"/>
  <c r="AD183" i="47"/>
  <c r="O184" i="47"/>
  <c r="X184" i="47"/>
  <c r="AF184" i="47" s="1"/>
  <c r="AD184" i="47"/>
  <c r="O185" i="47"/>
  <c r="X185" i="47"/>
  <c r="AD185" i="47"/>
  <c r="O186" i="47"/>
  <c r="X186" i="47"/>
  <c r="AD186" i="47"/>
  <c r="O187" i="47"/>
  <c r="X187" i="47"/>
  <c r="AF187" i="47" s="1"/>
  <c r="AD187" i="47"/>
  <c r="O188" i="47"/>
  <c r="X188" i="47"/>
  <c r="AD188" i="47"/>
  <c r="O189" i="47"/>
  <c r="X189" i="47"/>
  <c r="AD189" i="47"/>
  <c r="O193" i="47"/>
  <c r="X193" i="47"/>
  <c r="AF193" i="47" s="1"/>
  <c r="AD193" i="47"/>
  <c r="O194" i="47"/>
  <c r="X194" i="47"/>
  <c r="AD194" i="47"/>
  <c r="O195" i="47"/>
  <c r="Q195" i="47" s="1"/>
  <c r="Q270" i="47" s="1"/>
  <c r="X195" i="47"/>
  <c r="AD195" i="47"/>
  <c r="O196" i="47"/>
  <c r="X196" i="47"/>
  <c r="AF196" i="47" s="1"/>
  <c r="AD196" i="47"/>
  <c r="O197" i="47"/>
  <c r="X197" i="47"/>
  <c r="AD197" i="47"/>
  <c r="O198" i="47"/>
  <c r="X198" i="47"/>
  <c r="AD198" i="47"/>
  <c r="O199" i="47"/>
  <c r="R199" i="47" s="1"/>
  <c r="X199" i="47"/>
  <c r="AD199" i="47"/>
  <c r="F64" i="31" s="1"/>
  <c r="O200" i="47"/>
  <c r="R200" i="47" s="1"/>
  <c r="X200" i="47"/>
  <c r="AD200" i="47"/>
  <c r="O64" i="31" s="1"/>
  <c r="Q64" i="31" s="1"/>
  <c r="O201" i="47"/>
  <c r="R201" i="47" s="1"/>
  <c r="X201" i="47"/>
  <c r="AD201" i="47"/>
  <c r="X64" i="31" s="1"/>
  <c r="O202" i="47"/>
  <c r="R202" i="47" s="1"/>
  <c r="X202" i="47"/>
  <c r="AD202" i="47"/>
  <c r="O203" i="47"/>
  <c r="R203" i="47" s="1"/>
  <c r="X203" i="47"/>
  <c r="AD203" i="47"/>
  <c r="O204" i="47"/>
  <c r="R204" i="47" s="1"/>
  <c r="X204" i="47"/>
  <c r="AD204" i="47"/>
  <c r="X65" i="31" s="1"/>
  <c r="Z65" i="31" s="1"/>
  <c r="O205" i="47"/>
  <c r="R205" i="47" s="1"/>
  <c r="X205" i="47"/>
  <c r="AD205" i="47"/>
  <c r="O206" i="47"/>
  <c r="R206" i="47" s="1"/>
  <c r="X206" i="47"/>
  <c r="AD206" i="47"/>
  <c r="O63" i="31" s="1"/>
  <c r="Q63" i="31" s="1"/>
  <c r="O207" i="47"/>
  <c r="R207" i="47" s="1"/>
  <c r="X207" i="47"/>
  <c r="AD207" i="47"/>
  <c r="X63" i="31" s="1"/>
  <c r="Z63" i="31" s="1"/>
  <c r="O208" i="47"/>
  <c r="R208" i="47" s="1"/>
  <c r="X208" i="47"/>
  <c r="AD208" i="47"/>
  <c r="O209" i="47"/>
  <c r="R209" i="47" s="1"/>
  <c r="X209" i="47"/>
  <c r="AD209" i="47"/>
  <c r="O53" i="31" s="1"/>
  <c r="O210" i="47"/>
  <c r="R210" i="47" s="1"/>
  <c r="X210" i="47"/>
  <c r="AD210" i="47"/>
  <c r="X53" i="31" s="1"/>
  <c r="O211" i="47"/>
  <c r="R211" i="47" s="1"/>
  <c r="X211" i="47"/>
  <c r="AD211" i="47"/>
  <c r="O212" i="47"/>
  <c r="R212" i="47" s="1"/>
  <c r="X212" i="47"/>
  <c r="AD212" i="47"/>
  <c r="O56" i="31" s="1"/>
  <c r="Q56" i="31" s="1"/>
  <c r="O213" i="47"/>
  <c r="R213" i="47" s="1"/>
  <c r="X213" i="47"/>
  <c r="AD213" i="47"/>
  <c r="X56" i="31" s="1"/>
  <c r="Z56" i="31" s="1"/>
  <c r="O214" i="47"/>
  <c r="R214" i="47" s="1"/>
  <c r="X214" i="47"/>
  <c r="AD214" i="47"/>
  <c r="O215" i="47"/>
  <c r="R215" i="47" s="1"/>
  <c r="X215" i="47"/>
  <c r="AD215" i="47"/>
  <c r="O216" i="47"/>
  <c r="R216" i="47" s="1"/>
  <c r="X216" i="47"/>
  <c r="AD216" i="47"/>
  <c r="O217" i="47"/>
  <c r="R217" i="47" s="1"/>
  <c r="X217" i="47"/>
  <c r="AD217" i="47"/>
  <c r="O218" i="47"/>
  <c r="R218" i="47" s="1"/>
  <c r="X218" i="47"/>
  <c r="AD218" i="47"/>
  <c r="O219" i="47"/>
  <c r="R219" i="47" s="1"/>
  <c r="X219" i="47"/>
  <c r="AD219" i="47"/>
  <c r="O220" i="47"/>
  <c r="R220" i="47" s="1"/>
  <c r="X220" i="47"/>
  <c r="AD220" i="47"/>
  <c r="O221" i="47"/>
  <c r="R221" i="47" s="1"/>
  <c r="X221" i="47"/>
  <c r="AD221" i="47"/>
  <c r="O222" i="47"/>
  <c r="R222" i="47" s="1"/>
  <c r="X222" i="47"/>
  <c r="AD222" i="47"/>
  <c r="O223" i="47"/>
  <c r="R223" i="47" s="1"/>
  <c r="X223" i="47"/>
  <c r="AD223" i="47"/>
  <c r="O224" i="47"/>
  <c r="R224" i="47" s="1"/>
  <c r="X224" i="47"/>
  <c r="AD224" i="47"/>
  <c r="O225" i="47"/>
  <c r="R225" i="47" s="1"/>
  <c r="X225" i="47"/>
  <c r="AD225" i="47"/>
  <c r="O226" i="47"/>
  <c r="R226" i="47" s="1"/>
  <c r="X226" i="47"/>
  <c r="AD226" i="47"/>
  <c r="O227" i="47"/>
  <c r="R227" i="47" s="1"/>
  <c r="X227" i="47"/>
  <c r="AD227" i="47"/>
  <c r="O86" i="31" s="1"/>
  <c r="O228" i="47"/>
  <c r="R228" i="47" s="1"/>
  <c r="X228" i="47"/>
  <c r="AD228" i="47"/>
  <c r="X86" i="31" s="1"/>
  <c r="Z86" i="31" s="1"/>
  <c r="O229" i="47"/>
  <c r="R229" i="47" s="1"/>
  <c r="X229" i="47"/>
  <c r="AD229" i="47"/>
  <c r="O230" i="47"/>
  <c r="R230" i="47" s="1"/>
  <c r="X230" i="47"/>
  <c r="AD230" i="47"/>
  <c r="O49" i="31" s="1"/>
  <c r="Q49" i="31" s="1"/>
  <c r="O231" i="47"/>
  <c r="R231" i="47" s="1"/>
  <c r="X231" i="47"/>
  <c r="AD231" i="47"/>
  <c r="X49" i="31" s="1"/>
  <c r="O232" i="47"/>
  <c r="R232" i="47" s="1"/>
  <c r="X232" i="47"/>
  <c r="AD232" i="47"/>
  <c r="O233" i="47"/>
  <c r="R233" i="47" s="1"/>
  <c r="X233" i="47"/>
  <c r="AD233" i="47"/>
  <c r="O87" i="31" s="1"/>
  <c r="O234" i="47"/>
  <c r="R234" i="47" s="1"/>
  <c r="X234" i="47"/>
  <c r="AD234" i="47"/>
  <c r="X87" i="31" s="1"/>
  <c r="Z87" i="31" s="1"/>
  <c r="O235" i="47"/>
  <c r="R235" i="47" s="1"/>
  <c r="X235" i="47"/>
  <c r="AD235" i="47"/>
  <c r="O236" i="47"/>
  <c r="R236" i="47" s="1"/>
  <c r="X236" i="47"/>
  <c r="AD236" i="47"/>
  <c r="O237" i="47"/>
  <c r="R237" i="47" s="1"/>
  <c r="X237" i="47"/>
  <c r="AD237" i="47"/>
  <c r="O238" i="47"/>
  <c r="R238" i="47" s="1"/>
  <c r="X238" i="47"/>
  <c r="AD238" i="47"/>
  <c r="F88" i="31" s="1"/>
  <c r="H88" i="31" s="1"/>
  <c r="O239" i="47"/>
  <c r="R239" i="47" s="1"/>
  <c r="X239" i="47"/>
  <c r="AD239" i="47"/>
  <c r="O88" i="31" s="1"/>
  <c r="O240" i="47"/>
  <c r="R240" i="47" s="1"/>
  <c r="X240" i="47"/>
  <c r="AD240" i="47"/>
  <c r="X88" i="31" s="1"/>
  <c r="Z88" i="31" s="1"/>
  <c r="O250" i="47"/>
  <c r="O251" i="47"/>
  <c r="O252" i="47"/>
  <c r="O253" i="47"/>
  <c r="X253" i="47"/>
  <c r="AD253" i="47"/>
  <c r="O254" i="47"/>
  <c r="X254" i="47"/>
  <c r="AD254" i="47"/>
  <c r="O37" i="31" s="1"/>
  <c r="Q37" i="31" s="1"/>
  <c r="O255" i="47"/>
  <c r="X255" i="47"/>
  <c r="AD255" i="47"/>
  <c r="X37" i="31" s="1"/>
  <c r="Z37" i="31" s="1"/>
  <c r="O259" i="47"/>
  <c r="O260" i="47"/>
  <c r="O265" i="47"/>
  <c r="X265" i="47"/>
  <c r="AD265" i="47"/>
  <c r="O266" i="47"/>
  <c r="X266" i="47"/>
  <c r="AD266" i="47"/>
  <c r="O267" i="47"/>
  <c r="X267" i="47"/>
  <c r="AD267" i="47"/>
  <c r="X40" i="31" s="1"/>
  <c r="O268" i="47"/>
  <c r="X268" i="47"/>
  <c r="AD268" i="47"/>
  <c r="O269" i="47"/>
  <c r="X269" i="47"/>
  <c r="AD269" i="47"/>
  <c r="O270" i="47"/>
  <c r="X270" i="47"/>
  <c r="AD270" i="47"/>
  <c r="O271" i="47"/>
  <c r="X271" i="47"/>
  <c r="AD271" i="47"/>
  <c r="O272" i="47"/>
  <c r="X272" i="47"/>
  <c r="AD272" i="47"/>
  <c r="O273" i="47"/>
  <c r="X273" i="47"/>
  <c r="AD273" i="47"/>
  <c r="X250" i="47"/>
  <c r="X251" i="47"/>
  <c r="X252" i="47"/>
  <c r="X260" i="47"/>
  <c r="O274" i="47"/>
  <c r="R274" i="47" s="1"/>
  <c r="X274" i="47"/>
  <c r="AF274" i="47" s="1"/>
  <c r="AD274" i="47"/>
  <c r="O275" i="47"/>
  <c r="R275" i="47" s="1"/>
  <c r="X275" i="47"/>
  <c r="AD275" i="47"/>
  <c r="O276" i="47"/>
  <c r="R276" i="47" s="1"/>
  <c r="X276" i="47"/>
  <c r="AD276" i="47"/>
  <c r="J12" i="46"/>
  <c r="Q12" i="46"/>
  <c r="C43" i="36" s="1"/>
  <c r="E43" i="36" s="1"/>
  <c r="G43" i="36" s="1"/>
  <c r="J13" i="46"/>
  <c r="Q13" i="46"/>
  <c r="C44" i="36" s="1"/>
  <c r="E44" i="36" s="1"/>
  <c r="G44" i="36" s="1"/>
  <c r="J14" i="46"/>
  <c r="Q14" i="46"/>
  <c r="C45" i="36" s="1"/>
  <c r="E45" i="36" s="1"/>
  <c r="G45" i="36" s="1"/>
  <c r="J15" i="46"/>
  <c r="Q15" i="46"/>
  <c r="C46" i="36" s="1"/>
  <c r="J16" i="46"/>
  <c r="Q16" i="46"/>
  <c r="C47" i="36" s="1"/>
  <c r="E47" i="36" s="1"/>
  <c r="G47" i="36" s="1"/>
  <c r="J17" i="46"/>
  <c r="Q17" i="46"/>
  <c r="C48" i="36" s="1"/>
  <c r="E48" i="36" s="1"/>
  <c r="G48" i="36" s="1"/>
  <c r="J18" i="46"/>
  <c r="Q18" i="46"/>
  <c r="C49" i="36" s="1"/>
  <c r="E49" i="36" s="1"/>
  <c r="G49" i="36" s="1"/>
  <c r="J19" i="46"/>
  <c r="Q19" i="46"/>
  <c r="C50" i="36" s="1"/>
  <c r="E50" i="36" s="1"/>
  <c r="G50" i="36" s="1"/>
  <c r="J20" i="46"/>
  <c r="Q20" i="46"/>
  <c r="C51" i="36" s="1"/>
  <c r="E51" i="36" s="1"/>
  <c r="G51" i="36" s="1"/>
  <c r="H21" i="46"/>
  <c r="J21" i="46"/>
  <c r="Q21" i="46"/>
  <c r="C52" i="36" s="1"/>
  <c r="E52" i="36" s="1"/>
  <c r="G52" i="36" s="1"/>
  <c r="H22" i="46"/>
  <c r="J22" i="46"/>
  <c r="Q22" i="46"/>
  <c r="C53" i="36" s="1"/>
  <c r="E53" i="36" s="1"/>
  <c r="G53" i="36" s="1"/>
  <c r="H23" i="46"/>
  <c r="J23" i="46"/>
  <c r="Q23" i="46"/>
  <c r="C54" i="36" s="1"/>
  <c r="E54" i="36" s="1"/>
  <c r="G54" i="36" s="1"/>
  <c r="C25" i="46"/>
  <c r="D25" i="46"/>
  <c r="E25" i="46"/>
  <c r="F25" i="46"/>
  <c r="G25" i="46"/>
  <c r="L25" i="46"/>
  <c r="M25" i="46"/>
  <c r="N25" i="46"/>
  <c r="O25" i="46"/>
  <c r="P25" i="46"/>
  <c r="A35" i="46"/>
  <c r="A38" i="30" s="1"/>
  <c r="J38" i="30" s="1"/>
  <c r="H35" i="46"/>
  <c r="C14" i="36" s="1"/>
  <c r="E14" i="36" s="1"/>
  <c r="Q35" i="46"/>
  <c r="A36" i="46"/>
  <c r="A39" i="30" s="1"/>
  <c r="J39" i="30" s="1"/>
  <c r="H36" i="46"/>
  <c r="C15" i="36" s="1"/>
  <c r="E15" i="36" s="1"/>
  <c r="Q36" i="46"/>
  <c r="A37" i="46"/>
  <c r="A40" i="30" s="1"/>
  <c r="J40" i="30" s="1"/>
  <c r="H37" i="46"/>
  <c r="C16" i="36" s="1"/>
  <c r="Q37" i="46"/>
  <c r="A38" i="46"/>
  <c r="A41" i="30" s="1"/>
  <c r="J41" i="30" s="1"/>
  <c r="H38" i="46"/>
  <c r="C17" i="36" s="1"/>
  <c r="Q38" i="46"/>
  <c r="A39" i="46"/>
  <c r="A42" i="30" s="1"/>
  <c r="J42" i="30" s="1"/>
  <c r="H39" i="46"/>
  <c r="C18" i="36" s="1"/>
  <c r="E18" i="36" s="1"/>
  <c r="Q39" i="46"/>
  <c r="A40" i="46"/>
  <c r="A43" i="30" s="1"/>
  <c r="J43" i="30" s="1"/>
  <c r="H40" i="46"/>
  <c r="C19" i="36" s="1"/>
  <c r="Q40" i="46"/>
  <c r="A41" i="46"/>
  <c r="A44" i="30" s="1"/>
  <c r="J44" i="30" s="1"/>
  <c r="H41" i="46"/>
  <c r="C20" i="36" s="1"/>
  <c r="Q41" i="46"/>
  <c r="A42" i="46"/>
  <c r="A45" i="30" s="1"/>
  <c r="J45" i="30" s="1"/>
  <c r="H42" i="46"/>
  <c r="C21" i="36" s="1"/>
  <c r="Q42" i="46"/>
  <c r="A43" i="46"/>
  <c r="A46" i="30" s="1"/>
  <c r="J46" i="30" s="1"/>
  <c r="H43" i="46"/>
  <c r="Q43" i="46"/>
  <c r="A44" i="46"/>
  <c r="A47" i="30" s="1"/>
  <c r="J47" i="30" s="1"/>
  <c r="H44" i="46"/>
  <c r="C23" i="36" s="1"/>
  <c r="E23" i="36" s="1"/>
  <c r="Q44" i="46"/>
  <c r="A45" i="46"/>
  <c r="A48" i="30" s="1"/>
  <c r="J48" i="30" s="1"/>
  <c r="H45" i="46"/>
  <c r="C24" i="36" s="1"/>
  <c r="E24" i="36" s="1"/>
  <c r="Q45" i="46"/>
  <c r="A46" i="46"/>
  <c r="A49" i="30" s="1"/>
  <c r="J49" i="30" s="1"/>
  <c r="H46" i="46"/>
  <c r="C25" i="36" s="1"/>
  <c r="E25" i="36" s="1"/>
  <c r="Q46" i="46"/>
  <c r="C48" i="46"/>
  <c r="D48" i="46"/>
  <c r="E48" i="46"/>
  <c r="F48" i="46"/>
  <c r="G48" i="46"/>
  <c r="L48" i="46"/>
  <c r="M48" i="46"/>
  <c r="N48" i="46"/>
  <c r="O48" i="46"/>
  <c r="P48" i="46"/>
  <c r="H58" i="46"/>
  <c r="H59" i="46"/>
  <c r="H60" i="46"/>
  <c r="H61" i="46"/>
  <c r="Q61" i="46"/>
  <c r="H62" i="46"/>
  <c r="Q62" i="46"/>
  <c r="H63" i="46"/>
  <c r="Q63" i="46"/>
  <c r="H64" i="46"/>
  <c r="Q64" i="46"/>
  <c r="H65" i="46"/>
  <c r="Q65" i="46"/>
  <c r="H66" i="46"/>
  <c r="Q66" i="46"/>
  <c r="H67" i="46"/>
  <c r="Q67" i="46"/>
  <c r="H68" i="46"/>
  <c r="Q68" i="46"/>
  <c r="H69" i="46"/>
  <c r="Q69" i="46"/>
  <c r="C71" i="46"/>
  <c r="D71" i="46"/>
  <c r="E71" i="46"/>
  <c r="F71" i="46"/>
  <c r="G71" i="46"/>
  <c r="L71" i="46"/>
  <c r="M71" i="46"/>
  <c r="N71" i="46"/>
  <c r="O71" i="46"/>
  <c r="P71" i="46"/>
  <c r="H82" i="46"/>
  <c r="Q82" i="46"/>
  <c r="H83" i="46"/>
  <c r="Q83" i="46"/>
  <c r="H84" i="46"/>
  <c r="Q84" i="46"/>
  <c r="H85" i="46"/>
  <c r="Q85" i="46"/>
  <c r="H86" i="46"/>
  <c r="Q86" i="46"/>
  <c r="H87" i="46"/>
  <c r="Q87" i="46"/>
  <c r="H88" i="46"/>
  <c r="Q88" i="46"/>
  <c r="H89" i="46"/>
  <c r="Q89" i="46"/>
  <c r="H90" i="46"/>
  <c r="Q90" i="46"/>
  <c r="H91" i="46"/>
  <c r="Q91" i="46"/>
  <c r="H92" i="46"/>
  <c r="Q92" i="46"/>
  <c r="H93" i="46"/>
  <c r="Q93" i="46"/>
  <c r="C95" i="46"/>
  <c r="D95" i="46"/>
  <c r="E95" i="46"/>
  <c r="F95" i="46"/>
  <c r="G95" i="46"/>
  <c r="L95" i="46"/>
  <c r="M95" i="46"/>
  <c r="N95" i="46"/>
  <c r="O95" i="46"/>
  <c r="P95" i="46"/>
  <c r="F14" i="45"/>
  <c r="T14" i="45"/>
  <c r="F15" i="45"/>
  <c r="T15" i="45"/>
  <c r="F16" i="45"/>
  <c r="T16" i="45"/>
  <c r="F17" i="45"/>
  <c r="T17" i="45"/>
  <c r="F18" i="45"/>
  <c r="T18" i="45"/>
  <c r="C20" i="45"/>
  <c r="D20" i="45"/>
  <c r="D16" i="6" s="1"/>
  <c r="E20" i="45"/>
  <c r="E16" i="6" s="1"/>
  <c r="H20" i="45"/>
  <c r="J20" i="45"/>
  <c r="K20" i="45"/>
  <c r="L20" i="45"/>
  <c r="M20" i="45"/>
  <c r="C29" i="6" s="1"/>
  <c r="N20" i="45"/>
  <c r="D29" i="6" s="1"/>
  <c r="O20" i="45"/>
  <c r="E29" i="6" s="1"/>
  <c r="P20" i="45"/>
  <c r="F29" i="6" s="1"/>
  <c r="Q20" i="45"/>
  <c r="G29" i="6" s="1"/>
  <c r="R20" i="45"/>
  <c r="H29" i="6" s="1"/>
  <c r="S20" i="45"/>
  <c r="I29" i="6" s="1"/>
  <c r="O9" i="44"/>
  <c r="O10" i="44"/>
  <c r="O11" i="44"/>
  <c r="O12" i="44"/>
  <c r="O13" i="44"/>
  <c r="O18" i="44"/>
  <c r="O19" i="44"/>
  <c r="A59" i="5"/>
  <c r="A14" i="27"/>
  <c r="A16" i="5"/>
  <c r="O26" i="44"/>
  <c r="O27" i="44"/>
  <c r="O28" i="44"/>
  <c r="O29" i="44"/>
  <c r="O30" i="44"/>
  <c r="C13" i="5"/>
  <c r="C14" i="5"/>
  <c r="C15" i="5"/>
  <c r="C16" i="5"/>
  <c r="C17" i="5"/>
  <c r="D17" i="5" s="1"/>
  <c r="H17" i="5" s="1"/>
  <c r="I17" i="5" s="1"/>
  <c r="O35" i="44"/>
  <c r="O36" i="44"/>
  <c r="O43" i="44"/>
  <c r="O44" i="44"/>
  <c r="O45" i="44"/>
  <c r="O46" i="44"/>
  <c r="O47" i="44"/>
  <c r="C59" i="5"/>
  <c r="C61" i="5"/>
  <c r="C63" i="5"/>
  <c r="D63" i="5" s="1"/>
  <c r="H63" i="5" s="1"/>
  <c r="I63" i="5" s="1"/>
  <c r="O52" i="44"/>
  <c r="O53" i="44"/>
  <c r="O61" i="44"/>
  <c r="O62" i="44"/>
  <c r="O63" i="44"/>
  <c r="O64" i="44"/>
  <c r="O65" i="44"/>
  <c r="C36" i="5"/>
  <c r="C38" i="5"/>
  <c r="C39" i="5"/>
  <c r="D39" i="5" s="1"/>
  <c r="H39" i="5" s="1"/>
  <c r="I39" i="5" s="1"/>
  <c r="O70" i="44"/>
  <c r="O71" i="44"/>
  <c r="D37" i="43"/>
  <c r="E33" i="43" s="1"/>
  <c r="D49" i="43"/>
  <c r="E43" i="43" s="1"/>
  <c r="F10" i="42"/>
  <c r="F11" i="42"/>
  <c r="F12" i="42"/>
  <c r="F13" i="42"/>
  <c r="F14" i="42"/>
  <c r="F15" i="42"/>
  <c r="F16" i="42"/>
  <c r="F20" i="42"/>
  <c r="F21" i="42"/>
  <c r="F23" i="42"/>
  <c r="F24" i="42"/>
  <c r="F25" i="42"/>
  <c r="F31" i="42"/>
  <c r="F33" i="42"/>
  <c r="F34" i="42"/>
  <c r="F38" i="42"/>
  <c r="F39" i="42"/>
  <c r="F40" i="42"/>
  <c r="F41" i="42"/>
  <c r="F42" i="42"/>
  <c r="F43" i="42"/>
  <c r="F44" i="42"/>
  <c r="F45" i="42"/>
  <c r="F46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71" i="42"/>
  <c r="F72" i="42"/>
  <c r="F75" i="42"/>
  <c r="F76" i="42"/>
  <c r="F77" i="42"/>
  <c r="F78" i="42"/>
  <c r="F79" i="42"/>
  <c r="F80" i="42"/>
  <c r="A1" i="41"/>
  <c r="G14" i="41"/>
  <c r="G15" i="41"/>
  <c r="G16" i="41"/>
  <c r="G17" i="41"/>
  <c r="E19" i="41"/>
  <c r="F19" i="41"/>
  <c r="G29" i="41"/>
  <c r="G31" i="41" s="1"/>
  <c r="A1" i="40"/>
  <c r="A12" i="40"/>
  <c r="C12" i="40"/>
  <c r="C13" i="40"/>
  <c r="A15" i="40"/>
  <c r="A32" i="40"/>
  <c r="A1" i="39"/>
  <c r="B11" i="39"/>
  <c r="D11" i="39" s="1"/>
  <c r="C11" i="39"/>
  <c r="G11" i="39"/>
  <c r="L11" i="39" s="1"/>
  <c r="H11" i="39"/>
  <c r="I11" i="39"/>
  <c r="M11" i="39"/>
  <c r="N11" i="39"/>
  <c r="B12" i="39"/>
  <c r="D12" i="39" s="1"/>
  <c r="C12" i="39"/>
  <c r="G12" i="39"/>
  <c r="L12" i="39" s="1"/>
  <c r="H12" i="39"/>
  <c r="J12" i="39" s="1"/>
  <c r="I12" i="39"/>
  <c r="M12" i="39"/>
  <c r="N12" i="39"/>
  <c r="B13" i="39"/>
  <c r="D13" i="39" s="1"/>
  <c r="C13" i="39"/>
  <c r="G13" i="39"/>
  <c r="L13" i="39" s="1"/>
  <c r="H13" i="39"/>
  <c r="J13" i="39" s="1"/>
  <c r="I13" i="39"/>
  <c r="M13" i="39"/>
  <c r="N13" i="39"/>
  <c r="B14" i="39"/>
  <c r="C14" i="39"/>
  <c r="G14" i="39"/>
  <c r="L14" i="39" s="1"/>
  <c r="H14" i="39"/>
  <c r="J14" i="39" s="1"/>
  <c r="I14" i="39"/>
  <c r="M14" i="39"/>
  <c r="N14" i="39"/>
  <c r="B15" i="39"/>
  <c r="C15" i="39"/>
  <c r="G15" i="39"/>
  <c r="L15" i="39" s="1"/>
  <c r="H15" i="39"/>
  <c r="J15" i="39" s="1"/>
  <c r="I15" i="39"/>
  <c r="M15" i="39"/>
  <c r="N15" i="39"/>
  <c r="B16" i="39"/>
  <c r="D16" i="39" s="1"/>
  <c r="C16" i="39"/>
  <c r="G16" i="39"/>
  <c r="L16" i="39" s="1"/>
  <c r="H16" i="39"/>
  <c r="J16" i="39" s="1"/>
  <c r="I16" i="39"/>
  <c r="M16" i="39"/>
  <c r="N16" i="39"/>
  <c r="B17" i="39"/>
  <c r="D17" i="39" s="1"/>
  <c r="C17" i="39"/>
  <c r="G17" i="39"/>
  <c r="L17" i="39" s="1"/>
  <c r="H17" i="39"/>
  <c r="J17" i="39" s="1"/>
  <c r="I17" i="39"/>
  <c r="M17" i="39"/>
  <c r="N17" i="39"/>
  <c r="B18" i="39"/>
  <c r="D18" i="39" s="1"/>
  <c r="C18" i="39"/>
  <c r="G18" i="39"/>
  <c r="L18" i="39" s="1"/>
  <c r="H18" i="39"/>
  <c r="J18" i="39" s="1"/>
  <c r="I18" i="39"/>
  <c r="M18" i="39"/>
  <c r="N18" i="39"/>
  <c r="B19" i="39"/>
  <c r="D19" i="39" s="1"/>
  <c r="C19" i="39"/>
  <c r="G19" i="39"/>
  <c r="L19" i="39" s="1"/>
  <c r="H19" i="39"/>
  <c r="J19" i="39" s="1"/>
  <c r="I19" i="39"/>
  <c r="M19" i="39"/>
  <c r="N19" i="39"/>
  <c r="B20" i="39"/>
  <c r="D20" i="39" s="1"/>
  <c r="C20" i="39"/>
  <c r="G20" i="39"/>
  <c r="L20" i="39" s="1"/>
  <c r="H20" i="39"/>
  <c r="J20" i="39" s="1"/>
  <c r="I20" i="39"/>
  <c r="M20" i="39"/>
  <c r="N20" i="39"/>
  <c r="B21" i="39"/>
  <c r="D21" i="39" s="1"/>
  <c r="C21" i="39"/>
  <c r="G21" i="39"/>
  <c r="L21" i="39" s="1"/>
  <c r="H21" i="39"/>
  <c r="J21" i="39" s="1"/>
  <c r="I21" i="39"/>
  <c r="M21" i="39"/>
  <c r="N21" i="39"/>
  <c r="B22" i="39"/>
  <c r="D22" i="39" s="1"/>
  <c r="C22" i="39"/>
  <c r="G22" i="39"/>
  <c r="L22" i="39" s="1"/>
  <c r="H22" i="39"/>
  <c r="J22" i="39" s="1"/>
  <c r="I22" i="39"/>
  <c r="M22" i="39"/>
  <c r="N22" i="39"/>
  <c r="E24" i="39"/>
  <c r="D26" i="39"/>
  <c r="G26" i="39"/>
  <c r="L26" i="39" s="1"/>
  <c r="J26" i="39"/>
  <c r="O26" i="39"/>
  <c r="D27" i="39"/>
  <c r="G27" i="39"/>
  <c r="L27" i="39" s="1"/>
  <c r="J27" i="39"/>
  <c r="O27" i="39"/>
  <c r="D28" i="39"/>
  <c r="G28" i="39"/>
  <c r="L28" i="39" s="1"/>
  <c r="J28" i="39"/>
  <c r="O28" i="39"/>
  <c r="R41" i="39"/>
  <c r="R42" i="39"/>
  <c r="B43" i="39"/>
  <c r="C43" i="39"/>
  <c r="E43" i="39"/>
  <c r="F43" i="39"/>
  <c r="H43" i="39"/>
  <c r="I43" i="39"/>
  <c r="R43" i="39"/>
  <c r="B44" i="39"/>
  <c r="C44" i="39"/>
  <c r="E44" i="39"/>
  <c r="F44" i="39"/>
  <c r="G44" i="39" s="1"/>
  <c r="H44" i="39"/>
  <c r="I44" i="39"/>
  <c r="B45" i="39"/>
  <c r="C45" i="39"/>
  <c r="E45" i="39"/>
  <c r="F45" i="39"/>
  <c r="H45" i="39"/>
  <c r="I45" i="39"/>
  <c r="R45" i="39"/>
  <c r="B46" i="39"/>
  <c r="C46" i="39"/>
  <c r="E46" i="39"/>
  <c r="F46" i="39"/>
  <c r="H46" i="39"/>
  <c r="I46" i="39"/>
  <c r="B47" i="39"/>
  <c r="C47" i="39"/>
  <c r="E47" i="39"/>
  <c r="F47" i="39"/>
  <c r="H47" i="39"/>
  <c r="I47" i="39"/>
  <c r="B48" i="39"/>
  <c r="C48" i="39"/>
  <c r="E48" i="39"/>
  <c r="F48" i="39"/>
  <c r="H48" i="39"/>
  <c r="I48" i="39"/>
  <c r="B49" i="39"/>
  <c r="C49" i="39"/>
  <c r="E49" i="39"/>
  <c r="F49" i="39"/>
  <c r="H49" i="39"/>
  <c r="I49" i="39"/>
  <c r="B50" i="39"/>
  <c r="C50" i="39"/>
  <c r="E50" i="39"/>
  <c r="F50" i="39"/>
  <c r="H50" i="39"/>
  <c r="I50" i="39"/>
  <c r="B51" i="39"/>
  <c r="C51" i="39"/>
  <c r="E51" i="39"/>
  <c r="F51" i="39"/>
  <c r="H51" i="39"/>
  <c r="I51" i="39"/>
  <c r="B52" i="39"/>
  <c r="C52" i="39"/>
  <c r="E52" i="39"/>
  <c r="F52" i="39"/>
  <c r="H52" i="39"/>
  <c r="I52" i="39"/>
  <c r="B53" i="39"/>
  <c r="C53" i="39"/>
  <c r="E53" i="39"/>
  <c r="F53" i="39"/>
  <c r="H53" i="39"/>
  <c r="I53" i="39"/>
  <c r="B54" i="39"/>
  <c r="C54" i="39"/>
  <c r="E54" i="39"/>
  <c r="F54" i="39"/>
  <c r="H54" i="39"/>
  <c r="I54" i="39"/>
  <c r="B55" i="39"/>
  <c r="C55" i="39"/>
  <c r="E55" i="39"/>
  <c r="F55" i="39"/>
  <c r="H55" i="39"/>
  <c r="I55" i="39"/>
  <c r="B56" i="39"/>
  <c r="C56" i="39"/>
  <c r="E56" i="39"/>
  <c r="F56" i="39"/>
  <c r="H56" i="39"/>
  <c r="I56" i="39"/>
  <c r="B57" i="39"/>
  <c r="C57" i="39"/>
  <c r="E57" i="39"/>
  <c r="F57" i="39"/>
  <c r="H57" i="39"/>
  <c r="I57" i="39"/>
  <c r="B58" i="39"/>
  <c r="C58" i="39"/>
  <c r="E58" i="39"/>
  <c r="F58" i="39"/>
  <c r="H58" i="39"/>
  <c r="I58" i="39"/>
  <c r="B59" i="39"/>
  <c r="C59" i="39"/>
  <c r="E59" i="39"/>
  <c r="F59" i="39"/>
  <c r="H59" i="39"/>
  <c r="I59" i="39"/>
  <c r="B60" i="39"/>
  <c r="C60" i="39"/>
  <c r="E60" i="39"/>
  <c r="F60" i="39"/>
  <c r="H60" i="39"/>
  <c r="I60" i="39"/>
  <c r="D64" i="39"/>
  <c r="G64" i="39"/>
  <c r="J64" i="39"/>
  <c r="D65" i="39"/>
  <c r="G65" i="39"/>
  <c r="J65" i="39"/>
  <c r="D66" i="39"/>
  <c r="G66" i="39"/>
  <c r="J66" i="39"/>
  <c r="D67" i="39"/>
  <c r="G67" i="39"/>
  <c r="J67" i="39"/>
  <c r="D68" i="39"/>
  <c r="G68" i="39"/>
  <c r="J68" i="39"/>
  <c r="D69" i="39"/>
  <c r="G69" i="39"/>
  <c r="J69" i="39"/>
  <c r="D70" i="39"/>
  <c r="G70" i="39"/>
  <c r="J70" i="39"/>
  <c r="D71" i="39"/>
  <c r="G71" i="39"/>
  <c r="J71" i="39"/>
  <c r="D72" i="39"/>
  <c r="G72" i="39"/>
  <c r="J72" i="39"/>
  <c r="D73" i="39"/>
  <c r="G73" i="39"/>
  <c r="J73" i="39"/>
  <c r="D74" i="39"/>
  <c r="G74" i="39"/>
  <c r="J74" i="39"/>
  <c r="D75" i="39"/>
  <c r="G75" i="39"/>
  <c r="J75" i="39"/>
  <c r="A1" i="38"/>
  <c r="D11" i="38"/>
  <c r="G11" i="38"/>
  <c r="M11" i="38" s="1"/>
  <c r="J11" i="38"/>
  <c r="D12" i="38"/>
  <c r="G12" i="38"/>
  <c r="M12" i="38" s="1"/>
  <c r="J12" i="38"/>
  <c r="D13" i="38"/>
  <c r="G13" i="38"/>
  <c r="M13" i="38" s="1"/>
  <c r="J13" i="38"/>
  <c r="D14" i="38"/>
  <c r="G14" i="38"/>
  <c r="M14" i="38" s="1"/>
  <c r="J14" i="38"/>
  <c r="D15" i="38"/>
  <c r="G15" i="38"/>
  <c r="M15" i="38" s="1"/>
  <c r="J15" i="38"/>
  <c r="D16" i="38"/>
  <c r="G16" i="38"/>
  <c r="M16" i="38" s="1"/>
  <c r="J16" i="38"/>
  <c r="D17" i="38"/>
  <c r="G17" i="38"/>
  <c r="M17" i="38" s="1"/>
  <c r="J17" i="38"/>
  <c r="D18" i="38"/>
  <c r="G18" i="38"/>
  <c r="M18" i="38" s="1"/>
  <c r="J18" i="38"/>
  <c r="D19" i="38"/>
  <c r="G19" i="38"/>
  <c r="M19" i="38" s="1"/>
  <c r="J19" i="38"/>
  <c r="D20" i="38"/>
  <c r="G20" i="38"/>
  <c r="M20" i="38" s="1"/>
  <c r="J20" i="38"/>
  <c r="P20" i="38"/>
  <c r="D21" i="38"/>
  <c r="G21" i="38"/>
  <c r="M21" i="38" s="1"/>
  <c r="J21" i="38"/>
  <c r="P21" i="38"/>
  <c r="D22" i="38"/>
  <c r="G22" i="38"/>
  <c r="M22" i="38" s="1"/>
  <c r="J22" i="38"/>
  <c r="P22" i="38"/>
  <c r="B24" i="38"/>
  <c r="C24" i="38"/>
  <c r="E24" i="38"/>
  <c r="H24" i="38"/>
  <c r="R44" i="38" s="1"/>
  <c r="I24" i="38"/>
  <c r="N24" i="38"/>
  <c r="O24" i="38"/>
  <c r="Q44" i="38"/>
  <c r="D57" i="38"/>
  <c r="G57" i="38"/>
  <c r="J57" i="38"/>
  <c r="K57" i="38"/>
  <c r="B59" i="38"/>
  <c r="C59" i="38"/>
  <c r="E59" i="38"/>
  <c r="F59" i="38"/>
  <c r="Q42" i="38" s="1"/>
  <c r="H59" i="38"/>
  <c r="I59" i="38"/>
  <c r="R42" i="38" s="1"/>
  <c r="H12" i="35"/>
  <c r="I12" i="35"/>
  <c r="H13" i="35"/>
  <c r="I13" i="35"/>
  <c r="H14" i="35"/>
  <c r="I14" i="35"/>
  <c r="H15" i="35"/>
  <c r="I15" i="35"/>
  <c r="H16" i="35"/>
  <c r="I16" i="35"/>
  <c r="H17" i="35"/>
  <c r="I17" i="35"/>
  <c r="H18" i="35"/>
  <c r="I18" i="35"/>
  <c r="H19" i="35"/>
  <c r="I19" i="35"/>
  <c r="H20" i="35"/>
  <c r="I20" i="35"/>
  <c r="H21" i="35"/>
  <c r="I21" i="35"/>
  <c r="H22" i="35"/>
  <c r="I22" i="35"/>
  <c r="H23" i="35"/>
  <c r="I23" i="35"/>
  <c r="F13" i="34"/>
  <c r="L13" i="34" s="1"/>
  <c r="F14" i="34"/>
  <c r="L14" i="34" s="1"/>
  <c r="F15" i="34"/>
  <c r="L15" i="34" s="1"/>
  <c r="F16" i="34"/>
  <c r="L16" i="34" s="1"/>
  <c r="F18" i="34"/>
  <c r="L18" i="34" s="1"/>
  <c r="F19" i="34"/>
  <c r="L19" i="34" s="1"/>
  <c r="D24" i="34"/>
  <c r="H12" i="33"/>
  <c r="H13" i="33"/>
  <c r="H14" i="33"/>
  <c r="H15" i="33"/>
  <c r="C17" i="33"/>
  <c r="E33" i="33" s="1"/>
  <c r="D17" i="33"/>
  <c r="E17" i="33"/>
  <c r="E22" i="33" s="1"/>
  <c r="E35" i="33" s="1"/>
  <c r="F17" i="33"/>
  <c r="F22" i="33" s="1"/>
  <c r="F35" i="33" s="1"/>
  <c r="H19" i="33"/>
  <c r="H20" i="33"/>
  <c r="M12" i="32"/>
  <c r="M16" i="32"/>
  <c r="G42" i="32" s="1"/>
  <c r="I42" i="32" s="1"/>
  <c r="N16" i="32"/>
  <c r="M17" i="32"/>
  <c r="G43" i="32" s="1"/>
  <c r="I43" i="32" s="1"/>
  <c r="N17" i="32"/>
  <c r="J43" i="32" s="1"/>
  <c r="I44" i="32"/>
  <c r="N18" i="32"/>
  <c r="M20" i="32"/>
  <c r="G46" i="32" s="1"/>
  <c r="I46" i="32" s="1"/>
  <c r="M21" i="32"/>
  <c r="G47" i="32" s="1"/>
  <c r="I47" i="32" s="1"/>
  <c r="N21" i="32"/>
  <c r="J47" i="32" s="1"/>
  <c r="N22" i="32"/>
  <c r="M23" i="32"/>
  <c r="G49" i="32" s="1"/>
  <c r="I49" i="32" s="1"/>
  <c r="N23" i="32"/>
  <c r="J49" i="32" s="1"/>
  <c r="M27" i="32"/>
  <c r="N27" i="32"/>
  <c r="J53" i="32" s="1"/>
  <c r="E32" i="32"/>
  <c r="F32" i="32"/>
  <c r="G32" i="32"/>
  <c r="H32" i="32"/>
  <c r="I32" i="32"/>
  <c r="J32" i="32"/>
  <c r="K32" i="32"/>
  <c r="L32" i="32"/>
  <c r="A38" i="32"/>
  <c r="A42" i="32"/>
  <c r="C42" i="32"/>
  <c r="D42" i="32" s="1"/>
  <c r="A43" i="32"/>
  <c r="C43" i="32"/>
  <c r="D43" i="32" s="1"/>
  <c r="A44" i="32"/>
  <c r="C44" i="32"/>
  <c r="A46" i="32"/>
  <c r="C46" i="32"/>
  <c r="D46" i="32" s="1"/>
  <c r="A47" i="32"/>
  <c r="C47" i="32"/>
  <c r="D47" i="32" s="1"/>
  <c r="A48" i="32"/>
  <c r="C48" i="32"/>
  <c r="A49" i="32"/>
  <c r="C49" i="32"/>
  <c r="D49" i="32" s="1"/>
  <c r="A55" i="32"/>
  <c r="AC33" i="31"/>
  <c r="AC34" i="31"/>
  <c r="AC51" i="31"/>
  <c r="AC52" i="31"/>
  <c r="AC66" i="31"/>
  <c r="AC67" i="31"/>
  <c r="AC68" i="31"/>
  <c r="C15" i="30"/>
  <c r="D15" i="30"/>
  <c r="E15" i="30"/>
  <c r="F15" i="30"/>
  <c r="G15" i="30"/>
  <c r="L15" i="30"/>
  <c r="M15" i="30"/>
  <c r="N15" i="30"/>
  <c r="O15" i="30"/>
  <c r="P15" i="30"/>
  <c r="C16" i="30"/>
  <c r="D16" i="30"/>
  <c r="E16" i="30"/>
  <c r="F16" i="30"/>
  <c r="G16" i="30"/>
  <c r="L16" i="30"/>
  <c r="M16" i="30"/>
  <c r="N16" i="30"/>
  <c r="O16" i="30"/>
  <c r="P16" i="30"/>
  <c r="C17" i="30"/>
  <c r="D17" i="30"/>
  <c r="E17" i="30"/>
  <c r="F17" i="30"/>
  <c r="G17" i="30"/>
  <c r="L17" i="30"/>
  <c r="M17" i="30"/>
  <c r="N17" i="30"/>
  <c r="O17" i="30"/>
  <c r="P17" i="30"/>
  <c r="C18" i="30"/>
  <c r="D18" i="30"/>
  <c r="E18" i="30"/>
  <c r="F18" i="30"/>
  <c r="G18" i="30"/>
  <c r="L18" i="30"/>
  <c r="M18" i="30"/>
  <c r="N18" i="30"/>
  <c r="O18" i="30"/>
  <c r="P18" i="30"/>
  <c r="C19" i="30"/>
  <c r="D19" i="30"/>
  <c r="E19" i="30"/>
  <c r="F19" i="30"/>
  <c r="G19" i="30"/>
  <c r="L19" i="30"/>
  <c r="M19" i="30"/>
  <c r="N19" i="30"/>
  <c r="O19" i="30"/>
  <c r="P19" i="30"/>
  <c r="C20" i="30"/>
  <c r="D20" i="30"/>
  <c r="E20" i="30"/>
  <c r="F20" i="30"/>
  <c r="G20" i="30"/>
  <c r="L20" i="30"/>
  <c r="M20" i="30"/>
  <c r="N20" i="30"/>
  <c r="O20" i="30"/>
  <c r="P20" i="30"/>
  <c r="C21" i="30"/>
  <c r="D21" i="30"/>
  <c r="E21" i="30"/>
  <c r="F21" i="30"/>
  <c r="G21" i="30"/>
  <c r="L21" i="30"/>
  <c r="M21" i="30"/>
  <c r="N21" i="30"/>
  <c r="O21" i="30"/>
  <c r="P21" i="30"/>
  <c r="C22" i="30"/>
  <c r="D22" i="30"/>
  <c r="E22" i="30"/>
  <c r="F22" i="30"/>
  <c r="G22" i="30"/>
  <c r="L22" i="30"/>
  <c r="M22" i="30"/>
  <c r="N22" i="30"/>
  <c r="O22" i="30"/>
  <c r="P22" i="30"/>
  <c r="C23" i="30"/>
  <c r="D23" i="30"/>
  <c r="E23" i="30"/>
  <c r="F23" i="30"/>
  <c r="G23" i="30"/>
  <c r="L23" i="30"/>
  <c r="M23" i="30"/>
  <c r="N23" i="30"/>
  <c r="O23" i="30"/>
  <c r="P23" i="30"/>
  <c r="C24" i="30"/>
  <c r="D24" i="30"/>
  <c r="E24" i="30"/>
  <c r="F24" i="30"/>
  <c r="G24" i="30"/>
  <c r="L24" i="30"/>
  <c r="M24" i="30"/>
  <c r="N24" i="30"/>
  <c r="O24" i="30"/>
  <c r="P24" i="30"/>
  <c r="C25" i="30"/>
  <c r="D25" i="30"/>
  <c r="E25" i="30"/>
  <c r="F25" i="30"/>
  <c r="G25" i="30"/>
  <c r="L25" i="30"/>
  <c r="M25" i="30"/>
  <c r="N25" i="30"/>
  <c r="O25" i="30"/>
  <c r="P25" i="30"/>
  <c r="C26" i="30"/>
  <c r="D26" i="30"/>
  <c r="E26" i="30"/>
  <c r="F26" i="30"/>
  <c r="G26" i="30"/>
  <c r="L26" i="30"/>
  <c r="M26" i="30"/>
  <c r="N26" i="30"/>
  <c r="O26" i="30"/>
  <c r="P26" i="30"/>
  <c r="C38" i="30"/>
  <c r="D38" i="30"/>
  <c r="E38" i="30"/>
  <c r="F38" i="30"/>
  <c r="G38" i="30"/>
  <c r="L38" i="30"/>
  <c r="M38" i="30"/>
  <c r="N38" i="30"/>
  <c r="O38" i="30"/>
  <c r="P38" i="30"/>
  <c r="C39" i="30"/>
  <c r="D39" i="30"/>
  <c r="E39" i="30"/>
  <c r="F39" i="30"/>
  <c r="G39" i="30"/>
  <c r="L39" i="30"/>
  <c r="M39" i="30"/>
  <c r="N39" i="30"/>
  <c r="O39" i="30"/>
  <c r="P39" i="30"/>
  <c r="C40" i="30"/>
  <c r="D40" i="30"/>
  <c r="E40" i="30"/>
  <c r="F40" i="30"/>
  <c r="G40" i="30"/>
  <c r="L40" i="30"/>
  <c r="M40" i="30"/>
  <c r="N40" i="30"/>
  <c r="O40" i="30"/>
  <c r="P40" i="30"/>
  <c r="C41" i="30"/>
  <c r="D41" i="30"/>
  <c r="E41" i="30"/>
  <c r="F41" i="30"/>
  <c r="G41" i="30"/>
  <c r="L41" i="30"/>
  <c r="M41" i="30"/>
  <c r="N41" i="30"/>
  <c r="O41" i="30"/>
  <c r="P41" i="30"/>
  <c r="C42" i="30"/>
  <c r="D42" i="30"/>
  <c r="E42" i="30"/>
  <c r="F42" i="30"/>
  <c r="G42" i="30"/>
  <c r="L42" i="30"/>
  <c r="M42" i="30"/>
  <c r="N42" i="30"/>
  <c r="O42" i="30"/>
  <c r="P42" i="30"/>
  <c r="C43" i="30"/>
  <c r="D43" i="30"/>
  <c r="E43" i="30"/>
  <c r="F43" i="30"/>
  <c r="G43" i="30"/>
  <c r="L43" i="30"/>
  <c r="M43" i="30"/>
  <c r="N43" i="30"/>
  <c r="O43" i="30"/>
  <c r="P43" i="30"/>
  <c r="C44" i="30"/>
  <c r="D44" i="30"/>
  <c r="E44" i="30"/>
  <c r="F44" i="30"/>
  <c r="G44" i="30"/>
  <c r="L44" i="30"/>
  <c r="M44" i="30"/>
  <c r="N44" i="30"/>
  <c r="O44" i="30"/>
  <c r="P44" i="30"/>
  <c r="C45" i="30"/>
  <c r="D45" i="30"/>
  <c r="E45" i="30"/>
  <c r="F45" i="30"/>
  <c r="G45" i="30"/>
  <c r="L45" i="30"/>
  <c r="M45" i="30"/>
  <c r="N45" i="30"/>
  <c r="O45" i="30"/>
  <c r="P45" i="30"/>
  <c r="C46" i="30"/>
  <c r="D46" i="30"/>
  <c r="E46" i="30"/>
  <c r="F46" i="30"/>
  <c r="G46" i="30"/>
  <c r="L46" i="30"/>
  <c r="M46" i="30"/>
  <c r="N46" i="30"/>
  <c r="O46" i="30"/>
  <c r="P46" i="30"/>
  <c r="C47" i="30"/>
  <c r="D47" i="30"/>
  <c r="E47" i="30"/>
  <c r="F47" i="30"/>
  <c r="G47" i="30"/>
  <c r="L47" i="30"/>
  <c r="M47" i="30"/>
  <c r="N47" i="30"/>
  <c r="O47" i="30"/>
  <c r="P47" i="30"/>
  <c r="C48" i="30"/>
  <c r="D48" i="30"/>
  <c r="E48" i="30"/>
  <c r="F48" i="30"/>
  <c r="G48" i="30"/>
  <c r="L48" i="30"/>
  <c r="M48" i="30"/>
  <c r="N48" i="30"/>
  <c r="O48" i="30"/>
  <c r="P48" i="30"/>
  <c r="C49" i="30"/>
  <c r="D49" i="30"/>
  <c r="E49" i="30"/>
  <c r="F49" i="30"/>
  <c r="G49" i="30"/>
  <c r="L49" i="30"/>
  <c r="M49" i="30"/>
  <c r="N49" i="30"/>
  <c r="O49" i="30"/>
  <c r="P49" i="30"/>
  <c r="C10" i="28"/>
  <c r="D10" i="28"/>
  <c r="E10" i="28"/>
  <c r="C12" i="28"/>
  <c r="D12" i="28"/>
  <c r="E12" i="28"/>
  <c r="C14" i="28"/>
  <c r="D14" i="28"/>
  <c r="E14" i="28"/>
  <c r="C22" i="28"/>
  <c r="D22" i="28"/>
  <c r="E22" i="28"/>
  <c r="F22" i="28"/>
  <c r="G22" i="28"/>
  <c r="H22" i="28"/>
  <c r="I22" i="28"/>
  <c r="C24" i="28"/>
  <c r="D24" i="28"/>
  <c r="E24" i="28"/>
  <c r="F24" i="28"/>
  <c r="G24" i="28"/>
  <c r="H24" i="28"/>
  <c r="I24" i="28"/>
  <c r="C26" i="28"/>
  <c r="D26" i="28"/>
  <c r="E26" i="28"/>
  <c r="F26" i="28"/>
  <c r="G26" i="28"/>
  <c r="H26" i="28"/>
  <c r="I26" i="28"/>
  <c r="A10" i="27"/>
  <c r="D10" i="27"/>
  <c r="E10" i="27"/>
  <c r="F10" i="27"/>
  <c r="A11" i="27"/>
  <c r="D11" i="27"/>
  <c r="E11" i="27"/>
  <c r="F11" i="27"/>
  <c r="A12" i="27"/>
  <c r="D12" i="27"/>
  <c r="E12" i="27"/>
  <c r="F12" i="27"/>
  <c r="D13" i="27"/>
  <c r="E13" i="27"/>
  <c r="F13" i="27"/>
  <c r="D14" i="27"/>
  <c r="E14" i="27"/>
  <c r="F14" i="27"/>
  <c r="D15" i="27"/>
  <c r="E15" i="27"/>
  <c r="F15" i="27"/>
  <c r="D16" i="27"/>
  <c r="E16" i="27"/>
  <c r="F16" i="27"/>
  <c r="A31" i="27"/>
  <c r="D31" i="27"/>
  <c r="E31" i="27"/>
  <c r="F31" i="27"/>
  <c r="D32" i="27"/>
  <c r="E32" i="27"/>
  <c r="F32" i="27"/>
  <c r="A33" i="27"/>
  <c r="D33" i="27"/>
  <c r="E33" i="27"/>
  <c r="F33" i="27"/>
  <c r="D34" i="27"/>
  <c r="E34" i="27"/>
  <c r="F34" i="27"/>
  <c r="D35" i="27"/>
  <c r="E35" i="27"/>
  <c r="F35" i="27"/>
  <c r="D36" i="27"/>
  <c r="E36" i="27"/>
  <c r="F36" i="27"/>
  <c r="D37" i="27"/>
  <c r="E37" i="27"/>
  <c r="F37" i="27"/>
  <c r="A53" i="27"/>
  <c r="D53" i="27"/>
  <c r="E53" i="27"/>
  <c r="F53" i="27"/>
  <c r="D54" i="27"/>
  <c r="E54" i="27"/>
  <c r="F54" i="27"/>
  <c r="A55" i="27"/>
  <c r="D55" i="27"/>
  <c r="E55" i="27"/>
  <c r="F55" i="27"/>
  <c r="D56" i="27"/>
  <c r="E56" i="27"/>
  <c r="F56" i="27"/>
  <c r="A57" i="27"/>
  <c r="D57" i="27"/>
  <c r="E57" i="27"/>
  <c r="F57" i="27"/>
  <c r="D58" i="27"/>
  <c r="E58" i="27"/>
  <c r="F58" i="27"/>
  <c r="D59" i="27"/>
  <c r="E59" i="27"/>
  <c r="F59" i="27"/>
  <c r="D55" i="25"/>
  <c r="D56" i="25"/>
  <c r="D57" i="25"/>
  <c r="O12" i="24"/>
  <c r="P12" i="24" s="1"/>
  <c r="O13" i="24"/>
  <c r="P13" i="24" s="1"/>
  <c r="K16" i="24"/>
  <c r="O16" i="24" s="1"/>
  <c r="P16" i="24" s="1"/>
  <c r="O18" i="24"/>
  <c r="P18" i="24"/>
  <c r="O19" i="24"/>
  <c r="P19" i="24" s="1"/>
  <c r="K55" i="24"/>
  <c r="O57" i="24"/>
  <c r="P57" i="24" s="1"/>
  <c r="O58" i="24"/>
  <c r="P58" i="24" s="1"/>
  <c r="O88" i="24"/>
  <c r="P88" i="24" s="1"/>
  <c r="O96" i="24"/>
  <c r="P96" i="24" s="1"/>
  <c r="O20" i="21"/>
  <c r="O22" i="21"/>
  <c r="O23" i="21"/>
  <c r="O24" i="21"/>
  <c r="O63" i="21"/>
  <c r="O101" i="21"/>
  <c r="O103" i="21"/>
  <c r="L108" i="21"/>
  <c r="H27" i="20"/>
  <c r="AN33" i="20"/>
  <c r="AO33" i="20"/>
  <c r="AP33" i="20"/>
  <c r="AN34" i="20"/>
  <c r="AO34" i="20"/>
  <c r="AP34" i="20"/>
  <c r="AN35" i="20"/>
  <c r="AO35" i="20"/>
  <c r="AP35" i="20"/>
  <c r="AN36" i="20"/>
  <c r="AO36" i="20"/>
  <c r="AP36" i="20"/>
  <c r="H27" i="19"/>
  <c r="AN33" i="19"/>
  <c r="AO33" i="19"/>
  <c r="AP33" i="19"/>
  <c r="AN34" i="19"/>
  <c r="AO34" i="19"/>
  <c r="AP34" i="19"/>
  <c r="AN35" i="19"/>
  <c r="AO35" i="19"/>
  <c r="AP35" i="19"/>
  <c r="AN36" i="19"/>
  <c r="AO36" i="19"/>
  <c r="AP36" i="19"/>
  <c r="H27" i="18"/>
  <c r="AN33" i="18"/>
  <c r="AO33" i="18"/>
  <c r="AP33" i="18"/>
  <c r="AN34" i="18"/>
  <c r="AO34" i="18"/>
  <c r="AP34" i="18"/>
  <c r="AN35" i="18"/>
  <c r="AO35" i="18"/>
  <c r="AP35" i="18"/>
  <c r="AN36" i="18"/>
  <c r="AO36" i="18"/>
  <c r="AP36" i="18"/>
  <c r="D11" i="16"/>
  <c r="L11" i="16" s="1"/>
  <c r="D12" i="16"/>
  <c r="L12" i="16" s="1"/>
  <c r="D13" i="16"/>
  <c r="L13" i="16" s="1"/>
  <c r="D14" i="16"/>
  <c r="L14" i="16" s="1"/>
  <c r="D15" i="16"/>
  <c r="L15" i="16" s="1"/>
  <c r="D16" i="16"/>
  <c r="L16" i="16" s="1"/>
  <c r="D17" i="16"/>
  <c r="L17" i="16" s="1"/>
  <c r="D18" i="16"/>
  <c r="L18" i="16" s="1"/>
  <c r="D19" i="16"/>
  <c r="L19" i="16" s="1"/>
  <c r="I19" i="16" s="1"/>
  <c r="D20" i="16"/>
  <c r="L20" i="16" s="1"/>
  <c r="I20" i="16" s="1"/>
  <c r="D21" i="16"/>
  <c r="L21" i="16" s="1"/>
  <c r="I21" i="16" s="1"/>
  <c r="D22" i="16"/>
  <c r="L22" i="16" s="1"/>
  <c r="D23" i="16"/>
  <c r="L23" i="16" s="1"/>
  <c r="D24" i="16"/>
  <c r="L24" i="16" s="1"/>
  <c r="D25" i="16"/>
  <c r="L25" i="16" s="1"/>
  <c r="D26" i="16"/>
  <c r="L26" i="16" s="1"/>
  <c r="D27" i="16"/>
  <c r="L27" i="16" s="1"/>
  <c r="D30" i="16"/>
  <c r="L30" i="16" s="1"/>
  <c r="D32" i="16"/>
  <c r="L32" i="16" s="1"/>
  <c r="D33" i="16"/>
  <c r="L33" i="16" s="1"/>
  <c r="D35" i="16"/>
  <c r="L35" i="16" s="1"/>
  <c r="D36" i="16"/>
  <c r="L36" i="16" s="1"/>
  <c r="D37" i="16"/>
  <c r="L37" i="16" s="1"/>
  <c r="D38" i="16"/>
  <c r="L38" i="16" s="1"/>
  <c r="D39" i="16"/>
  <c r="L39" i="16" s="1"/>
  <c r="D40" i="16"/>
  <c r="L40" i="16" s="1"/>
  <c r="D41" i="16"/>
  <c r="L41" i="16" s="1"/>
  <c r="D42" i="16"/>
  <c r="L42" i="16" s="1"/>
  <c r="D43" i="16"/>
  <c r="L43" i="16" s="1"/>
  <c r="D44" i="16"/>
  <c r="L44" i="16" s="1"/>
  <c r="D45" i="16"/>
  <c r="L45" i="16" s="1"/>
  <c r="D48" i="16"/>
  <c r="L48" i="16" s="1"/>
  <c r="D49" i="16"/>
  <c r="L49" i="16" s="1"/>
  <c r="D50" i="16"/>
  <c r="L50" i="16" s="1"/>
  <c r="D51" i="16"/>
  <c r="L51" i="16" s="1"/>
  <c r="D52" i="16"/>
  <c r="L52" i="16" s="1"/>
  <c r="D53" i="16"/>
  <c r="L53" i="16" s="1"/>
  <c r="D54" i="16"/>
  <c r="L54" i="16" s="1"/>
  <c r="D55" i="16"/>
  <c r="L55" i="16" s="1"/>
  <c r="D56" i="16"/>
  <c r="L56" i="16" s="1"/>
  <c r="D57" i="16"/>
  <c r="L57" i="16" s="1"/>
  <c r="D58" i="16"/>
  <c r="L58" i="16" s="1"/>
  <c r="I58" i="16" s="1"/>
  <c r="D59" i="16"/>
  <c r="L59" i="16" s="1"/>
  <c r="I59" i="16" s="1"/>
  <c r="D63" i="16"/>
  <c r="L63" i="16" s="1"/>
  <c r="D64" i="16"/>
  <c r="L64" i="16" s="1"/>
  <c r="A3" i="16"/>
  <c r="D11" i="15"/>
  <c r="L11" i="15" s="1"/>
  <c r="D12" i="15"/>
  <c r="L12" i="15" s="1"/>
  <c r="D13" i="15"/>
  <c r="L13" i="15" s="1"/>
  <c r="D14" i="15"/>
  <c r="L14" i="15" s="1"/>
  <c r="D15" i="15"/>
  <c r="L15" i="15" s="1"/>
  <c r="D16" i="15"/>
  <c r="L16" i="15" s="1"/>
  <c r="D17" i="15"/>
  <c r="L17" i="15" s="1"/>
  <c r="D18" i="15"/>
  <c r="L18" i="15" s="1"/>
  <c r="D19" i="15"/>
  <c r="L19" i="15" s="1"/>
  <c r="I19" i="15" s="1"/>
  <c r="D20" i="15"/>
  <c r="D21" i="15"/>
  <c r="L21" i="15" s="1"/>
  <c r="I21" i="15" s="1"/>
  <c r="D22" i="15"/>
  <c r="L22" i="15" s="1"/>
  <c r="D23" i="15"/>
  <c r="L23" i="15" s="1"/>
  <c r="D24" i="15"/>
  <c r="L24" i="15" s="1"/>
  <c r="D25" i="15"/>
  <c r="L25" i="15" s="1"/>
  <c r="D26" i="15"/>
  <c r="L26" i="15" s="1"/>
  <c r="D27" i="15"/>
  <c r="D30" i="15"/>
  <c r="L30" i="15" s="1"/>
  <c r="D32" i="15"/>
  <c r="L32" i="15" s="1"/>
  <c r="D33" i="15"/>
  <c r="L33" i="15" s="1"/>
  <c r="D35" i="15"/>
  <c r="L35" i="15" s="1"/>
  <c r="D36" i="15"/>
  <c r="L36" i="15" s="1"/>
  <c r="D37" i="15"/>
  <c r="L37" i="15" s="1"/>
  <c r="D38" i="15"/>
  <c r="L38" i="15" s="1"/>
  <c r="D39" i="15"/>
  <c r="L39" i="15" s="1"/>
  <c r="D40" i="15"/>
  <c r="L40" i="15" s="1"/>
  <c r="D41" i="15"/>
  <c r="L41" i="15" s="1"/>
  <c r="D42" i="15"/>
  <c r="L42" i="15" s="1"/>
  <c r="D43" i="15"/>
  <c r="L43" i="15" s="1"/>
  <c r="D44" i="15"/>
  <c r="L44" i="15" s="1"/>
  <c r="D45" i="15"/>
  <c r="L45" i="15" s="1"/>
  <c r="D48" i="15"/>
  <c r="L48" i="15" s="1"/>
  <c r="D49" i="15"/>
  <c r="L49" i="15" s="1"/>
  <c r="D50" i="15"/>
  <c r="L50" i="15" s="1"/>
  <c r="D51" i="15"/>
  <c r="L51" i="15" s="1"/>
  <c r="D52" i="15"/>
  <c r="L52" i="15" s="1"/>
  <c r="D53" i="15"/>
  <c r="L53" i="15" s="1"/>
  <c r="D54" i="15"/>
  <c r="L54" i="15" s="1"/>
  <c r="D55" i="15"/>
  <c r="L55" i="15" s="1"/>
  <c r="D56" i="15"/>
  <c r="L56" i="15" s="1"/>
  <c r="D57" i="15"/>
  <c r="L57" i="15" s="1"/>
  <c r="D58" i="15"/>
  <c r="L58" i="15" s="1"/>
  <c r="I58" i="15" s="1"/>
  <c r="D59" i="15"/>
  <c r="L59" i="15" s="1"/>
  <c r="I59" i="15" s="1"/>
  <c r="D63" i="15"/>
  <c r="L63" i="15" s="1"/>
  <c r="D64" i="15"/>
  <c r="L64" i="15" s="1"/>
  <c r="X29" i="49"/>
  <c r="E24" i="35"/>
  <c r="I25" i="35" s="1"/>
  <c r="I18" i="45"/>
  <c r="I14" i="45"/>
  <c r="AB115" i="47"/>
  <c r="AC115" i="47"/>
  <c r="V109" i="47"/>
  <c r="W109" i="47"/>
  <c r="AB105" i="47"/>
  <c r="AC105" i="47"/>
  <c r="I17" i="45"/>
  <c r="AB110" i="47"/>
  <c r="AC110" i="47"/>
  <c r="AD42" i="47"/>
  <c r="AD32" i="47"/>
  <c r="O19" i="31" s="1"/>
  <c r="Q19" i="31" s="1"/>
  <c r="V99" i="47"/>
  <c r="W99" i="47"/>
  <c r="AB96" i="47"/>
  <c r="AC96" i="47"/>
  <c r="AB89" i="47"/>
  <c r="AC89" i="47"/>
  <c r="AD44" i="47"/>
  <c r="V88" i="47"/>
  <c r="W88" i="47"/>
  <c r="AB85" i="47"/>
  <c r="AC85" i="47"/>
  <c r="AD40" i="47" s="1"/>
  <c r="AC111" i="47"/>
  <c r="W105" i="47"/>
  <c r="AC97" i="47"/>
  <c r="W96" i="47"/>
  <c r="AC90" i="47"/>
  <c r="AC86" i="47"/>
  <c r="AD41" i="47" s="1"/>
  <c r="W85" i="47"/>
  <c r="B24" i="35"/>
  <c r="H25" i="35" s="1"/>
  <c r="C16" i="28"/>
  <c r="F12" i="28"/>
  <c r="I25" i="6"/>
  <c r="H25" i="6"/>
  <c r="G25" i="6"/>
  <c r="F25" i="6"/>
  <c r="E25" i="6"/>
  <c r="D25" i="6"/>
  <c r="C25" i="6"/>
  <c r="I23" i="6"/>
  <c r="H23" i="6"/>
  <c r="G23" i="6"/>
  <c r="F23" i="6"/>
  <c r="E23" i="6"/>
  <c r="D23" i="6"/>
  <c r="C23" i="6"/>
  <c r="I16" i="6"/>
  <c r="J12" i="6" s="1"/>
  <c r="C16" i="6"/>
  <c r="I12" i="6"/>
  <c r="I10" i="6"/>
  <c r="E12" i="6"/>
  <c r="D12" i="6"/>
  <c r="C12" i="6"/>
  <c r="E10" i="6"/>
  <c r="D10" i="6"/>
  <c r="C10" i="6"/>
  <c r="I83" i="5"/>
  <c r="I78" i="5"/>
  <c r="F67" i="5"/>
  <c r="F62" i="5"/>
  <c r="E62" i="5"/>
  <c r="C62" i="5"/>
  <c r="A62" i="5"/>
  <c r="F61" i="5"/>
  <c r="E61" i="5"/>
  <c r="A61" i="5"/>
  <c r="F60" i="5"/>
  <c r="E60" i="5"/>
  <c r="C60" i="5"/>
  <c r="F59" i="5"/>
  <c r="E59" i="5"/>
  <c r="F58" i="5"/>
  <c r="E58" i="5"/>
  <c r="C58" i="5"/>
  <c r="A58" i="5"/>
  <c r="F57" i="5"/>
  <c r="E57" i="5"/>
  <c r="C57" i="5"/>
  <c r="A57" i="5"/>
  <c r="F56" i="5"/>
  <c r="E56" i="5"/>
  <c r="C56" i="5"/>
  <c r="A56" i="5"/>
  <c r="A43" i="5"/>
  <c r="F38" i="5"/>
  <c r="E38" i="5"/>
  <c r="A38" i="5"/>
  <c r="F37" i="5"/>
  <c r="E37" i="5"/>
  <c r="C37" i="5"/>
  <c r="A37" i="5"/>
  <c r="F36" i="5"/>
  <c r="E36" i="5"/>
  <c r="F35" i="5"/>
  <c r="E35" i="5"/>
  <c r="C35" i="5"/>
  <c r="F34" i="5"/>
  <c r="E34" i="5"/>
  <c r="C34" i="5"/>
  <c r="A34" i="5"/>
  <c r="F33" i="5"/>
  <c r="E33" i="5"/>
  <c r="C33" i="5"/>
  <c r="A33" i="5"/>
  <c r="F32" i="5"/>
  <c r="E32" i="5"/>
  <c r="C32" i="5"/>
  <c r="A32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F16" i="5"/>
  <c r="E16" i="5"/>
  <c r="F15" i="5"/>
  <c r="E15" i="5"/>
  <c r="A15" i="5"/>
  <c r="F14" i="5"/>
  <c r="E14" i="5"/>
  <c r="F13" i="5"/>
  <c r="E13" i="5"/>
  <c r="F12" i="5"/>
  <c r="E12" i="5"/>
  <c r="C12" i="5"/>
  <c r="A12" i="5"/>
  <c r="F11" i="5"/>
  <c r="E11" i="5"/>
  <c r="C11" i="5"/>
  <c r="A11" i="5"/>
  <c r="F10" i="5"/>
  <c r="E10" i="5"/>
  <c r="C10" i="5"/>
  <c r="A10" i="5"/>
  <c r="O10" i="4"/>
  <c r="O11" i="4"/>
  <c r="O12" i="4"/>
  <c r="O13" i="4"/>
  <c r="O14" i="4"/>
  <c r="O15" i="4"/>
  <c r="O16" i="4"/>
  <c r="O17" i="4"/>
  <c r="O18" i="4"/>
  <c r="O24" i="4"/>
  <c r="O25" i="4"/>
  <c r="O26" i="4"/>
  <c r="O27" i="4"/>
  <c r="O28" i="4"/>
  <c r="O29" i="4"/>
  <c r="O30" i="4"/>
  <c r="O31" i="4"/>
  <c r="O32" i="4"/>
  <c r="O33" i="4"/>
  <c r="O34" i="4"/>
  <c r="O35" i="4"/>
  <c r="O37" i="4"/>
  <c r="O39" i="4"/>
  <c r="O40" i="4"/>
  <c r="O41" i="4"/>
  <c r="O42" i="4"/>
  <c r="O43" i="4"/>
  <c r="O44" i="4"/>
  <c r="O45" i="4"/>
  <c r="O46" i="4"/>
  <c r="O47" i="4"/>
  <c r="O48" i="4"/>
  <c r="O50" i="4"/>
  <c r="O51" i="4"/>
  <c r="O52" i="4"/>
  <c r="O53" i="4"/>
  <c r="O54" i="4"/>
  <c r="O57" i="4"/>
  <c r="O59" i="4"/>
  <c r="O60" i="4"/>
  <c r="O63" i="4"/>
  <c r="O64" i="4"/>
  <c r="O65" i="4"/>
  <c r="O66" i="4"/>
  <c r="O67" i="4"/>
  <c r="O68" i="4"/>
  <c r="O69" i="4"/>
  <c r="O70" i="4"/>
  <c r="O72" i="4"/>
  <c r="O73" i="4"/>
  <c r="O75" i="4"/>
  <c r="O76" i="4"/>
  <c r="O77" i="4"/>
  <c r="O78" i="4"/>
  <c r="O79" i="4"/>
  <c r="O80" i="4"/>
  <c r="O81" i="4"/>
  <c r="O82" i="4"/>
  <c r="O84" i="4"/>
  <c r="O85" i="4"/>
  <c r="O87" i="4"/>
  <c r="O89" i="4"/>
  <c r="O90" i="4"/>
  <c r="O91" i="4"/>
  <c r="O92" i="4"/>
  <c r="O93" i="4"/>
  <c r="O94" i="4"/>
  <c r="O95" i="4"/>
  <c r="O96" i="4"/>
  <c r="O98" i="4"/>
  <c r="O99" i="4"/>
  <c r="O106" i="4"/>
  <c r="O107" i="4"/>
  <c r="O108" i="4"/>
  <c r="O109" i="4"/>
  <c r="O110" i="4"/>
  <c r="O111" i="4"/>
  <c r="O112" i="4"/>
  <c r="N14" i="7"/>
  <c r="N15" i="7"/>
  <c r="N16" i="7"/>
  <c r="N17" i="7"/>
  <c r="N18" i="7"/>
  <c r="N19" i="7"/>
  <c r="N20" i="7"/>
  <c r="N21" i="7"/>
  <c r="N23" i="7"/>
  <c r="N24" i="7"/>
  <c r="D26" i="7"/>
  <c r="L26" i="7"/>
  <c r="H29" i="7"/>
  <c r="N29" i="7"/>
  <c r="H30" i="7"/>
  <c r="N30" i="7"/>
  <c r="H31" i="7"/>
  <c r="N31" i="7"/>
  <c r="H32" i="7"/>
  <c r="N32" i="7"/>
  <c r="H33" i="7"/>
  <c r="N33" i="7"/>
  <c r="H34" i="7"/>
  <c r="N34" i="7"/>
  <c r="H36" i="7"/>
  <c r="N36" i="7"/>
  <c r="H37" i="7"/>
  <c r="N37" i="7"/>
  <c r="N38" i="7"/>
  <c r="L39" i="7"/>
  <c r="N42" i="7"/>
  <c r="N44" i="7"/>
  <c r="D45" i="7"/>
  <c r="L45" i="7"/>
  <c r="N46" i="7"/>
  <c r="C59" i="7"/>
  <c r="N66" i="7"/>
  <c r="N67" i="7"/>
  <c r="N68" i="7"/>
  <c r="N70" i="7"/>
  <c r="N72" i="7"/>
  <c r="N73" i="7"/>
  <c r="N74" i="7"/>
  <c r="N75" i="7"/>
  <c r="N77" i="7"/>
  <c r="N78" i="7"/>
  <c r="D79" i="7"/>
  <c r="L79" i="7"/>
  <c r="N80" i="7"/>
  <c r="N81" i="7"/>
  <c r="N82" i="7"/>
  <c r="N83" i="7"/>
  <c r="N86" i="7"/>
  <c r="N87" i="7"/>
  <c r="D88" i="7"/>
  <c r="L88" i="7"/>
  <c r="N95" i="7"/>
  <c r="N96" i="7"/>
  <c r="N97" i="7"/>
  <c r="F98" i="7"/>
  <c r="N99" i="7"/>
  <c r="N101" i="7"/>
  <c r="F128" i="7"/>
  <c r="D164" i="7"/>
  <c r="D169" i="7"/>
  <c r="J45" i="5"/>
  <c r="K45" i="5"/>
  <c r="J69" i="5"/>
  <c r="K69" i="5"/>
  <c r="L26" i="8"/>
  <c r="AC26" i="8" s="1"/>
  <c r="L27" i="8"/>
  <c r="AC27" i="8" s="1"/>
  <c r="E29" i="8"/>
  <c r="H29" i="8"/>
  <c r="K29" i="8"/>
  <c r="D49" i="8"/>
  <c r="U49" i="8" s="1"/>
  <c r="D50" i="8"/>
  <c r="U50" i="8" s="1"/>
  <c r="D51" i="8"/>
  <c r="U51" i="8" s="1"/>
  <c r="F51" i="8"/>
  <c r="W51" i="8" s="1"/>
  <c r="W53" i="8" s="1"/>
  <c r="G51" i="8"/>
  <c r="L51" i="8"/>
  <c r="AC53" i="8" s="1"/>
  <c r="E53" i="8"/>
  <c r="H53" i="8"/>
  <c r="K53" i="8"/>
  <c r="C60" i="8"/>
  <c r="M12" i="13"/>
  <c r="N12" i="13" s="1"/>
  <c r="M13" i="13"/>
  <c r="N13" i="13" s="1"/>
  <c r="M14" i="13"/>
  <c r="N14" i="13" s="1"/>
  <c r="M15" i="13"/>
  <c r="N15" i="13" s="1"/>
  <c r="M16" i="13"/>
  <c r="N16" i="13" s="1"/>
  <c r="M17" i="13"/>
  <c r="M18" i="13"/>
  <c r="M19" i="13"/>
  <c r="N19" i="13" s="1"/>
  <c r="M20" i="13"/>
  <c r="N20" i="13" s="1"/>
  <c r="M26" i="13"/>
  <c r="N26" i="13"/>
  <c r="M27" i="13"/>
  <c r="N27" i="13" s="1"/>
  <c r="I28" i="13"/>
  <c r="I33" i="13" s="1"/>
  <c r="F29" i="13"/>
  <c r="M29" i="13"/>
  <c r="N29" i="13" s="1"/>
  <c r="M30" i="13"/>
  <c r="F31" i="13"/>
  <c r="I31" i="13"/>
  <c r="M31" i="13" s="1"/>
  <c r="N31" i="13" s="1"/>
  <c r="F32" i="13"/>
  <c r="M32" i="13" s="1"/>
  <c r="N32" i="13" s="1"/>
  <c r="I32" i="13"/>
  <c r="F33" i="13"/>
  <c r="F34" i="13"/>
  <c r="I34" i="13"/>
  <c r="I35" i="13"/>
  <c r="M35" i="13" s="1"/>
  <c r="N35" i="13" s="1"/>
  <c r="M36" i="13"/>
  <c r="N36" i="13"/>
  <c r="F37" i="13"/>
  <c r="M37" i="13" s="1"/>
  <c r="N37" i="13" s="1"/>
  <c r="F39" i="13"/>
  <c r="I39" i="13"/>
  <c r="M42" i="13"/>
  <c r="N42" i="13" s="1"/>
  <c r="F43" i="13"/>
  <c r="M43" i="13" s="1"/>
  <c r="N43" i="13" s="1"/>
  <c r="I43" i="13"/>
  <c r="I44" i="13"/>
  <c r="M44" i="13" s="1"/>
  <c r="N44" i="13"/>
  <c r="M45" i="13"/>
  <c r="N45" i="13" s="1"/>
  <c r="F47" i="13"/>
  <c r="I47" i="13"/>
  <c r="M47" i="13" s="1"/>
  <c r="N47" i="13" s="1"/>
  <c r="F48" i="13"/>
  <c r="M48" i="13" s="1"/>
  <c r="N48" i="13" s="1"/>
  <c r="F49" i="13"/>
  <c r="I49" i="13"/>
  <c r="M52" i="13"/>
  <c r="N52" i="13" s="1"/>
  <c r="M53" i="13"/>
  <c r="N53" i="13" s="1"/>
  <c r="M54" i="13"/>
  <c r="N54" i="13" s="1"/>
  <c r="M55" i="13"/>
  <c r="N55" i="13" s="1"/>
  <c r="M56" i="13"/>
  <c r="N56" i="13" s="1"/>
  <c r="M58" i="13"/>
  <c r="N58" i="13" s="1"/>
  <c r="M59" i="13"/>
  <c r="N59" i="13" s="1"/>
  <c r="F63" i="13"/>
  <c r="M63" i="13" s="1"/>
  <c r="N63" i="13" s="1"/>
  <c r="I63" i="13"/>
  <c r="M77" i="13"/>
  <c r="N77" i="13"/>
  <c r="M78" i="13"/>
  <c r="N78" i="13" s="1"/>
  <c r="M85" i="13"/>
  <c r="N85" i="13"/>
  <c r="M87" i="13"/>
  <c r="N87" i="13" s="1"/>
  <c r="M99" i="13"/>
  <c r="N99" i="13" s="1"/>
  <c r="E114" i="13"/>
  <c r="I95" i="13" s="1"/>
  <c r="F95" i="13" s="1"/>
  <c r="P12" i="12"/>
  <c r="Q12" i="12" s="1"/>
  <c r="P13" i="12"/>
  <c r="Q13" i="12" s="1"/>
  <c r="P14" i="12"/>
  <c r="Q14" i="12" s="1"/>
  <c r="P15" i="12"/>
  <c r="Q15" i="12"/>
  <c r="P16" i="12"/>
  <c r="Q16" i="12" s="1"/>
  <c r="P17" i="12"/>
  <c r="P18" i="12"/>
  <c r="P19" i="12"/>
  <c r="Q19" i="12" s="1"/>
  <c r="P20" i="12"/>
  <c r="Q20" i="12" s="1"/>
  <c r="I27" i="12"/>
  <c r="I32" i="12" s="1"/>
  <c r="L27" i="12"/>
  <c r="L43" i="12" s="1"/>
  <c r="I28" i="12"/>
  <c r="I92" i="12" s="1"/>
  <c r="L28" i="12"/>
  <c r="L33" i="12" s="1"/>
  <c r="F29" i="12"/>
  <c r="I29" i="12"/>
  <c r="I34" i="12" s="1"/>
  <c r="L29" i="12"/>
  <c r="L34" i="12" s="1"/>
  <c r="P30" i="12"/>
  <c r="F32" i="12"/>
  <c r="F33" i="12"/>
  <c r="F34" i="12"/>
  <c r="F35" i="12"/>
  <c r="I35" i="12"/>
  <c r="L35" i="12"/>
  <c r="F37" i="12"/>
  <c r="I37" i="12"/>
  <c r="L37" i="12"/>
  <c r="L39" i="12"/>
  <c r="L42" i="12"/>
  <c r="L49" i="12" s="1"/>
  <c r="F43" i="12"/>
  <c r="I44" i="12"/>
  <c r="F45" i="12"/>
  <c r="P45" i="12" s="1"/>
  <c r="Q45" i="12" s="1"/>
  <c r="F47" i="12"/>
  <c r="P52" i="12"/>
  <c r="Q52" i="12"/>
  <c r="P53" i="12"/>
  <c r="Q53" i="12" s="1"/>
  <c r="P54" i="12"/>
  <c r="Q54" i="12"/>
  <c r="P55" i="12"/>
  <c r="Q55" i="12" s="1"/>
  <c r="P56" i="12"/>
  <c r="Q56" i="12" s="1"/>
  <c r="P58" i="12"/>
  <c r="Q58" i="12" s="1"/>
  <c r="P59" i="12"/>
  <c r="Q59" i="12"/>
  <c r="L61" i="12"/>
  <c r="L62" i="12"/>
  <c r="L63" i="12"/>
  <c r="P89" i="12"/>
  <c r="Q89" i="12" s="1"/>
  <c r="L91" i="12"/>
  <c r="F92" i="12"/>
  <c r="P97" i="12"/>
  <c r="Q97" i="12" s="1"/>
  <c r="L98" i="12"/>
  <c r="P100" i="12"/>
  <c r="Q100" i="12" s="1"/>
  <c r="O12" i="3"/>
  <c r="P12" i="3" s="1"/>
  <c r="O13" i="3"/>
  <c r="P13" i="3" s="1"/>
  <c r="O14" i="3"/>
  <c r="P14" i="3" s="1"/>
  <c r="O15" i="3"/>
  <c r="P15" i="3"/>
  <c r="O16" i="3"/>
  <c r="P16" i="3" s="1"/>
  <c r="O17" i="3"/>
  <c r="P17" i="3" s="1"/>
  <c r="O18" i="3"/>
  <c r="P18" i="3" s="1"/>
  <c r="O19" i="3"/>
  <c r="P19" i="3" s="1"/>
  <c r="O20" i="3"/>
  <c r="P20" i="3" s="1"/>
  <c r="H27" i="3"/>
  <c r="H50" i="3" s="1"/>
  <c r="K27" i="3"/>
  <c r="E29" i="3"/>
  <c r="H29" i="3"/>
  <c r="H34" i="3" s="1"/>
  <c r="K29" i="3"/>
  <c r="K34" i="3" s="1"/>
  <c r="O30" i="3"/>
  <c r="P30" i="3" s="1"/>
  <c r="E32" i="3"/>
  <c r="E34" i="3"/>
  <c r="E35" i="3"/>
  <c r="O35" i="3" s="1"/>
  <c r="P35" i="3" s="1"/>
  <c r="H35" i="3"/>
  <c r="K35" i="3"/>
  <c r="E37" i="3"/>
  <c r="H37" i="3"/>
  <c r="O37" i="3" s="1"/>
  <c r="P37" i="3" s="1"/>
  <c r="K37" i="3"/>
  <c r="E43" i="3"/>
  <c r="E45" i="3"/>
  <c r="E48" i="3" s="1"/>
  <c r="E47" i="3"/>
  <c r="O53" i="3"/>
  <c r="P53" i="3" s="1"/>
  <c r="O55" i="3"/>
  <c r="P55" i="3" s="1"/>
  <c r="O56" i="3"/>
  <c r="P56" i="3" s="1"/>
  <c r="O58" i="3"/>
  <c r="P58" i="3" s="1"/>
  <c r="O59" i="3"/>
  <c r="P59" i="3"/>
  <c r="O66" i="3"/>
  <c r="P66" i="3" s="1"/>
  <c r="O79" i="3"/>
  <c r="P79" i="3"/>
  <c r="O80" i="3"/>
  <c r="P80" i="3" s="1"/>
  <c r="O81" i="3"/>
  <c r="P81" i="3" s="1"/>
  <c r="O89" i="3"/>
  <c r="P89" i="3" s="1"/>
  <c r="O97" i="3"/>
  <c r="P97" i="3" s="1"/>
  <c r="O101" i="3"/>
  <c r="P101" i="3" s="1"/>
  <c r="F26" i="9"/>
  <c r="F27" i="9"/>
  <c r="H27" i="9" s="1"/>
  <c r="F28" i="9"/>
  <c r="H28" i="9" s="1"/>
  <c r="I21" i="2"/>
  <c r="C57" i="2"/>
  <c r="F57" i="2" s="1"/>
  <c r="J57" i="2" s="1"/>
  <c r="C58" i="3" s="1"/>
  <c r="C62" i="2"/>
  <c r="F62" i="2" s="1"/>
  <c r="J62" i="2" s="1"/>
  <c r="C63" i="3" s="1"/>
  <c r="I102" i="2"/>
  <c r="H32" i="3"/>
  <c r="H43" i="3"/>
  <c r="M89" i="13"/>
  <c r="N89" i="13" s="1"/>
  <c r="M28" i="13"/>
  <c r="M90" i="13"/>
  <c r="N90" i="13" s="1"/>
  <c r="N16" i="68"/>
  <c r="O16" i="68" s="1"/>
  <c r="F48" i="12" l="1"/>
  <c r="P35" i="12"/>
  <c r="Q35" i="12" s="1"/>
  <c r="M33" i="13"/>
  <c r="N33" i="13" s="1"/>
  <c r="K60" i="39"/>
  <c r="K58" i="39"/>
  <c r="K56" i="39"/>
  <c r="K54" i="39"/>
  <c r="K52" i="39"/>
  <c r="K50" i="39"/>
  <c r="K48" i="39"/>
  <c r="K46" i="39"/>
  <c r="I77" i="39"/>
  <c r="K43" i="39"/>
  <c r="C77" i="39"/>
  <c r="I30" i="39"/>
  <c r="C30" i="39"/>
  <c r="H29" i="9"/>
  <c r="L92" i="12"/>
  <c r="F50" i="13"/>
  <c r="M50" i="13" s="1"/>
  <c r="N50" i="13" s="1"/>
  <c r="D28" i="28"/>
  <c r="D16" i="28"/>
  <c r="F31" i="33"/>
  <c r="F33" i="33"/>
  <c r="K44" i="39"/>
  <c r="H77" i="39"/>
  <c r="B77" i="39"/>
  <c r="D14" i="39"/>
  <c r="B30" i="39"/>
  <c r="C14" i="6"/>
  <c r="F28" i="28"/>
  <c r="F14" i="28"/>
  <c r="K59" i="39"/>
  <c r="K57" i="39"/>
  <c r="K55" i="39"/>
  <c r="K53" i="39"/>
  <c r="K51" i="39"/>
  <c r="K49" i="39"/>
  <c r="K47" i="39"/>
  <c r="F77" i="39"/>
  <c r="N30" i="39"/>
  <c r="H30" i="39"/>
  <c r="O54" i="68"/>
  <c r="N63" i="68"/>
  <c r="O21" i="68"/>
  <c r="N38" i="68"/>
  <c r="AC29" i="8"/>
  <c r="K45" i="39"/>
  <c r="E77" i="39"/>
  <c r="M30" i="39"/>
  <c r="AB29" i="8"/>
  <c r="P23" i="68"/>
  <c r="P26" i="68"/>
  <c r="T26" i="68" s="1"/>
  <c r="P21" i="68"/>
  <c r="T21" i="68" s="1"/>
  <c r="K53" i="32"/>
  <c r="F89" i="31"/>
  <c r="H89" i="31" s="1"/>
  <c r="L24" i="34"/>
  <c r="O40" i="31"/>
  <c r="F49" i="31"/>
  <c r="H49" i="31" s="1"/>
  <c r="O65" i="31"/>
  <c r="Q65" i="31" s="1"/>
  <c r="X29" i="31"/>
  <c r="Z29" i="31" s="1"/>
  <c r="F10" i="31"/>
  <c r="H10" i="31" s="1"/>
  <c r="L49" i="31"/>
  <c r="L53" i="31"/>
  <c r="N53" i="31" s="1"/>
  <c r="U31" i="31"/>
  <c r="L46" i="31"/>
  <c r="K44" i="37" s="1"/>
  <c r="N44" i="37" s="1"/>
  <c r="P44" i="37" s="1"/>
  <c r="U88" i="31"/>
  <c r="W88" i="31" s="1"/>
  <c r="U50" i="31"/>
  <c r="L32" i="31"/>
  <c r="N32" i="31" s="1"/>
  <c r="S32" i="31" s="1"/>
  <c r="L29" i="31"/>
  <c r="K28" i="37" s="1"/>
  <c r="L38" i="31"/>
  <c r="K36" i="37" s="1"/>
  <c r="L42" i="31"/>
  <c r="S83" i="37"/>
  <c r="L55" i="31"/>
  <c r="U56" i="31"/>
  <c r="S54" i="37" s="1"/>
  <c r="V54" i="37" s="1"/>
  <c r="X54" i="37" s="1"/>
  <c r="L31" i="31"/>
  <c r="L61" i="31"/>
  <c r="U48" i="31"/>
  <c r="AA48" i="31" s="1"/>
  <c r="C43" i="16" s="1"/>
  <c r="L43" i="31"/>
  <c r="N43" i="31" s="1"/>
  <c r="U13" i="31"/>
  <c r="W13" i="31" s="1"/>
  <c r="AF43" i="47"/>
  <c r="U58" i="31"/>
  <c r="U29" i="31"/>
  <c r="U44" i="31"/>
  <c r="L37" i="31"/>
  <c r="N37" i="31" s="1"/>
  <c r="S37" i="31" s="1"/>
  <c r="U61" i="31"/>
  <c r="L11" i="31"/>
  <c r="N11" i="31" s="1"/>
  <c r="U18" i="31"/>
  <c r="S19" i="37" s="1"/>
  <c r="V19" i="37" s="1"/>
  <c r="X19" i="37" s="1"/>
  <c r="L86" i="31"/>
  <c r="L65" i="31"/>
  <c r="K63" i="37" s="1"/>
  <c r="N63" i="37" s="1"/>
  <c r="P63" i="37" s="1"/>
  <c r="U60" i="31"/>
  <c r="L45" i="31"/>
  <c r="L62" i="31"/>
  <c r="N62" i="31" s="1"/>
  <c r="U14" i="31"/>
  <c r="U19" i="31"/>
  <c r="S20" i="37" s="1"/>
  <c r="U20" i="37" s="1"/>
  <c r="U35" i="31"/>
  <c r="S33" i="37" s="1"/>
  <c r="V33" i="37" s="1"/>
  <c r="X33" i="37" s="1"/>
  <c r="L41" i="31"/>
  <c r="K39" i="37" s="1"/>
  <c r="M39" i="37" s="1"/>
  <c r="L88" i="31"/>
  <c r="N88" i="31" s="1"/>
  <c r="U49" i="31"/>
  <c r="C86" i="31"/>
  <c r="E86" i="31" s="1"/>
  <c r="L57" i="31"/>
  <c r="N57" i="31" s="1"/>
  <c r="U53" i="31"/>
  <c r="L50" i="31"/>
  <c r="K48" i="37" s="1"/>
  <c r="N48" i="37" s="1"/>
  <c r="P48" i="37" s="1"/>
  <c r="L60" i="31"/>
  <c r="N60" i="31" s="1"/>
  <c r="U47" i="31"/>
  <c r="U21" i="31"/>
  <c r="S22" i="37" s="1"/>
  <c r="U20" i="31"/>
  <c r="L19" i="31"/>
  <c r="K20" i="37" s="1"/>
  <c r="U55" i="31"/>
  <c r="L63" i="31"/>
  <c r="K61" i="37" s="1"/>
  <c r="M61" i="37" s="1"/>
  <c r="U41" i="31"/>
  <c r="S39" i="37" s="1"/>
  <c r="V39" i="37" s="1"/>
  <c r="X39" i="37" s="1"/>
  <c r="U40" i="31"/>
  <c r="AA40" i="31" s="1"/>
  <c r="L58" i="31"/>
  <c r="N58" i="31" s="1"/>
  <c r="L64" i="31"/>
  <c r="AF157" i="47"/>
  <c r="L17" i="31"/>
  <c r="N17" i="31" s="1"/>
  <c r="L35" i="31"/>
  <c r="N35" i="31" s="1"/>
  <c r="L40" i="31"/>
  <c r="U37" i="31"/>
  <c r="W37" i="31" s="1"/>
  <c r="AB37" i="31" s="1"/>
  <c r="L89" i="31"/>
  <c r="N89" i="31" s="1"/>
  <c r="L54" i="31"/>
  <c r="N54" i="31" s="1"/>
  <c r="U63" i="31"/>
  <c r="L59" i="31"/>
  <c r="U46" i="31"/>
  <c r="W46" i="31" s="1"/>
  <c r="AB46" i="31" s="1"/>
  <c r="U11" i="31"/>
  <c r="W11" i="31" s="1"/>
  <c r="U64" i="31"/>
  <c r="W64" i="31" s="1"/>
  <c r="U62" i="31"/>
  <c r="W62" i="31" s="1"/>
  <c r="L47" i="31"/>
  <c r="N47" i="31" s="1"/>
  <c r="U42" i="31"/>
  <c r="S40" i="37" s="1"/>
  <c r="V40" i="37" s="1"/>
  <c r="X40" i="37" s="1"/>
  <c r="AF235" i="47"/>
  <c r="C89" i="31"/>
  <c r="U43" i="31"/>
  <c r="U57" i="31"/>
  <c r="L26" i="31"/>
  <c r="U89" i="31"/>
  <c r="U54" i="31"/>
  <c r="U59" i="31"/>
  <c r="L44" i="31"/>
  <c r="L10" i="31"/>
  <c r="K11" i="37" s="1"/>
  <c r="M11" i="37" s="1"/>
  <c r="AF37" i="47"/>
  <c r="L18" i="31"/>
  <c r="K19" i="37" s="1"/>
  <c r="M19" i="37" s="1"/>
  <c r="K83" i="37"/>
  <c r="N83" i="37" s="1"/>
  <c r="P83" i="37" s="1"/>
  <c r="U86" i="31"/>
  <c r="W86" i="31" s="1"/>
  <c r="AB86" i="31" s="1"/>
  <c r="AF220" i="47"/>
  <c r="L56" i="31"/>
  <c r="U65" i="31"/>
  <c r="S63" i="37" s="1"/>
  <c r="U32" i="31"/>
  <c r="S30" i="37" s="1"/>
  <c r="L48" i="31"/>
  <c r="U45" i="31"/>
  <c r="W45" i="31" s="1"/>
  <c r="U26" i="31"/>
  <c r="L13" i="31"/>
  <c r="K14" i="37" s="1"/>
  <c r="N14" i="37" s="1"/>
  <c r="P14" i="37" s="1"/>
  <c r="U10" i="31"/>
  <c r="S11" i="37" s="1"/>
  <c r="U11" i="37" s="1"/>
  <c r="L20" i="31"/>
  <c r="O42" i="31"/>
  <c r="X41" i="31"/>
  <c r="Z41" i="31" s="1"/>
  <c r="O41" i="31"/>
  <c r="Q41" i="31" s="1"/>
  <c r="X89" i="31"/>
  <c r="Z89" i="31" s="1"/>
  <c r="O89" i="31"/>
  <c r="O91" i="31" s="1"/>
  <c r="F87" i="31"/>
  <c r="H87" i="31" s="1"/>
  <c r="F86" i="31"/>
  <c r="X58" i="31"/>
  <c r="O58" i="31"/>
  <c r="F58" i="31"/>
  <c r="H58" i="31" s="1"/>
  <c r="X55" i="31"/>
  <c r="Z55" i="31" s="1"/>
  <c r="O55" i="31"/>
  <c r="Q55" i="31" s="1"/>
  <c r="F55" i="31"/>
  <c r="H55" i="31" s="1"/>
  <c r="X57" i="31"/>
  <c r="Z57" i="31" s="1"/>
  <c r="O57" i="31"/>
  <c r="F57" i="31"/>
  <c r="H57" i="31" s="1"/>
  <c r="X54" i="31"/>
  <c r="O54" i="31"/>
  <c r="Q54" i="31" s="1"/>
  <c r="F54" i="31"/>
  <c r="H54" i="31" s="1"/>
  <c r="F56" i="31"/>
  <c r="H56" i="31" s="1"/>
  <c r="F53" i="31"/>
  <c r="H53" i="31" s="1"/>
  <c r="F63" i="31"/>
  <c r="H63" i="31" s="1"/>
  <c r="F65" i="31"/>
  <c r="H65" i="31" s="1"/>
  <c r="X42" i="31"/>
  <c r="Z42" i="31" s="1"/>
  <c r="F42" i="31"/>
  <c r="H42" i="31" s="1"/>
  <c r="F41" i="31"/>
  <c r="F40" i="31"/>
  <c r="H40" i="31" s="1"/>
  <c r="F37" i="31"/>
  <c r="H37" i="31" s="1"/>
  <c r="X62" i="31"/>
  <c r="Z62" i="31" s="1"/>
  <c r="O62" i="31"/>
  <c r="Q62" i="31" s="1"/>
  <c r="F62" i="31"/>
  <c r="H62" i="31" s="1"/>
  <c r="X31" i="31"/>
  <c r="Z31" i="31" s="1"/>
  <c r="O31" i="31"/>
  <c r="Q31" i="31" s="1"/>
  <c r="F31" i="31"/>
  <c r="H31" i="31" s="1"/>
  <c r="X50" i="31"/>
  <c r="AA50" i="31" s="1"/>
  <c r="C45" i="16" s="1"/>
  <c r="J45" i="16" s="1"/>
  <c r="O50" i="31"/>
  <c r="Q50" i="31" s="1"/>
  <c r="F50" i="31"/>
  <c r="H50" i="31" s="1"/>
  <c r="AF75" i="31"/>
  <c r="O29" i="31"/>
  <c r="F29" i="31"/>
  <c r="X61" i="31"/>
  <c r="O61" i="31"/>
  <c r="Q61" i="31" s="1"/>
  <c r="F61" i="31"/>
  <c r="H61" i="31" s="1"/>
  <c r="X60" i="31"/>
  <c r="Z60" i="31" s="1"/>
  <c r="O60" i="31"/>
  <c r="Q60" i="31" s="1"/>
  <c r="F60" i="31"/>
  <c r="H60" i="31" s="1"/>
  <c r="F59" i="31"/>
  <c r="H59" i="31" s="1"/>
  <c r="F48" i="31"/>
  <c r="X47" i="31"/>
  <c r="Z47" i="31" s="1"/>
  <c r="F47" i="31"/>
  <c r="H47" i="31" s="1"/>
  <c r="X45" i="31"/>
  <c r="AA45" i="31" s="1"/>
  <c r="F45" i="31"/>
  <c r="H45" i="31" s="1"/>
  <c r="F44" i="31"/>
  <c r="H44" i="31" s="1"/>
  <c r="X43" i="31"/>
  <c r="O43" i="31"/>
  <c r="Q43" i="31" s="1"/>
  <c r="F43" i="31"/>
  <c r="H43" i="31" s="1"/>
  <c r="X26" i="31"/>
  <c r="O26" i="31"/>
  <c r="F26" i="31"/>
  <c r="H26" i="31" s="1"/>
  <c r="X11" i="31"/>
  <c r="Z11" i="31" s="1"/>
  <c r="O11" i="31"/>
  <c r="Q11" i="31" s="1"/>
  <c r="F11" i="31"/>
  <c r="H11" i="31" s="1"/>
  <c r="F21" i="31"/>
  <c r="F20" i="31"/>
  <c r="X17" i="31"/>
  <c r="Z17" i="31" s="1"/>
  <c r="O16" i="31"/>
  <c r="O15" i="31"/>
  <c r="Q15" i="31" s="1"/>
  <c r="F13" i="31"/>
  <c r="H13" i="31" s="1"/>
  <c r="X12" i="31"/>
  <c r="Z12" i="31" s="1"/>
  <c r="O12" i="31"/>
  <c r="Q12" i="31" s="1"/>
  <c r="N35" i="32"/>
  <c r="N39" i="32"/>
  <c r="C33" i="2"/>
  <c r="F33" i="2" s="1"/>
  <c r="J33" i="2" s="1"/>
  <c r="C34" i="3" s="1"/>
  <c r="C49" i="2"/>
  <c r="F49" i="2" s="1"/>
  <c r="J49" i="2" s="1"/>
  <c r="C50" i="3" s="1"/>
  <c r="U34" i="49"/>
  <c r="D215" i="7"/>
  <c r="C70" i="2"/>
  <c r="F70" i="2" s="1"/>
  <c r="J70" i="2" s="1"/>
  <c r="C71" i="3" s="1"/>
  <c r="D202" i="7"/>
  <c r="D220" i="7"/>
  <c r="D154" i="7"/>
  <c r="D200" i="7"/>
  <c r="C64" i="2"/>
  <c r="F64" i="2" s="1"/>
  <c r="D219" i="7"/>
  <c r="C88" i="2"/>
  <c r="F88" i="2" s="1"/>
  <c r="J88" i="2" s="1"/>
  <c r="C89" i="3" s="1"/>
  <c r="D185" i="7"/>
  <c r="C68" i="2"/>
  <c r="F68" i="2" s="1"/>
  <c r="J68" i="2" s="1"/>
  <c r="C69" i="3" s="1"/>
  <c r="D122" i="7"/>
  <c r="D217" i="7"/>
  <c r="C11" i="2"/>
  <c r="F11" i="2" s="1"/>
  <c r="D218" i="7"/>
  <c r="C54" i="2"/>
  <c r="F54" i="2" s="1"/>
  <c r="J54" i="2" s="1"/>
  <c r="C55" i="3" s="1"/>
  <c r="D152" i="7"/>
  <c r="M99" i="46"/>
  <c r="H47" i="30"/>
  <c r="C58" i="31"/>
  <c r="E58" i="31" s="1"/>
  <c r="AF223" i="47"/>
  <c r="C40" i="31"/>
  <c r="E40" i="31" s="1"/>
  <c r="AF265" i="47"/>
  <c r="C88" i="31"/>
  <c r="E88" i="31" s="1"/>
  <c r="J88" i="31" s="1"/>
  <c r="AF238" i="47"/>
  <c r="C62" i="31"/>
  <c r="I62" i="31" s="1"/>
  <c r="C66" i="100" s="1"/>
  <c r="E66" i="100" s="1"/>
  <c r="AF172" i="47"/>
  <c r="C29" i="31"/>
  <c r="E29" i="31" s="1"/>
  <c r="AF145" i="47"/>
  <c r="C47" i="31"/>
  <c r="E47" i="31" s="1"/>
  <c r="AF130" i="47"/>
  <c r="Q51" i="47"/>
  <c r="R51" i="47" s="1"/>
  <c r="R54" i="47"/>
  <c r="C57" i="31"/>
  <c r="C55" i="37" s="1"/>
  <c r="F55" i="37" s="1"/>
  <c r="H55" i="37" s="1"/>
  <c r="AF217" i="47"/>
  <c r="C31" i="31"/>
  <c r="C29" i="37" s="1"/>
  <c r="E29" i="37" s="1"/>
  <c r="AF169" i="47"/>
  <c r="C46" i="31"/>
  <c r="C44" i="37" s="1"/>
  <c r="F44" i="37" s="1"/>
  <c r="H44" i="37" s="1"/>
  <c r="AF127" i="47"/>
  <c r="C32" i="31"/>
  <c r="I32" i="31" s="1"/>
  <c r="C33" i="100" s="1"/>
  <c r="AF151" i="47"/>
  <c r="C48" i="31"/>
  <c r="I48" i="31" s="1"/>
  <c r="C51" i="100" s="1"/>
  <c r="E51" i="100" s="1"/>
  <c r="AF133" i="47"/>
  <c r="C54" i="31"/>
  <c r="E54" i="31" s="1"/>
  <c r="AF214" i="47"/>
  <c r="C49" i="31"/>
  <c r="AF229" i="47"/>
  <c r="C56" i="31"/>
  <c r="AF211" i="47"/>
  <c r="C60" i="31"/>
  <c r="C58" i="37" s="1"/>
  <c r="F58" i="37" s="1"/>
  <c r="H58" i="37" s="1"/>
  <c r="AF139" i="47"/>
  <c r="C44" i="31"/>
  <c r="E44" i="31" s="1"/>
  <c r="AF121" i="47"/>
  <c r="C26" i="31"/>
  <c r="C25" i="37" s="1"/>
  <c r="F25" i="37" s="1"/>
  <c r="H25" i="37" s="1"/>
  <c r="AF82" i="47"/>
  <c r="C45" i="31"/>
  <c r="C43" i="37" s="1"/>
  <c r="AF124" i="47"/>
  <c r="C35" i="31"/>
  <c r="E35" i="31" s="1"/>
  <c r="AF250" i="47"/>
  <c r="C37" i="31"/>
  <c r="C35" i="37" s="1"/>
  <c r="AF253" i="47"/>
  <c r="C82" i="37"/>
  <c r="F82" i="37" s="1"/>
  <c r="H82" i="37" s="1"/>
  <c r="C53" i="31"/>
  <c r="E53" i="31" s="1"/>
  <c r="AF208" i="47"/>
  <c r="C59" i="31"/>
  <c r="E59" i="31" s="1"/>
  <c r="AF136" i="47"/>
  <c r="C43" i="31"/>
  <c r="I43" i="31" s="1"/>
  <c r="C46" i="100" s="1"/>
  <c r="E46" i="100" s="1"/>
  <c r="AF118" i="47"/>
  <c r="C83" i="37"/>
  <c r="F83" i="37" s="1"/>
  <c r="H83" i="37" s="1"/>
  <c r="AF232" i="47"/>
  <c r="C61" i="31"/>
  <c r="E61" i="31" s="1"/>
  <c r="AF142" i="47"/>
  <c r="C55" i="31"/>
  <c r="E55" i="31" s="1"/>
  <c r="C63" i="31"/>
  <c r="E63" i="31" s="1"/>
  <c r="AF205" i="47"/>
  <c r="C41" i="31"/>
  <c r="AF268" i="47"/>
  <c r="C64" i="31"/>
  <c r="E64" i="31" s="1"/>
  <c r="AF199" i="47"/>
  <c r="C50" i="31"/>
  <c r="E50" i="31" s="1"/>
  <c r="AF166" i="47"/>
  <c r="C42" i="31"/>
  <c r="C40" i="37" s="1"/>
  <c r="AF271" i="47"/>
  <c r="AF226" i="47"/>
  <c r="C65" i="31"/>
  <c r="AF202" i="47"/>
  <c r="AD57" i="47"/>
  <c r="X10" i="31" s="1"/>
  <c r="Z10" i="31" s="1"/>
  <c r="AC54" i="47"/>
  <c r="C20" i="31"/>
  <c r="E20" i="31" s="1"/>
  <c r="AF34" i="47"/>
  <c r="C12" i="31"/>
  <c r="E12" i="31" s="1"/>
  <c r="AF10" i="47"/>
  <c r="C17" i="31"/>
  <c r="C18" i="37" s="1"/>
  <c r="F18" i="37" s="1"/>
  <c r="H18" i="37" s="1"/>
  <c r="AF25" i="47"/>
  <c r="C11" i="31"/>
  <c r="AF58" i="47"/>
  <c r="C19" i="31"/>
  <c r="C20" i="37" s="1"/>
  <c r="F20" i="37" s="1"/>
  <c r="H20" i="37" s="1"/>
  <c r="AF31" i="47"/>
  <c r="C16" i="31"/>
  <c r="C17" i="37" s="1"/>
  <c r="F17" i="37" s="1"/>
  <c r="H17" i="37" s="1"/>
  <c r="AF22" i="47"/>
  <c r="C10" i="31"/>
  <c r="E10" i="31" s="1"/>
  <c r="AF55" i="47"/>
  <c r="C18" i="31"/>
  <c r="C19" i="37" s="1"/>
  <c r="F19" i="37" s="1"/>
  <c r="H19" i="37" s="1"/>
  <c r="AF28" i="47"/>
  <c r="E50" i="3"/>
  <c r="E76" i="3"/>
  <c r="O76" i="3" s="1"/>
  <c r="P76" i="3" s="1"/>
  <c r="M49" i="13"/>
  <c r="N49" i="13" s="1"/>
  <c r="Y53" i="8"/>
  <c r="G28" i="28"/>
  <c r="F51" i="30"/>
  <c r="F27" i="6"/>
  <c r="L99" i="46"/>
  <c r="N99" i="46" s="1"/>
  <c r="I33" i="12"/>
  <c r="D27" i="6"/>
  <c r="Q329" i="68"/>
  <c r="Y29" i="8"/>
  <c r="H47" i="3"/>
  <c r="F53" i="8"/>
  <c r="E16" i="28"/>
  <c r="J24" i="38"/>
  <c r="Q95" i="46"/>
  <c r="P97" i="46" s="1"/>
  <c r="L75" i="46"/>
  <c r="Q73" i="68"/>
  <c r="V29" i="8"/>
  <c r="P31" i="49"/>
  <c r="U12" i="25" s="1"/>
  <c r="P35" i="48"/>
  <c r="V12" i="25" s="1"/>
  <c r="Q290" i="68"/>
  <c r="R29" i="47"/>
  <c r="R33" i="47"/>
  <c r="N18" i="31"/>
  <c r="J42" i="32"/>
  <c r="K42" i="32" s="1"/>
  <c r="P16" i="32" s="1"/>
  <c r="Q16" i="32" s="1"/>
  <c r="J44" i="32"/>
  <c r="K44" i="32" s="1"/>
  <c r="P18" i="32" s="1"/>
  <c r="Q18" i="32" s="1"/>
  <c r="R18" i="32" s="1"/>
  <c r="C21" i="40" s="1"/>
  <c r="D21" i="40" s="1"/>
  <c r="N38" i="32"/>
  <c r="J48" i="32"/>
  <c r="K48" i="32" s="1"/>
  <c r="P22" i="32" s="1"/>
  <c r="Q22" i="32" s="1"/>
  <c r="Q38" i="32" s="1"/>
  <c r="K43" i="32"/>
  <c r="P17" i="32" s="1"/>
  <c r="Q17" i="32" s="1"/>
  <c r="R17" i="32" s="1"/>
  <c r="C20" i="40" s="1"/>
  <c r="D20" i="40" s="1"/>
  <c r="J38" i="32"/>
  <c r="K38" i="32" s="1"/>
  <c r="P12" i="32" s="1"/>
  <c r="Q12" i="32" s="1"/>
  <c r="K47" i="32"/>
  <c r="P21" i="32" s="1"/>
  <c r="Q21" i="32" s="1"/>
  <c r="R21" i="32" s="1"/>
  <c r="C24" i="40" s="1"/>
  <c r="D24" i="40" s="1"/>
  <c r="K46" i="32"/>
  <c r="P20" i="32" s="1"/>
  <c r="Q20" i="32" s="1"/>
  <c r="R20" i="32" s="1"/>
  <c r="C23" i="40" s="1"/>
  <c r="D23" i="40" s="1"/>
  <c r="K49" i="32"/>
  <c r="P23" i="32" s="1"/>
  <c r="Q23" i="32" s="1"/>
  <c r="R23" i="32" s="1"/>
  <c r="C26" i="40" s="1"/>
  <c r="D26" i="40" s="1"/>
  <c r="Q51" i="38"/>
  <c r="R51" i="38"/>
  <c r="F10" i="28"/>
  <c r="H43" i="30"/>
  <c r="M75" i="46"/>
  <c r="Q40" i="30"/>
  <c r="O51" i="30"/>
  <c r="N51" i="30"/>
  <c r="H40" i="30"/>
  <c r="L28" i="30"/>
  <c r="C80" i="2"/>
  <c r="F80" i="2" s="1"/>
  <c r="J80" i="2" s="1"/>
  <c r="C81" i="3" s="1"/>
  <c r="L81" i="3" s="1"/>
  <c r="P34" i="12"/>
  <c r="Q34" i="12" s="1"/>
  <c r="M83" i="37"/>
  <c r="Q83" i="37" s="1"/>
  <c r="U54" i="37"/>
  <c r="Y54" i="37" s="1"/>
  <c r="Q103" i="47"/>
  <c r="L87" i="31"/>
  <c r="R87" i="31" s="1"/>
  <c r="R57" i="47"/>
  <c r="E34" i="37"/>
  <c r="U69" i="31"/>
  <c r="S67" i="37" s="1"/>
  <c r="U67" i="37" s="1"/>
  <c r="Q110" i="47"/>
  <c r="X69" i="31"/>
  <c r="Z69" i="31" s="1"/>
  <c r="C70" i="31"/>
  <c r="E70" i="31" s="1"/>
  <c r="K84" i="37"/>
  <c r="N84" i="37" s="1"/>
  <c r="P84" i="37" s="1"/>
  <c r="U70" i="31"/>
  <c r="W70" i="31" s="1"/>
  <c r="N19" i="31"/>
  <c r="S19" i="31" s="1"/>
  <c r="C87" i="31"/>
  <c r="E87" i="31" s="1"/>
  <c r="Q19" i="47"/>
  <c r="R19" i="47" s="1"/>
  <c r="L70" i="31"/>
  <c r="K68" i="37" s="1"/>
  <c r="N68" i="37" s="1"/>
  <c r="P68" i="37" s="1"/>
  <c r="Q115" i="47"/>
  <c r="P27" i="32"/>
  <c r="Q27" i="32" s="1"/>
  <c r="R27" i="32" s="1"/>
  <c r="C30" i="40" s="1"/>
  <c r="D30" i="40" s="1"/>
  <c r="H27" i="6"/>
  <c r="J26" i="28"/>
  <c r="E14" i="6"/>
  <c r="F10" i="6"/>
  <c r="F16" i="28"/>
  <c r="G12" i="28" s="1"/>
  <c r="G26" i="26" s="1"/>
  <c r="D14" i="6"/>
  <c r="F14" i="6" s="1"/>
  <c r="P34" i="48"/>
  <c r="Q45" i="30"/>
  <c r="H44" i="30"/>
  <c r="G54" i="39"/>
  <c r="G50" i="39"/>
  <c r="J43" i="39"/>
  <c r="P37" i="12"/>
  <c r="Q37" i="12" s="1"/>
  <c r="P29" i="12"/>
  <c r="Q29" i="12" s="1"/>
  <c r="P33" i="12"/>
  <c r="Q33" i="12" s="1"/>
  <c r="C73" i="2"/>
  <c r="F73" i="2" s="1"/>
  <c r="J73" i="2" s="1"/>
  <c r="C74" i="3" s="1"/>
  <c r="D126" i="7"/>
  <c r="Q337" i="68"/>
  <c r="L357" i="68"/>
  <c r="O46" i="68"/>
  <c r="Q63" i="68"/>
  <c r="Q283" i="68"/>
  <c r="Q244" i="68"/>
  <c r="Q214" i="68"/>
  <c r="O294" i="68"/>
  <c r="V294" i="68" s="1"/>
  <c r="V298" i="68" s="1"/>
  <c r="P310" i="68"/>
  <c r="R310" i="68" s="1"/>
  <c r="V310" i="68" s="1"/>
  <c r="W310" i="68" s="1"/>
  <c r="Y310" i="68" s="1"/>
  <c r="Q19" i="68"/>
  <c r="R19" i="68" s="1"/>
  <c r="O25" i="68"/>
  <c r="Q71" i="46"/>
  <c r="N73" i="46" s="1"/>
  <c r="Q20" i="68"/>
  <c r="P153" i="68"/>
  <c r="T153" i="68" s="1"/>
  <c r="J29" i="9"/>
  <c r="J30" i="9" s="1"/>
  <c r="E47" i="43"/>
  <c r="E45" i="43"/>
  <c r="E46" i="43"/>
  <c r="D59" i="25"/>
  <c r="E57" i="25" s="1"/>
  <c r="G13" i="25" s="1"/>
  <c r="E35" i="43"/>
  <c r="G19" i="41"/>
  <c r="J48" i="39"/>
  <c r="C100" i="2"/>
  <c r="F100" i="2" s="1"/>
  <c r="D207" i="7"/>
  <c r="F21" i="41"/>
  <c r="F23" i="41" s="1"/>
  <c r="H74" i="9" s="1"/>
  <c r="D206" i="7"/>
  <c r="M63" i="37"/>
  <c r="Q63" i="37" s="1"/>
  <c r="U40" i="37"/>
  <c r="Y40" i="37" s="1"/>
  <c r="N61" i="37"/>
  <c r="P61" i="37" s="1"/>
  <c r="Q61" i="37" s="1"/>
  <c r="F24" i="34"/>
  <c r="H17" i="33"/>
  <c r="H22" i="33" s="1"/>
  <c r="R25" i="32"/>
  <c r="C28" i="40" s="1"/>
  <c r="D28" i="40" s="1"/>
  <c r="P163" i="68"/>
  <c r="R163" i="68" s="1"/>
  <c r="V235" i="68"/>
  <c r="W235" i="68" s="1"/>
  <c r="Y235" i="68" s="1"/>
  <c r="V155" i="68"/>
  <c r="W155" i="68" s="1"/>
  <c r="Y155" i="68" s="1"/>
  <c r="V129" i="68"/>
  <c r="W129" i="68" s="1"/>
  <c r="Y129" i="68" s="1"/>
  <c r="W60" i="31"/>
  <c r="S58" i="37"/>
  <c r="V63" i="37"/>
  <c r="X63" i="37" s="1"/>
  <c r="U63" i="37"/>
  <c r="W49" i="31"/>
  <c r="S47" i="37"/>
  <c r="W32" i="31"/>
  <c r="AB32" i="31" s="1"/>
  <c r="W63" i="31"/>
  <c r="AB63" i="31" s="1"/>
  <c r="S61" i="37"/>
  <c r="N45" i="31"/>
  <c r="K43" i="37"/>
  <c r="N56" i="31"/>
  <c r="S56" i="31" s="1"/>
  <c r="K54" i="37"/>
  <c r="N54" i="37" s="1"/>
  <c r="P54" i="37" s="1"/>
  <c r="W44" i="31"/>
  <c r="AB44" i="31" s="1"/>
  <c r="S42" i="37"/>
  <c r="V22" i="37"/>
  <c r="X22" i="37" s="1"/>
  <c r="U22" i="37"/>
  <c r="L69" i="31"/>
  <c r="K67" i="37" s="1"/>
  <c r="W29" i="31"/>
  <c r="S28" i="37"/>
  <c r="W43" i="31"/>
  <c r="S41" i="37"/>
  <c r="W20" i="31"/>
  <c r="S21" i="37"/>
  <c r="U87" i="31"/>
  <c r="W87" i="31" s="1"/>
  <c r="AB87" i="31" s="1"/>
  <c r="I89" i="31"/>
  <c r="C84" i="37"/>
  <c r="S82" i="37"/>
  <c r="V82" i="37" s="1"/>
  <c r="X82" i="37" s="1"/>
  <c r="R195" i="47"/>
  <c r="N20" i="31"/>
  <c r="K21" i="37"/>
  <c r="N49" i="31"/>
  <c r="S49" i="31" s="1"/>
  <c r="K47" i="37"/>
  <c r="N44" i="31"/>
  <c r="K42" i="37"/>
  <c r="X261" i="47"/>
  <c r="W59" i="31"/>
  <c r="AB59" i="31" s="1"/>
  <c r="S57" i="37"/>
  <c r="N48" i="31"/>
  <c r="K46" i="37"/>
  <c r="N19" i="37"/>
  <c r="P19" i="37" s="1"/>
  <c r="Q87" i="47"/>
  <c r="Q28" i="47"/>
  <c r="R28" i="47" s="1"/>
  <c r="M48" i="37"/>
  <c r="Q48" i="37" s="1"/>
  <c r="N86" i="31"/>
  <c r="K82" i="37"/>
  <c r="N82" i="37" s="1"/>
  <c r="W53" i="31"/>
  <c r="S51" i="37"/>
  <c r="N59" i="31"/>
  <c r="K57" i="37"/>
  <c r="W47" i="31"/>
  <c r="AB47" i="31" s="1"/>
  <c r="S45" i="37"/>
  <c r="V20" i="37"/>
  <c r="X20" i="37" s="1"/>
  <c r="N64" i="31"/>
  <c r="S64" i="31" s="1"/>
  <c r="K62" i="37"/>
  <c r="P104" i="47"/>
  <c r="N20" i="37"/>
  <c r="P20" i="37" s="1"/>
  <c r="M20" i="37"/>
  <c r="I27" i="6"/>
  <c r="I28" i="28"/>
  <c r="H28" i="28"/>
  <c r="G27" i="6"/>
  <c r="J22" i="28"/>
  <c r="C28" i="28"/>
  <c r="J10" i="6"/>
  <c r="F12" i="6"/>
  <c r="F16" i="6"/>
  <c r="E51" i="30"/>
  <c r="Q48" i="30"/>
  <c r="H48" i="30"/>
  <c r="E21" i="36"/>
  <c r="C22" i="36"/>
  <c r="E22" i="36" s="1"/>
  <c r="Q44" i="30"/>
  <c r="E20" i="36"/>
  <c r="Q43" i="30"/>
  <c r="E19" i="36"/>
  <c r="G51" i="30"/>
  <c r="E17" i="36"/>
  <c r="E16" i="36"/>
  <c r="Q39" i="30"/>
  <c r="H38" i="30"/>
  <c r="H26" i="30"/>
  <c r="AE35" i="48"/>
  <c r="AE39" i="48" s="1"/>
  <c r="AC35" i="48"/>
  <c r="AC39" i="48" s="1"/>
  <c r="AG35" i="48"/>
  <c r="AG39" i="48" s="1"/>
  <c r="AI35" i="48"/>
  <c r="AI39" i="48" s="1"/>
  <c r="AA35" i="48"/>
  <c r="AA39" i="48" s="1"/>
  <c r="Y35" i="48"/>
  <c r="Y39" i="48" s="1"/>
  <c r="U35" i="48"/>
  <c r="U39" i="48" s="1"/>
  <c r="V39" i="48" s="1"/>
  <c r="X70" i="31"/>
  <c r="Z70" i="31" s="1"/>
  <c r="Q197" i="47"/>
  <c r="Q272" i="47" s="1"/>
  <c r="R272" i="47" s="1"/>
  <c r="Q183" i="47"/>
  <c r="Q255" i="47" s="1"/>
  <c r="R255" i="47" s="1"/>
  <c r="R42" i="47"/>
  <c r="Q98" i="47"/>
  <c r="R270" i="47"/>
  <c r="Q185" i="47"/>
  <c r="F19" i="31"/>
  <c r="H19" i="31" s="1"/>
  <c r="AD261" i="47"/>
  <c r="Q187" i="47"/>
  <c r="Q265" i="47" s="1"/>
  <c r="R265" i="47" s="1"/>
  <c r="Q99" i="47"/>
  <c r="Q189" i="47"/>
  <c r="R11" i="47"/>
  <c r="Q194" i="47"/>
  <c r="Q269" i="47" s="1"/>
  <c r="R269" i="47" s="1"/>
  <c r="Q88" i="47"/>
  <c r="R43" i="47" s="1"/>
  <c r="Q188" i="47"/>
  <c r="O69" i="31"/>
  <c r="Q69" i="31" s="1"/>
  <c r="Q182" i="47"/>
  <c r="Q254" i="47" s="1"/>
  <c r="R254" i="47" s="1"/>
  <c r="Q198" i="47"/>
  <c r="Q273" i="47" s="1"/>
  <c r="R273" i="47" s="1"/>
  <c r="Q196" i="47"/>
  <c r="Q271" i="47" s="1"/>
  <c r="R271" i="47" s="1"/>
  <c r="Q186" i="47"/>
  <c r="Q179" i="47"/>
  <c r="N39" i="37"/>
  <c r="P39" i="37" s="1"/>
  <c r="Q39" i="37" s="1"/>
  <c r="N40" i="31"/>
  <c r="K38" i="37"/>
  <c r="N38" i="31"/>
  <c r="S84" i="37"/>
  <c r="V84" i="37" s="1"/>
  <c r="X84" i="37" s="1"/>
  <c r="W58" i="31"/>
  <c r="S56" i="37"/>
  <c r="N55" i="31"/>
  <c r="K53" i="37"/>
  <c r="W57" i="31"/>
  <c r="S55" i="37"/>
  <c r="K52" i="37"/>
  <c r="Q193" i="47"/>
  <c r="Q268" i="47" s="1"/>
  <c r="R268" i="47" s="1"/>
  <c r="Q184" i="47"/>
  <c r="Q181" i="47"/>
  <c r="Q253" i="47" s="1"/>
  <c r="R253" i="47" s="1"/>
  <c r="Q180" i="47"/>
  <c r="Q178" i="47"/>
  <c r="S60" i="37"/>
  <c r="K60" i="37"/>
  <c r="W31" i="31"/>
  <c r="AB31" i="31" s="1"/>
  <c r="S29" i="37"/>
  <c r="N31" i="31"/>
  <c r="K29" i="37"/>
  <c r="W50" i="31"/>
  <c r="S48" i="37"/>
  <c r="C69" i="31"/>
  <c r="C28" i="37"/>
  <c r="W61" i="31"/>
  <c r="S59" i="37"/>
  <c r="W26" i="31"/>
  <c r="S25" i="37"/>
  <c r="N26" i="31"/>
  <c r="K25" i="37"/>
  <c r="W14" i="31"/>
  <c r="S15" i="37"/>
  <c r="Q49" i="30"/>
  <c r="H49" i="30"/>
  <c r="Q47" i="30"/>
  <c r="Q26" i="30"/>
  <c r="Q25" i="30"/>
  <c r="H25" i="30"/>
  <c r="Q24" i="30"/>
  <c r="H24" i="30"/>
  <c r="C36" i="27"/>
  <c r="C12" i="27"/>
  <c r="C34" i="27"/>
  <c r="D35" i="5"/>
  <c r="H35" i="5" s="1"/>
  <c r="I35" i="5" s="1"/>
  <c r="C55" i="27"/>
  <c r="D38" i="5"/>
  <c r="H38" i="5" s="1"/>
  <c r="I38" i="5" s="1"/>
  <c r="C33" i="27"/>
  <c r="A13" i="27"/>
  <c r="D37" i="5"/>
  <c r="H37" i="5" s="1"/>
  <c r="I37" i="5" s="1"/>
  <c r="C10" i="27"/>
  <c r="D12" i="5"/>
  <c r="H12" i="5" s="1"/>
  <c r="I12" i="5" s="1"/>
  <c r="D59" i="5"/>
  <c r="H59" i="5" s="1"/>
  <c r="I59" i="5" s="1"/>
  <c r="C58" i="27"/>
  <c r="C19" i="27"/>
  <c r="C53" i="27"/>
  <c r="E23" i="27"/>
  <c r="D66" i="25" s="1"/>
  <c r="G56" i="39"/>
  <c r="G51" i="39"/>
  <c r="J45" i="39"/>
  <c r="D48" i="39"/>
  <c r="J49" i="39"/>
  <c r="N45" i="7"/>
  <c r="P45" i="7" s="1"/>
  <c r="L47" i="7"/>
  <c r="N26" i="7"/>
  <c r="P26" i="7" s="1"/>
  <c r="L53" i="8"/>
  <c r="F222" i="7"/>
  <c r="P116" i="68"/>
  <c r="T116" i="68" s="1"/>
  <c r="N354" i="68"/>
  <c r="P232" i="68"/>
  <c r="T232" i="68" s="1"/>
  <c r="P100" i="68"/>
  <c r="T100" i="68" s="1"/>
  <c r="P175" i="68"/>
  <c r="R175" i="68" s="1"/>
  <c r="V175" i="68" s="1"/>
  <c r="W175" i="68" s="1"/>
  <c r="Y175" i="68" s="1"/>
  <c r="P158" i="68"/>
  <c r="T158" i="68" s="1"/>
  <c r="V102" i="68"/>
  <c r="W102" i="68" s="1"/>
  <c r="Y102" i="68" s="1"/>
  <c r="P93" i="68"/>
  <c r="T93" i="68" s="1"/>
  <c r="P221" i="68"/>
  <c r="R221" i="68" s="1"/>
  <c r="V221" i="68" s="1"/>
  <c r="W221" i="68" s="1"/>
  <c r="Y221" i="68" s="1"/>
  <c r="P161" i="68"/>
  <c r="T161" i="68" s="1"/>
  <c r="V115" i="68"/>
  <c r="W115" i="68" s="1"/>
  <c r="Y115" i="68" s="1"/>
  <c r="V315" i="68"/>
  <c r="W315" i="68" s="1"/>
  <c r="Y315" i="68" s="1"/>
  <c r="P155" i="68"/>
  <c r="T155" i="68" s="1"/>
  <c r="P140" i="68"/>
  <c r="T140" i="68" s="1"/>
  <c r="V77" i="68"/>
  <c r="W77" i="68" s="1"/>
  <c r="Y77" i="68" s="1"/>
  <c r="P178" i="68"/>
  <c r="T178" i="68" s="1"/>
  <c r="N283" i="68"/>
  <c r="V217" i="68"/>
  <c r="W217" i="68" s="1"/>
  <c r="Y217" i="68" s="1"/>
  <c r="V105" i="68"/>
  <c r="W105" i="68" s="1"/>
  <c r="Y105" i="68" s="1"/>
  <c r="P342" i="68"/>
  <c r="T342" i="68" s="1"/>
  <c r="V116" i="68"/>
  <c r="W116" i="68" s="1"/>
  <c r="Y116" i="68" s="1"/>
  <c r="P169" i="68"/>
  <c r="R169" i="68" s="1"/>
  <c r="V166" i="68"/>
  <c r="W166" i="68" s="1"/>
  <c r="Y166" i="68" s="1"/>
  <c r="V79" i="68"/>
  <c r="W79" i="68" s="1"/>
  <c r="Y79" i="68" s="1"/>
  <c r="V173" i="68"/>
  <c r="W173" i="68" s="1"/>
  <c r="Y173" i="68" s="1"/>
  <c r="V158" i="68"/>
  <c r="W158" i="68" s="1"/>
  <c r="Y158" i="68" s="1"/>
  <c r="V124" i="68"/>
  <c r="W124" i="68" s="1"/>
  <c r="Y124" i="68" s="1"/>
  <c r="P118" i="68"/>
  <c r="T118" i="68" s="1"/>
  <c r="V232" i="68"/>
  <c r="W232" i="68" s="1"/>
  <c r="Y232" i="68" s="1"/>
  <c r="P172" i="68"/>
  <c r="R172" i="68" s="1"/>
  <c r="V172" i="68" s="1"/>
  <c r="W172" i="68" s="1"/>
  <c r="Y172" i="68" s="1"/>
  <c r="V162" i="68"/>
  <c r="W162" i="68" s="1"/>
  <c r="Y162" i="68" s="1"/>
  <c r="V84" i="68"/>
  <c r="W84" i="68" s="1"/>
  <c r="Y84" i="68" s="1"/>
  <c r="P218" i="68"/>
  <c r="T218" i="68" s="1"/>
  <c r="V110" i="68"/>
  <c r="W110" i="68" s="1"/>
  <c r="Y110" i="68" s="1"/>
  <c r="V93" i="68"/>
  <c r="W93" i="68" s="1"/>
  <c r="Y93" i="68" s="1"/>
  <c r="P167" i="68"/>
  <c r="R167" i="68" s="1"/>
  <c r="P152" i="68"/>
  <c r="R152" i="68" s="1"/>
  <c r="V311" i="68"/>
  <c r="W311" i="68" s="1"/>
  <c r="Y311" i="68" s="1"/>
  <c r="P136" i="68"/>
  <c r="T136" i="68" s="1"/>
  <c r="P129" i="68"/>
  <c r="T129" i="68" s="1"/>
  <c r="P128" i="68"/>
  <c r="T128" i="68" s="1"/>
  <c r="V126" i="68"/>
  <c r="W126" i="68" s="1"/>
  <c r="Y126" i="68" s="1"/>
  <c r="V88" i="68"/>
  <c r="W88" i="68" s="1"/>
  <c r="Y88" i="68" s="1"/>
  <c r="V85" i="68"/>
  <c r="W85" i="68" s="1"/>
  <c r="Y85" i="68" s="1"/>
  <c r="V17" i="68"/>
  <c r="W17" i="68" s="1"/>
  <c r="Y17" i="68" s="1"/>
  <c r="P343" i="68"/>
  <c r="R343" i="68" s="1"/>
  <c r="V250" i="68"/>
  <c r="W250" i="68" s="1"/>
  <c r="Y250" i="68" s="1"/>
  <c r="V92" i="68"/>
  <c r="W92" i="68" s="1"/>
  <c r="Y92" i="68" s="1"/>
  <c r="V344" i="68"/>
  <c r="W344" i="68" s="1"/>
  <c r="Y344" i="68" s="1"/>
  <c r="V334" i="68"/>
  <c r="W334" i="68" s="1"/>
  <c r="Y334" i="68" s="1"/>
  <c r="N244" i="68"/>
  <c r="V48" i="68"/>
  <c r="W48" i="68" s="1"/>
  <c r="Y48" i="68" s="1"/>
  <c r="V270" i="68"/>
  <c r="W270" i="68" s="1"/>
  <c r="Y270" i="68" s="1"/>
  <c r="V168" i="68"/>
  <c r="W168" i="68" s="1"/>
  <c r="Y168" i="68" s="1"/>
  <c r="P122" i="68"/>
  <c r="R122" i="68" s="1"/>
  <c r="V117" i="68"/>
  <c r="W117" i="68" s="1"/>
  <c r="Y117" i="68" s="1"/>
  <c r="P67" i="68"/>
  <c r="N337" i="68"/>
  <c r="P177" i="68"/>
  <c r="R177" i="68" s="1"/>
  <c r="V177" i="68" s="1"/>
  <c r="W177" i="68" s="1"/>
  <c r="Y177" i="68" s="1"/>
  <c r="P171" i="68"/>
  <c r="T171" i="68" s="1"/>
  <c r="V167" i="68"/>
  <c r="W167" i="68" s="1"/>
  <c r="Y167" i="68" s="1"/>
  <c r="O67" i="68"/>
  <c r="P341" i="68"/>
  <c r="R341" i="68" s="1"/>
  <c r="V218" i="68"/>
  <c r="W218" i="68" s="1"/>
  <c r="Y218" i="68" s="1"/>
  <c r="V132" i="68"/>
  <c r="W132" i="68" s="1"/>
  <c r="Y132" i="68" s="1"/>
  <c r="V131" i="68"/>
  <c r="W131" i="68" s="1"/>
  <c r="Y131" i="68" s="1"/>
  <c r="P130" i="68"/>
  <c r="R130" i="68" s="1"/>
  <c r="P123" i="68"/>
  <c r="R123" i="68" s="1"/>
  <c r="P89" i="68"/>
  <c r="R89" i="68" s="1"/>
  <c r="P50" i="68"/>
  <c r="R50" i="68" s="1"/>
  <c r="T50" i="68" s="1"/>
  <c r="P319" i="68"/>
  <c r="T319" i="68" s="1"/>
  <c r="N214" i="68"/>
  <c r="P173" i="68"/>
  <c r="R173" i="68" s="1"/>
  <c r="V89" i="68"/>
  <c r="W89" i="68" s="1"/>
  <c r="Y89" i="68" s="1"/>
  <c r="V149" i="68"/>
  <c r="W149" i="68" s="1"/>
  <c r="Y149" i="68" s="1"/>
  <c r="P234" i="68"/>
  <c r="R234" i="68" s="1"/>
  <c r="V26" i="68"/>
  <c r="Y26" i="68" s="1"/>
  <c r="V234" i="68"/>
  <c r="W234" i="68" s="1"/>
  <c r="Y234" i="68" s="1"/>
  <c r="P166" i="68"/>
  <c r="T166" i="68" s="1"/>
  <c r="V87" i="68"/>
  <c r="W87" i="68" s="1"/>
  <c r="Y87" i="68" s="1"/>
  <c r="P168" i="68"/>
  <c r="R168" i="68" s="1"/>
  <c r="V183" i="68"/>
  <c r="W183" i="68" s="1"/>
  <c r="Y183" i="68" s="1"/>
  <c r="V121" i="68"/>
  <c r="W121" i="68" s="1"/>
  <c r="Y121" i="68" s="1"/>
  <c r="P88" i="68"/>
  <c r="R88" i="68" s="1"/>
  <c r="P132" i="68"/>
  <c r="R132" i="68" s="1"/>
  <c r="N290" i="68"/>
  <c r="V262" i="68"/>
  <c r="W262" i="68" s="1"/>
  <c r="Y262" i="68" s="1"/>
  <c r="P224" i="68"/>
  <c r="T224" i="68" s="1"/>
  <c r="V156" i="68"/>
  <c r="W156" i="68" s="1"/>
  <c r="Y156" i="68" s="1"/>
  <c r="V153" i="68"/>
  <c r="W153" i="68" s="1"/>
  <c r="Y153" i="68" s="1"/>
  <c r="V21" i="68"/>
  <c r="Y21" i="68" s="1"/>
  <c r="V50" i="68"/>
  <c r="W50" i="68" s="1"/>
  <c r="Y50" i="68" s="1"/>
  <c r="V128" i="68"/>
  <c r="W128" i="68" s="1"/>
  <c r="Y128" i="68" s="1"/>
  <c r="P334" i="68"/>
  <c r="R334" i="68" s="1"/>
  <c r="P315" i="68"/>
  <c r="T315" i="68" s="1"/>
  <c r="V302" i="68"/>
  <c r="W302" i="68" s="1"/>
  <c r="Y302" i="68" s="1"/>
  <c r="V263" i="68"/>
  <c r="W263" i="68" s="1"/>
  <c r="Y263" i="68" s="1"/>
  <c r="P259" i="68"/>
  <c r="R259" i="68" s="1"/>
  <c r="V252" i="68"/>
  <c r="W252" i="68" s="1"/>
  <c r="Y252" i="68" s="1"/>
  <c r="P249" i="68"/>
  <c r="R249" i="68" s="1"/>
  <c r="V178" i="68"/>
  <c r="W178" i="68" s="1"/>
  <c r="Y178" i="68" s="1"/>
  <c r="V163" i="68"/>
  <c r="W163" i="68" s="1"/>
  <c r="Y163" i="68" s="1"/>
  <c r="P143" i="68"/>
  <c r="R143" i="68" s="1"/>
  <c r="P120" i="68"/>
  <c r="R120" i="68" s="1"/>
  <c r="V52" i="68"/>
  <c r="W52" i="68" s="1"/>
  <c r="Y52" i="68" s="1"/>
  <c r="V306" i="68"/>
  <c r="W306" i="68" s="1"/>
  <c r="Y306" i="68" s="1"/>
  <c r="P154" i="68"/>
  <c r="R154" i="68" s="1"/>
  <c r="V136" i="68"/>
  <c r="W136" i="68" s="1"/>
  <c r="Y136" i="68" s="1"/>
  <c r="P106" i="68"/>
  <c r="T106" i="68" s="1"/>
  <c r="P48" i="68"/>
  <c r="R48" i="68" s="1"/>
  <c r="T48" i="68" s="1"/>
  <c r="N329" i="68"/>
  <c r="V347" i="68"/>
  <c r="W347" i="68" s="1"/>
  <c r="Y347" i="68" s="1"/>
  <c r="V346" i="68"/>
  <c r="W346" i="68" s="1"/>
  <c r="Y346" i="68" s="1"/>
  <c r="V333" i="68"/>
  <c r="W333" i="68" s="1"/>
  <c r="Y333" i="68" s="1"/>
  <c r="P256" i="68"/>
  <c r="T256" i="68" s="1"/>
  <c r="P255" i="68"/>
  <c r="T255" i="68" s="1"/>
  <c r="P95" i="68"/>
  <c r="T95" i="68" s="1"/>
  <c r="V94" i="68"/>
  <c r="W94" i="68" s="1"/>
  <c r="Y94" i="68" s="1"/>
  <c r="P80" i="68"/>
  <c r="T80" i="68" s="1"/>
  <c r="P235" i="68"/>
  <c r="T235" i="68" s="1"/>
  <c r="P124" i="68"/>
  <c r="R124" i="68" s="1"/>
  <c r="P229" i="68"/>
  <c r="T229" i="68" s="1"/>
  <c r="V169" i="68"/>
  <c r="W169" i="68" s="1"/>
  <c r="Y169" i="68" s="1"/>
  <c r="P265" i="68"/>
  <c r="T265" i="68" s="1"/>
  <c r="P142" i="68"/>
  <c r="T142" i="68" s="1"/>
  <c r="V171" i="68"/>
  <c r="W171" i="68" s="1"/>
  <c r="Y171" i="68" s="1"/>
  <c r="P309" i="68"/>
  <c r="T309" i="68" s="1"/>
  <c r="P264" i="68"/>
  <c r="R264" i="68" s="1"/>
  <c r="V152" i="68"/>
  <c r="W152" i="68" s="1"/>
  <c r="Y152" i="68" s="1"/>
  <c r="P320" i="68"/>
  <c r="R320" i="68" s="1"/>
  <c r="O212" i="68"/>
  <c r="P212" i="68" s="1"/>
  <c r="P16" i="68"/>
  <c r="R16" i="68" s="1"/>
  <c r="T16" i="68" s="1"/>
  <c r="V340" i="68"/>
  <c r="W340" i="68" s="1"/>
  <c r="Y340" i="68" s="1"/>
  <c r="P311" i="68"/>
  <c r="R311" i="68" s="1"/>
  <c r="P101" i="68"/>
  <c r="T101" i="68" s="1"/>
  <c r="P348" i="68"/>
  <c r="T348" i="68" s="1"/>
  <c r="P182" i="68"/>
  <c r="R182" i="68" s="1"/>
  <c r="P183" i="68"/>
  <c r="T183" i="68" s="1"/>
  <c r="P347" i="68"/>
  <c r="R347" i="68" s="1"/>
  <c r="V142" i="68"/>
  <c r="W142" i="68" s="1"/>
  <c r="Y142" i="68" s="1"/>
  <c r="P139" i="68"/>
  <c r="R139" i="68" s="1"/>
  <c r="V123" i="68"/>
  <c r="W123" i="68" s="1"/>
  <c r="Y123" i="68" s="1"/>
  <c r="V120" i="68"/>
  <c r="W120" i="68" s="1"/>
  <c r="Y120" i="68" s="1"/>
  <c r="P105" i="68"/>
  <c r="T105" i="68" s="1"/>
  <c r="P179" i="68"/>
  <c r="T179" i="68" s="1"/>
  <c r="P159" i="68"/>
  <c r="T159" i="68" s="1"/>
  <c r="P156" i="68"/>
  <c r="R156" i="68" s="1"/>
  <c r="V154" i="68"/>
  <c r="W154" i="68" s="1"/>
  <c r="Y154" i="68" s="1"/>
  <c r="V150" i="68"/>
  <c r="W150" i="68" s="1"/>
  <c r="Y150" i="68" s="1"/>
  <c r="P126" i="68"/>
  <c r="T126" i="68" s="1"/>
  <c r="V91" i="68"/>
  <c r="W91" i="68" s="1"/>
  <c r="Y91" i="68" s="1"/>
  <c r="P327" i="68"/>
  <c r="R327" i="68" s="1"/>
  <c r="R318" i="68"/>
  <c r="V255" i="68"/>
  <c r="W255" i="68" s="1"/>
  <c r="Y255" i="68" s="1"/>
  <c r="P222" i="68"/>
  <c r="R222" i="68" s="1"/>
  <c r="V222" i="68" s="1"/>
  <c r="W222" i="68" s="1"/>
  <c r="Y222" i="68" s="1"/>
  <c r="P165" i="68"/>
  <c r="R165" i="68" s="1"/>
  <c r="P164" i="68"/>
  <c r="R164" i="68" s="1"/>
  <c r="P162" i="68"/>
  <c r="T162" i="68" s="1"/>
  <c r="V134" i="68"/>
  <c r="W134" i="68" s="1"/>
  <c r="Y134" i="68" s="1"/>
  <c r="P131" i="68"/>
  <c r="T131" i="68" s="1"/>
  <c r="V130" i="68"/>
  <c r="W130" i="68" s="1"/>
  <c r="Y130" i="68" s="1"/>
  <c r="V127" i="68"/>
  <c r="W127" i="68" s="1"/>
  <c r="Y127" i="68" s="1"/>
  <c r="P92" i="68"/>
  <c r="T92" i="68" s="1"/>
  <c r="P78" i="68"/>
  <c r="T78" i="68" s="1"/>
  <c r="P77" i="68"/>
  <c r="R77" i="68" s="1"/>
  <c r="P18" i="68"/>
  <c r="R18" i="68" s="1"/>
  <c r="T18" i="68" s="1"/>
  <c r="V281" i="68"/>
  <c r="W281" i="68" s="1"/>
  <c r="Y281" i="68" s="1"/>
  <c r="V272" i="68"/>
  <c r="W272" i="68" s="1"/>
  <c r="Y272" i="68" s="1"/>
  <c r="V118" i="68"/>
  <c r="W118" i="68" s="1"/>
  <c r="Y118" i="68" s="1"/>
  <c r="P117" i="68"/>
  <c r="T117" i="68" s="1"/>
  <c r="P84" i="68"/>
  <c r="T84" i="68" s="1"/>
  <c r="P27" i="68"/>
  <c r="R27" i="68" s="1"/>
  <c r="P51" i="68"/>
  <c r="R51" i="68" s="1"/>
  <c r="T51" i="68" s="1"/>
  <c r="P271" i="68"/>
  <c r="T271" i="68" s="1"/>
  <c r="P47" i="68"/>
  <c r="R47" i="68" s="1"/>
  <c r="T47" i="68" s="1"/>
  <c r="P345" i="68"/>
  <c r="T345" i="68" s="1"/>
  <c r="V309" i="68"/>
  <c r="W309" i="68" s="1"/>
  <c r="Y309" i="68" s="1"/>
  <c r="P306" i="68"/>
  <c r="T306" i="68" s="1"/>
  <c r="P269" i="68"/>
  <c r="T269" i="68" s="1"/>
  <c r="V143" i="68"/>
  <c r="W143" i="68" s="1"/>
  <c r="Y143" i="68" s="1"/>
  <c r="V141" i="68"/>
  <c r="W141" i="68" s="1"/>
  <c r="Y141" i="68" s="1"/>
  <c r="P138" i="68"/>
  <c r="T138" i="68" s="1"/>
  <c r="P121" i="68"/>
  <c r="T121" i="68" s="1"/>
  <c r="P333" i="68"/>
  <c r="R333" i="68" s="1"/>
  <c r="V332" i="68"/>
  <c r="W332" i="68" s="1"/>
  <c r="Y332" i="68" s="1"/>
  <c r="P251" i="68"/>
  <c r="T251" i="68" s="1"/>
  <c r="V161" i="68"/>
  <c r="W161" i="68" s="1"/>
  <c r="Y161" i="68" s="1"/>
  <c r="P160" i="68"/>
  <c r="R160" i="68" s="1"/>
  <c r="V157" i="68"/>
  <c r="W157" i="68" s="1"/>
  <c r="Y157" i="68" s="1"/>
  <c r="P151" i="68"/>
  <c r="T151" i="68" s="1"/>
  <c r="V137" i="68"/>
  <c r="W137" i="68" s="1"/>
  <c r="Y137" i="68" s="1"/>
  <c r="V125" i="68"/>
  <c r="W125" i="68" s="1"/>
  <c r="Y125" i="68" s="1"/>
  <c r="P90" i="68"/>
  <c r="T90" i="68" s="1"/>
  <c r="P346" i="68"/>
  <c r="T346" i="68" s="1"/>
  <c r="P288" i="68"/>
  <c r="T288" i="68" s="1"/>
  <c r="P287" i="68"/>
  <c r="P242" i="68"/>
  <c r="P236" i="68"/>
  <c r="T236" i="68" s="1"/>
  <c r="P79" i="68"/>
  <c r="T79" i="68" s="1"/>
  <c r="P340" i="68"/>
  <c r="T340" i="68" s="1"/>
  <c r="P53" i="68"/>
  <c r="R53" i="68" s="1"/>
  <c r="T53" i="68" s="1"/>
  <c r="V271" i="68"/>
  <c r="W271" i="68" s="1"/>
  <c r="Y271" i="68" s="1"/>
  <c r="P176" i="68"/>
  <c r="R176" i="68" s="1"/>
  <c r="V176" i="68" s="1"/>
  <c r="W176" i="68" s="1"/>
  <c r="Y176" i="68" s="1"/>
  <c r="V179" i="68"/>
  <c r="W179" i="68" s="1"/>
  <c r="Y179" i="68" s="1"/>
  <c r="P141" i="68"/>
  <c r="T141" i="68" s="1"/>
  <c r="V160" i="68"/>
  <c r="W160" i="68" s="1"/>
  <c r="Y160" i="68" s="1"/>
  <c r="P91" i="68"/>
  <c r="T91" i="68" s="1"/>
  <c r="P125" i="68"/>
  <c r="R125" i="68" s="1"/>
  <c r="V165" i="68"/>
  <c r="W165" i="68" s="1"/>
  <c r="Y165" i="68" s="1"/>
  <c r="P137" i="68"/>
  <c r="R137" i="68" s="1"/>
  <c r="V345" i="68"/>
  <c r="W345" i="68" s="1"/>
  <c r="Y345" i="68" s="1"/>
  <c r="V90" i="68"/>
  <c r="W90" i="68" s="1"/>
  <c r="Y90" i="68" s="1"/>
  <c r="P157" i="68"/>
  <c r="R157" i="68" s="1"/>
  <c r="V27" i="68"/>
  <c r="W27" i="68" s="1"/>
  <c r="Y27" i="68" s="1"/>
  <c r="V341" i="68"/>
  <c r="W341" i="68" s="1"/>
  <c r="Y341" i="68" s="1"/>
  <c r="V109" i="68"/>
  <c r="W109" i="68" s="1"/>
  <c r="Y109" i="68" s="1"/>
  <c r="V106" i="68"/>
  <c r="W106" i="68" s="1"/>
  <c r="Y106" i="68" s="1"/>
  <c r="V46" i="68"/>
  <c r="P314" i="68"/>
  <c r="R314" i="68" s="1"/>
  <c r="V314" i="68" s="1"/>
  <c r="W314" i="68" s="1"/>
  <c r="Y314" i="68" s="1"/>
  <c r="V233" i="68"/>
  <c r="W233" i="68" s="1"/>
  <c r="Y233" i="68" s="1"/>
  <c r="P233" i="68"/>
  <c r="R233" i="68" s="1"/>
  <c r="V231" i="68"/>
  <c r="W231" i="68" s="1"/>
  <c r="Y231" i="68" s="1"/>
  <c r="P230" i="68"/>
  <c r="T230" i="68" s="1"/>
  <c r="P102" i="68"/>
  <c r="T102" i="68" s="1"/>
  <c r="P98" i="68"/>
  <c r="R98" i="68" s="1"/>
  <c r="V82" i="68"/>
  <c r="W82" i="68" s="1"/>
  <c r="Y82" i="68" s="1"/>
  <c r="C18" i="2"/>
  <c r="AE81" i="31" s="1"/>
  <c r="C79" i="2"/>
  <c r="F79" i="2" s="1"/>
  <c r="J79" i="2" s="1"/>
  <c r="C80" i="3" s="1"/>
  <c r="L80" i="3" s="1"/>
  <c r="D186" i="7"/>
  <c r="D143" i="7"/>
  <c r="D187" i="7"/>
  <c r="C58" i="2"/>
  <c r="F58" i="2" s="1"/>
  <c r="C86" i="2"/>
  <c r="E193" i="7" s="1"/>
  <c r="D180" i="7"/>
  <c r="F37" i="33"/>
  <c r="H24" i="35"/>
  <c r="H27" i="35" s="1"/>
  <c r="H38" i="9" s="1"/>
  <c r="I24" i="35"/>
  <c r="I27" i="35" s="1"/>
  <c r="H39" i="9" s="1"/>
  <c r="V327" i="68"/>
  <c r="W327" i="68" s="1"/>
  <c r="Y327" i="68" s="1"/>
  <c r="F25" i="33"/>
  <c r="C32" i="40"/>
  <c r="D32" i="40" s="1"/>
  <c r="N32" i="32"/>
  <c r="M32" i="32"/>
  <c r="C32" i="27"/>
  <c r="C11" i="27"/>
  <c r="E28" i="28"/>
  <c r="J24" i="28"/>
  <c r="E27" i="6"/>
  <c r="J29" i="6"/>
  <c r="W15" i="45"/>
  <c r="C27" i="6"/>
  <c r="AB88" i="31"/>
  <c r="AA88" i="31"/>
  <c r="O22" i="31"/>
  <c r="Q22" i="31" s="1"/>
  <c r="Q96" i="31"/>
  <c r="L22" i="31"/>
  <c r="C22" i="31"/>
  <c r="E96" i="31"/>
  <c r="W18" i="31"/>
  <c r="E25" i="31"/>
  <c r="R59" i="31"/>
  <c r="C54" i="15" s="1"/>
  <c r="K54" i="15" s="1"/>
  <c r="U22" i="31"/>
  <c r="R10" i="47"/>
  <c r="R31" i="47"/>
  <c r="R49" i="31"/>
  <c r="C44" i="15" s="1"/>
  <c r="J44" i="15" s="1"/>
  <c r="R64" i="31"/>
  <c r="C58" i="15" s="1"/>
  <c r="E58" i="15" s="1"/>
  <c r="AA37" i="31"/>
  <c r="C32" i="16" s="1"/>
  <c r="H32" i="16" s="1"/>
  <c r="R45" i="31"/>
  <c r="C40" i="15" s="1"/>
  <c r="E40" i="15" s="1"/>
  <c r="X12" i="47"/>
  <c r="R47" i="47"/>
  <c r="V104" i="47"/>
  <c r="X92" i="47" s="1"/>
  <c r="R88" i="31"/>
  <c r="R48" i="47"/>
  <c r="X24" i="47"/>
  <c r="X20" i="47"/>
  <c r="R37" i="47"/>
  <c r="Q109" i="47"/>
  <c r="R27" i="47"/>
  <c r="W110" i="47"/>
  <c r="X23" i="47"/>
  <c r="R38" i="47"/>
  <c r="AC25" i="47"/>
  <c r="AD25" i="47" s="1"/>
  <c r="W95" i="47"/>
  <c r="W111" i="47"/>
  <c r="Y93" i="47" s="1"/>
  <c r="AD93" i="47"/>
  <c r="X27" i="31" s="1"/>
  <c r="Z27" i="31" s="1"/>
  <c r="R46" i="47"/>
  <c r="R39" i="47"/>
  <c r="X21" i="47"/>
  <c r="X93" i="47"/>
  <c r="Q117" i="47"/>
  <c r="R36" i="47"/>
  <c r="Q95" i="47"/>
  <c r="Q22" i="47"/>
  <c r="R22" i="47" s="1"/>
  <c r="Q85" i="47"/>
  <c r="R40" i="47" s="1"/>
  <c r="Q87" i="31"/>
  <c r="Z49" i="31"/>
  <c r="AA49" i="31"/>
  <c r="C44" i="16" s="1"/>
  <c r="Q23" i="47"/>
  <c r="R23" i="47" s="1"/>
  <c r="Q34" i="47"/>
  <c r="R34" i="47" s="1"/>
  <c r="Q25" i="47"/>
  <c r="R25" i="47" s="1"/>
  <c r="AA53" i="31"/>
  <c r="C48" i="16" s="1"/>
  <c r="K48" i="16" s="1"/>
  <c r="Z53" i="31"/>
  <c r="AA65" i="31"/>
  <c r="C59" i="16" s="1"/>
  <c r="K59" i="16" s="1"/>
  <c r="AE93" i="47"/>
  <c r="R15" i="47"/>
  <c r="Q94" i="47"/>
  <c r="Q26" i="47"/>
  <c r="R26" i="47" s="1"/>
  <c r="R56" i="31"/>
  <c r="C51" i="15" s="1"/>
  <c r="K51" i="15" s="1"/>
  <c r="R14" i="47"/>
  <c r="Q17" i="47"/>
  <c r="R17" i="47" s="1"/>
  <c r="Q96" i="47"/>
  <c r="AD33" i="47"/>
  <c r="X19" i="31" s="1"/>
  <c r="R32" i="47"/>
  <c r="Q59" i="31"/>
  <c r="Q46" i="30"/>
  <c r="M51" i="30"/>
  <c r="Q42" i="30"/>
  <c r="L51" i="30"/>
  <c r="M52" i="46"/>
  <c r="K51" i="24" s="1"/>
  <c r="Q41" i="30"/>
  <c r="P51" i="30"/>
  <c r="Q48" i="46"/>
  <c r="N50" i="46" s="1"/>
  <c r="Q38" i="30"/>
  <c r="Q23" i="30"/>
  <c r="Q21" i="30"/>
  <c r="Q20" i="30"/>
  <c r="Q19" i="30"/>
  <c r="Q18" i="30"/>
  <c r="P28" i="30"/>
  <c r="Q17" i="30"/>
  <c r="N28" i="30"/>
  <c r="H46" i="30"/>
  <c r="H45" i="30"/>
  <c r="D51" i="30"/>
  <c r="H42" i="30"/>
  <c r="H41" i="30"/>
  <c r="H39" i="30"/>
  <c r="H48" i="46"/>
  <c r="D50" i="46" s="1"/>
  <c r="C51" i="30"/>
  <c r="H23" i="30"/>
  <c r="H21" i="30"/>
  <c r="H20" i="30"/>
  <c r="F28" i="30"/>
  <c r="H19" i="30"/>
  <c r="H18" i="30"/>
  <c r="D28" i="30"/>
  <c r="H17" i="30"/>
  <c r="Q44" i="31"/>
  <c r="R44" i="31"/>
  <c r="C39" i="15" s="1"/>
  <c r="E39" i="15" s="1"/>
  <c r="Z64" i="31"/>
  <c r="H64" i="31"/>
  <c r="AA44" i="31"/>
  <c r="C39" i="16" s="1"/>
  <c r="AA47" i="31"/>
  <c r="C42" i="16" s="1"/>
  <c r="E42" i="16" s="1"/>
  <c r="O70" i="31"/>
  <c r="Q70" i="31" s="1"/>
  <c r="AA56" i="31"/>
  <c r="C51" i="16" s="1"/>
  <c r="H51" i="16" s="1"/>
  <c r="H32" i="31"/>
  <c r="AD36" i="47"/>
  <c r="X20" i="31" s="1"/>
  <c r="Z20" i="31" s="1"/>
  <c r="AD35" i="47"/>
  <c r="O20" i="31" s="1"/>
  <c r="Q20" i="31" s="1"/>
  <c r="AC19" i="47"/>
  <c r="AD19" i="47" s="1"/>
  <c r="AC17" i="47"/>
  <c r="AD17" i="47" s="1"/>
  <c r="N10" i="31"/>
  <c r="S10" i="31" s="1"/>
  <c r="R10" i="31"/>
  <c r="AC28" i="47"/>
  <c r="AD28" i="47" s="1"/>
  <c r="AC16" i="47"/>
  <c r="AD16" i="47" s="1"/>
  <c r="C21" i="31"/>
  <c r="E21" i="31" s="1"/>
  <c r="AA59" i="31"/>
  <c r="C54" i="16" s="1"/>
  <c r="H54" i="16" s="1"/>
  <c r="R46" i="31"/>
  <c r="R32" i="31"/>
  <c r="W65" i="31"/>
  <c r="AB65" i="31" s="1"/>
  <c r="N63" i="31"/>
  <c r="S63" i="31" s="1"/>
  <c r="R63" i="31"/>
  <c r="W56" i="31"/>
  <c r="AB56" i="31" s="1"/>
  <c r="Q29" i="31"/>
  <c r="L21" i="31"/>
  <c r="K22" i="37" s="1"/>
  <c r="V83" i="37"/>
  <c r="X83" i="37" s="1"/>
  <c r="U83" i="37"/>
  <c r="Q86" i="31"/>
  <c r="R24" i="47"/>
  <c r="AA21" i="31"/>
  <c r="C20" i="16" s="1"/>
  <c r="W21" i="31"/>
  <c r="AB21" i="31" s="1"/>
  <c r="X11" i="47"/>
  <c r="R19" i="31"/>
  <c r="AA63" i="31"/>
  <c r="X13" i="47"/>
  <c r="AD10" i="47"/>
  <c r="AD45" i="47"/>
  <c r="R35" i="47"/>
  <c r="X27" i="47"/>
  <c r="R30" i="47"/>
  <c r="X16" i="47"/>
  <c r="R13" i="47"/>
  <c r="Q88" i="31"/>
  <c r="S88" i="31" s="1"/>
  <c r="Q53" i="31"/>
  <c r="Q45" i="31"/>
  <c r="X19" i="47"/>
  <c r="R20" i="47"/>
  <c r="H41" i="31"/>
  <c r="Q40" i="31"/>
  <c r="R40" i="31"/>
  <c r="C35" i="15" s="1"/>
  <c r="AD251" i="47"/>
  <c r="H86" i="31"/>
  <c r="F91" i="31"/>
  <c r="Z26" i="31"/>
  <c r="AA26" i="31"/>
  <c r="C22" i="16" s="1"/>
  <c r="AC24" i="47"/>
  <c r="AD24" i="47" s="1"/>
  <c r="Q21" i="47"/>
  <c r="R21" i="47" s="1"/>
  <c r="AC18" i="47"/>
  <c r="AD18" i="47" s="1"/>
  <c r="H21" i="31"/>
  <c r="H25" i="46"/>
  <c r="D27" i="46" s="1"/>
  <c r="Q42" i="31"/>
  <c r="AD259" i="47"/>
  <c r="AD252" i="47"/>
  <c r="AD250" i="47"/>
  <c r="X91" i="31"/>
  <c r="Z58" i="31"/>
  <c r="AA58" i="31"/>
  <c r="C53" i="16" s="1"/>
  <c r="E53" i="16" s="1"/>
  <c r="Q58" i="31"/>
  <c r="Q57" i="31"/>
  <c r="R57" i="31"/>
  <c r="Z54" i="31"/>
  <c r="R31" i="31"/>
  <c r="C26" i="15" s="1"/>
  <c r="F69" i="31"/>
  <c r="H69" i="31" s="1"/>
  <c r="F70" i="31"/>
  <c r="H29" i="31"/>
  <c r="AA61" i="31"/>
  <c r="C56" i="16" s="1"/>
  <c r="Z61" i="31"/>
  <c r="R26" i="31"/>
  <c r="C22" i="15" s="1"/>
  <c r="Q26" i="31"/>
  <c r="Z18" i="31"/>
  <c r="Q18" i="47"/>
  <c r="R18" i="47" s="1"/>
  <c r="AD15" i="47"/>
  <c r="R12" i="47"/>
  <c r="AD26" i="47"/>
  <c r="Q16" i="31"/>
  <c r="AD21" i="47"/>
  <c r="R16" i="47"/>
  <c r="D67" i="5"/>
  <c r="H67" i="5" s="1"/>
  <c r="I67" i="5" s="1"/>
  <c r="C21" i="27"/>
  <c r="C20" i="27"/>
  <c r="C18" i="27"/>
  <c r="C17" i="27"/>
  <c r="C37" i="27"/>
  <c r="O69" i="44"/>
  <c r="P71" i="44" s="1"/>
  <c r="C59" i="27"/>
  <c r="D66" i="27"/>
  <c r="D83" i="25" s="1"/>
  <c r="F23" i="27"/>
  <c r="D67" i="25" s="1"/>
  <c r="C16" i="27"/>
  <c r="D16" i="5"/>
  <c r="H16" i="5" s="1"/>
  <c r="I16" i="5" s="1"/>
  <c r="O51" i="44"/>
  <c r="P53" i="44" s="1"/>
  <c r="D61" i="5"/>
  <c r="H61" i="5" s="1"/>
  <c r="I61" i="5" s="1"/>
  <c r="C15" i="27"/>
  <c r="C35" i="27"/>
  <c r="E44" i="27"/>
  <c r="D75" i="25" s="1"/>
  <c r="C57" i="27"/>
  <c r="D60" i="5"/>
  <c r="H60" i="5" s="1"/>
  <c r="I60" i="5" s="1"/>
  <c r="J23" i="5"/>
  <c r="C14" i="27"/>
  <c r="D14" i="5"/>
  <c r="H14" i="5" s="1"/>
  <c r="I14" i="5" s="1"/>
  <c r="O67" i="44"/>
  <c r="P63" i="44" s="1"/>
  <c r="D44" i="27"/>
  <c r="D74" i="25" s="1"/>
  <c r="O38" i="44"/>
  <c r="C56" i="27"/>
  <c r="C13" i="27"/>
  <c r="O32" i="44"/>
  <c r="P30" i="44" s="1"/>
  <c r="D23" i="27"/>
  <c r="D65" i="25" s="1"/>
  <c r="F23" i="5"/>
  <c r="D13" i="5"/>
  <c r="H13" i="5" s="1"/>
  <c r="I13" i="5" s="1"/>
  <c r="E23" i="5"/>
  <c r="O21" i="44"/>
  <c r="A14" i="5"/>
  <c r="A35" i="27"/>
  <c r="A60" i="5"/>
  <c r="A36" i="5"/>
  <c r="A13" i="5"/>
  <c r="A35" i="5"/>
  <c r="A56" i="27"/>
  <c r="A34" i="27"/>
  <c r="A59" i="27"/>
  <c r="A37" i="27"/>
  <c r="A16" i="27"/>
  <c r="K23" i="5"/>
  <c r="D58" i="5"/>
  <c r="H58" i="5" s="1"/>
  <c r="I58" i="5" s="1"/>
  <c r="E66" i="27"/>
  <c r="D84" i="25" s="1"/>
  <c r="F69" i="5"/>
  <c r="D33" i="5"/>
  <c r="H33" i="5" s="1"/>
  <c r="I33" i="5" s="1"/>
  <c r="E45" i="5"/>
  <c r="O21" i="39"/>
  <c r="O20" i="39"/>
  <c r="O19" i="39"/>
  <c r="O15" i="39"/>
  <c r="O14" i="39"/>
  <c r="P24" i="38"/>
  <c r="O13" i="39"/>
  <c r="O12" i="39"/>
  <c r="G60" i="39"/>
  <c r="G59" i="39"/>
  <c r="G57" i="39"/>
  <c r="G58" i="39"/>
  <c r="D55" i="39"/>
  <c r="D54" i="39"/>
  <c r="D49" i="39"/>
  <c r="G46" i="39"/>
  <c r="D59" i="38"/>
  <c r="J44" i="39"/>
  <c r="J59" i="38"/>
  <c r="G59" i="38"/>
  <c r="D51" i="39"/>
  <c r="G43" i="39"/>
  <c r="D59" i="39"/>
  <c r="J55" i="39"/>
  <c r="G53" i="39"/>
  <c r="J56" i="39"/>
  <c r="D43" i="39"/>
  <c r="J59" i="39"/>
  <c r="J58" i="39"/>
  <c r="G55" i="39"/>
  <c r="G49" i="39"/>
  <c r="D47" i="39"/>
  <c r="O22" i="39"/>
  <c r="J54" i="39"/>
  <c r="J50" i="39"/>
  <c r="G47" i="39"/>
  <c r="D53" i="39"/>
  <c r="G45" i="39"/>
  <c r="J60" i="39"/>
  <c r="J52" i="39"/>
  <c r="J46" i="39"/>
  <c r="D45" i="39"/>
  <c r="D57" i="39"/>
  <c r="D58" i="39"/>
  <c r="J57" i="39"/>
  <c r="J51" i="39"/>
  <c r="B24" i="39"/>
  <c r="J53" i="39"/>
  <c r="G52" i="39"/>
  <c r="D50" i="39"/>
  <c r="L47" i="12"/>
  <c r="I47" i="12"/>
  <c r="P28" i="12"/>
  <c r="P27" i="12"/>
  <c r="Q27" i="12" s="1"/>
  <c r="L32" i="12"/>
  <c r="P32" i="12" s="1"/>
  <c r="Q32" i="12" s="1"/>
  <c r="P92" i="12"/>
  <c r="Q92" i="12" s="1"/>
  <c r="I50" i="12"/>
  <c r="I43" i="12"/>
  <c r="P43" i="12" s="1"/>
  <c r="Q43" i="12" s="1"/>
  <c r="F58" i="3"/>
  <c r="D58" i="12" s="1"/>
  <c r="J58" i="12" s="1"/>
  <c r="I58" i="3"/>
  <c r="L58" i="3"/>
  <c r="O34" i="3"/>
  <c r="P34" i="3" s="1"/>
  <c r="O29" i="3"/>
  <c r="P29" i="3" s="1"/>
  <c r="L29" i="8"/>
  <c r="I104" i="2"/>
  <c r="C60" i="2"/>
  <c r="F60" i="2" s="1"/>
  <c r="J60" i="2" s="1"/>
  <c r="C61" i="3" s="1"/>
  <c r="C28" i="2"/>
  <c r="F28" i="2" s="1"/>
  <c r="J28" i="2" s="1"/>
  <c r="C29" i="3" s="1"/>
  <c r="I29" i="3" s="1"/>
  <c r="D173" i="7"/>
  <c r="D189" i="7"/>
  <c r="C66" i="2"/>
  <c r="F66" i="2" s="1"/>
  <c r="D148" i="7"/>
  <c r="C34" i="2"/>
  <c r="F34" i="2" s="1"/>
  <c r="J34" i="2" s="1"/>
  <c r="C35" i="3" s="1"/>
  <c r="I35" i="3" s="1"/>
  <c r="C27" i="2"/>
  <c r="F27" i="2" s="1"/>
  <c r="J27" i="2" s="1"/>
  <c r="C28" i="3" s="1"/>
  <c r="C92" i="2"/>
  <c r="F92" i="2" s="1"/>
  <c r="J92" i="2" s="1"/>
  <c r="C93" i="3" s="1"/>
  <c r="D199" i="7"/>
  <c r="C81" i="2"/>
  <c r="F81" i="2" s="1"/>
  <c r="D168" i="7"/>
  <c r="D167" i="7"/>
  <c r="D165" i="7"/>
  <c r="N139" i="7" s="1"/>
  <c r="D125" i="7"/>
  <c r="D134" i="7"/>
  <c r="C40" i="2"/>
  <c r="F40" i="2" s="1"/>
  <c r="J40" i="2" s="1"/>
  <c r="C41" i="3" s="1"/>
  <c r="C96" i="2"/>
  <c r="F96" i="2" s="1"/>
  <c r="J96" i="2" s="1"/>
  <c r="C97" i="3" s="1"/>
  <c r="D203" i="7"/>
  <c r="C52" i="2"/>
  <c r="I43" i="10" s="1"/>
  <c r="C44" i="2"/>
  <c r="F44" i="2" s="1"/>
  <c r="J44" i="2" s="1"/>
  <c r="C45" i="3" s="1"/>
  <c r="D135" i="7"/>
  <c r="C91" i="2"/>
  <c r="F91" i="2" s="1"/>
  <c r="J91" i="2" s="1"/>
  <c r="C92" i="3" s="1"/>
  <c r="D198" i="7"/>
  <c r="D183" i="7"/>
  <c r="D155" i="7"/>
  <c r="C47" i="2"/>
  <c r="R53" i="38" s="1"/>
  <c r="C43" i="2"/>
  <c r="F43" i="2" s="1"/>
  <c r="J43" i="2" s="1"/>
  <c r="C44" i="3" s="1"/>
  <c r="D150" i="7"/>
  <c r="C41" i="2"/>
  <c r="F41" i="2" s="1"/>
  <c r="D142" i="7"/>
  <c r="D139" i="7"/>
  <c r="C13" i="2"/>
  <c r="F13" i="2" s="1"/>
  <c r="C19" i="2"/>
  <c r="F19" i="2" s="1"/>
  <c r="J19" i="2" s="1"/>
  <c r="D159" i="7"/>
  <c r="D121" i="7"/>
  <c r="C69" i="2"/>
  <c r="F69" i="2" s="1"/>
  <c r="J69" i="2" s="1"/>
  <c r="C70" i="3" s="1"/>
  <c r="I44" i="10"/>
  <c r="C65" i="2"/>
  <c r="F65" i="2" s="1"/>
  <c r="C61" i="2"/>
  <c r="F61" i="2" s="1"/>
  <c r="C36" i="2"/>
  <c r="F36" i="2" s="1"/>
  <c r="J36" i="2" s="1"/>
  <c r="C37" i="3" s="1"/>
  <c r="D176" i="7"/>
  <c r="D172" i="7"/>
  <c r="C77" i="2"/>
  <c r="F77" i="2" s="1"/>
  <c r="J77" i="2" s="1"/>
  <c r="C78" i="3" s="1"/>
  <c r="C48" i="2"/>
  <c r="F48" i="2" s="1"/>
  <c r="J48" i="2" s="1"/>
  <c r="C49" i="3" s="1"/>
  <c r="C35" i="2"/>
  <c r="F35" i="2" s="1"/>
  <c r="J35" i="2" s="1"/>
  <c r="C36" i="3" s="1"/>
  <c r="C14" i="2"/>
  <c r="F14" i="2" s="1"/>
  <c r="D188" i="7"/>
  <c r="D151" i="7"/>
  <c r="D120" i="7"/>
  <c r="C26" i="2"/>
  <c r="F26" i="2" s="1"/>
  <c r="J26" i="2" s="1"/>
  <c r="C27" i="3" s="1"/>
  <c r="F27" i="3" s="1"/>
  <c r="D27" i="12" s="1"/>
  <c r="C32" i="2"/>
  <c r="F32" i="2" s="1"/>
  <c r="J32" i="2" s="1"/>
  <c r="C33" i="3" s="1"/>
  <c r="D162" i="7"/>
  <c r="C82" i="2"/>
  <c r="F82" i="2" s="1"/>
  <c r="J82" i="2" s="1"/>
  <c r="C83" i="3" s="1"/>
  <c r="C76" i="2"/>
  <c r="L26" i="34" s="1"/>
  <c r="D133" i="7"/>
  <c r="C55" i="2"/>
  <c r="F55" i="2" s="1"/>
  <c r="J55" i="2" s="1"/>
  <c r="C56" i="3" s="1"/>
  <c r="D184" i="7"/>
  <c r="O114" i="4"/>
  <c r="P267" i="68"/>
  <c r="V174" i="68"/>
  <c r="W174" i="68" s="1"/>
  <c r="Y174" i="68" s="1"/>
  <c r="P174" i="68"/>
  <c r="V260" i="68"/>
  <c r="W260" i="68" s="1"/>
  <c r="Y260" i="68" s="1"/>
  <c r="P260" i="68"/>
  <c r="R260" i="68" s="1"/>
  <c r="P109" i="68"/>
  <c r="T109" i="68" s="1"/>
  <c r="P94" i="68"/>
  <c r="T94" i="68" s="1"/>
  <c r="P262" i="68"/>
  <c r="T262" i="68" s="1"/>
  <c r="V320" i="68"/>
  <c r="W320" i="68" s="1"/>
  <c r="Y320" i="68" s="1"/>
  <c r="P302" i="68"/>
  <c r="P270" i="68"/>
  <c r="R270" i="68" s="1"/>
  <c r="V261" i="68"/>
  <c r="W261" i="68" s="1"/>
  <c r="Y261" i="68" s="1"/>
  <c r="P261" i="68"/>
  <c r="T261" i="68" s="1"/>
  <c r="V228" i="68"/>
  <c r="W228" i="68" s="1"/>
  <c r="Y228" i="68" s="1"/>
  <c r="V96" i="68"/>
  <c r="W96" i="68" s="1"/>
  <c r="Y96" i="68" s="1"/>
  <c r="P231" i="68"/>
  <c r="R219" i="68"/>
  <c r="V219" i="68" s="1"/>
  <c r="W219" i="68" s="1"/>
  <c r="Y219" i="68" s="1"/>
  <c r="P268" i="68"/>
  <c r="P258" i="68"/>
  <c r="T258" i="68" s="1"/>
  <c r="V258" i="68"/>
  <c r="W258" i="68" s="1"/>
  <c r="Y258" i="68" s="1"/>
  <c r="V230" i="68"/>
  <c r="W230" i="68" s="1"/>
  <c r="Y230" i="68" s="1"/>
  <c r="V342" i="68"/>
  <c r="W342" i="68" s="1"/>
  <c r="Y342" i="68" s="1"/>
  <c r="P266" i="68"/>
  <c r="V254" i="68"/>
  <c r="W254" i="68" s="1"/>
  <c r="Y254" i="68" s="1"/>
  <c r="P254" i="68"/>
  <c r="T254" i="68" s="1"/>
  <c r="V229" i="68"/>
  <c r="W229" i="68" s="1"/>
  <c r="Y229" i="68" s="1"/>
  <c r="P113" i="68"/>
  <c r="V98" i="68"/>
  <c r="W98" i="68" s="1"/>
  <c r="Y98" i="68" s="1"/>
  <c r="V81" i="68"/>
  <c r="W81" i="68" s="1"/>
  <c r="Y81" i="68" s="1"/>
  <c r="T220" i="68"/>
  <c r="P110" i="68"/>
  <c r="R110" i="68" s="1"/>
  <c r="V95" i="68"/>
  <c r="W95" i="68" s="1"/>
  <c r="Y95" i="68" s="1"/>
  <c r="V80" i="68"/>
  <c r="W80" i="68" s="1"/>
  <c r="Y80" i="68" s="1"/>
  <c r="P344" i="68"/>
  <c r="P112" i="68"/>
  <c r="P97" i="68"/>
  <c r="P82" i="68"/>
  <c r="V259" i="68"/>
  <c r="W259" i="68" s="1"/>
  <c r="Y259" i="68" s="1"/>
  <c r="P250" i="68"/>
  <c r="T250" i="68" s="1"/>
  <c r="P99" i="68"/>
  <c r="V67" i="68"/>
  <c r="Y67" i="68" s="1"/>
  <c r="P17" i="68"/>
  <c r="R17" i="68" s="1"/>
  <c r="T17" i="68" s="1"/>
  <c r="V15" i="68"/>
  <c r="W15" i="68" s="1"/>
  <c r="Y15" i="68" s="1"/>
  <c r="V182" i="68"/>
  <c r="W182" i="68" s="1"/>
  <c r="Y182" i="68" s="1"/>
  <c r="P85" i="68"/>
  <c r="P115" i="68"/>
  <c r="T115" i="68" s="1"/>
  <c r="V318" i="68"/>
  <c r="W318" i="68" s="1"/>
  <c r="Y318" i="68" s="1"/>
  <c r="V288" i="68"/>
  <c r="W288" i="68" s="1"/>
  <c r="Y288" i="68" s="1"/>
  <c r="V242" i="68"/>
  <c r="W242" i="68" s="1"/>
  <c r="Y242" i="68" s="1"/>
  <c r="V236" i="68"/>
  <c r="W236" i="68" s="1"/>
  <c r="Y236" i="68" s="1"/>
  <c r="P223" i="68"/>
  <c r="R223" i="68" s="1"/>
  <c r="V223" i="68" s="1"/>
  <c r="W223" i="68" s="1"/>
  <c r="Y223" i="68" s="1"/>
  <c r="P119" i="68"/>
  <c r="T119" i="68" s="1"/>
  <c r="V104" i="68"/>
  <c r="W104" i="68" s="1"/>
  <c r="Y104" i="68" s="1"/>
  <c r="P103" i="68"/>
  <c r="R103" i="68" s="1"/>
  <c r="V101" i="68"/>
  <c r="W101" i="68" s="1"/>
  <c r="Y101" i="68" s="1"/>
  <c r="P87" i="68"/>
  <c r="P46" i="68"/>
  <c r="P252" i="68"/>
  <c r="T252" i="68" s="1"/>
  <c r="V256" i="68"/>
  <c r="W256" i="68" s="1"/>
  <c r="Y256" i="68" s="1"/>
  <c r="V140" i="68"/>
  <c r="W140" i="68" s="1"/>
  <c r="Y140" i="68" s="1"/>
  <c r="V138" i="68"/>
  <c r="W138" i="68" s="1"/>
  <c r="Y138" i="68" s="1"/>
  <c r="P257" i="68"/>
  <c r="V251" i="68"/>
  <c r="W251" i="68" s="1"/>
  <c r="Y251" i="68" s="1"/>
  <c r="P226" i="68"/>
  <c r="P263" i="68"/>
  <c r="V220" i="68"/>
  <c r="W220" i="68" s="1"/>
  <c r="Y220" i="68" s="1"/>
  <c r="V159" i="68"/>
  <c r="W159" i="68" s="1"/>
  <c r="Y159" i="68" s="1"/>
  <c r="P150" i="68"/>
  <c r="T150" i="68" s="1"/>
  <c r="P352" i="68"/>
  <c r="R352" i="68" s="1"/>
  <c r="V352" i="68" s="1"/>
  <c r="W352" i="68" s="1"/>
  <c r="Y352" i="68" s="1"/>
  <c r="P317" i="68"/>
  <c r="P181" i="68"/>
  <c r="V181" i="68"/>
  <c r="W181" i="68" s="1"/>
  <c r="Y181" i="68" s="1"/>
  <c r="V180" i="68"/>
  <c r="W180" i="68" s="1"/>
  <c r="Y180" i="68" s="1"/>
  <c r="P180" i="68"/>
  <c r="R180" i="68" s="1"/>
  <c r="P86" i="68"/>
  <c r="V86" i="68"/>
  <c r="W86" i="68" s="1"/>
  <c r="Y86" i="68" s="1"/>
  <c r="P54" i="68"/>
  <c r="P148" i="68"/>
  <c r="V148" i="68"/>
  <c r="W148" i="68" s="1"/>
  <c r="Y148" i="68" s="1"/>
  <c r="P147" i="68"/>
  <c r="V147" i="68"/>
  <c r="W147" i="68" s="1"/>
  <c r="Y147" i="68" s="1"/>
  <c r="P146" i="68"/>
  <c r="V146" i="68"/>
  <c r="W146" i="68" s="1"/>
  <c r="Y146" i="68" s="1"/>
  <c r="P145" i="68"/>
  <c r="V145" i="68"/>
  <c r="W145" i="68" s="1"/>
  <c r="Y145" i="68" s="1"/>
  <c r="P144" i="68"/>
  <c r="V144" i="68"/>
  <c r="W144" i="68" s="1"/>
  <c r="Y144" i="68" s="1"/>
  <c r="V103" i="68"/>
  <c r="W103" i="68" s="1"/>
  <c r="Y103" i="68" s="1"/>
  <c r="V308" i="68"/>
  <c r="W308" i="68" s="1"/>
  <c r="Y308" i="68" s="1"/>
  <c r="P308" i="68"/>
  <c r="P307" i="68"/>
  <c r="V307" i="68"/>
  <c r="W307" i="68" s="1"/>
  <c r="Y307" i="68" s="1"/>
  <c r="P305" i="68"/>
  <c r="V305" i="68"/>
  <c r="W305" i="68" s="1"/>
  <c r="Y305" i="68" s="1"/>
  <c r="P304" i="68"/>
  <c r="V304" i="68"/>
  <c r="W304" i="68" s="1"/>
  <c r="Y304" i="68" s="1"/>
  <c r="P303" i="68"/>
  <c r="V303" i="68"/>
  <c r="W303" i="68" s="1"/>
  <c r="Y303" i="68" s="1"/>
  <c r="P111" i="68"/>
  <c r="V111" i="68"/>
  <c r="W111" i="68" s="1"/>
  <c r="Y111" i="68" s="1"/>
  <c r="P104" i="68"/>
  <c r="T104" i="68" s="1"/>
  <c r="P313" i="68"/>
  <c r="V313" i="68"/>
  <c r="W313" i="68" s="1"/>
  <c r="Y313" i="68" s="1"/>
  <c r="V135" i="68"/>
  <c r="W135" i="68" s="1"/>
  <c r="Y135" i="68" s="1"/>
  <c r="P135" i="68"/>
  <c r="P133" i="68"/>
  <c r="V133" i="68"/>
  <c r="W133" i="68" s="1"/>
  <c r="Y133" i="68" s="1"/>
  <c r="P108" i="68"/>
  <c r="V108" i="68"/>
  <c r="W108" i="68" s="1"/>
  <c r="Y108" i="68" s="1"/>
  <c r="P107" i="68"/>
  <c r="V107" i="68"/>
  <c r="W107" i="68" s="1"/>
  <c r="Y107" i="68" s="1"/>
  <c r="P49" i="68"/>
  <c r="R49" i="68" s="1"/>
  <c r="T49" i="68" s="1"/>
  <c r="P134" i="68"/>
  <c r="V78" i="68"/>
  <c r="W78" i="68" s="1"/>
  <c r="Y78" i="68" s="1"/>
  <c r="P68" i="68"/>
  <c r="T68" i="68" s="1"/>
  <c r="P272" i="68"/>
  <c r="P281" i="68"/>
  <c r="P127" i="68"/>
  <c r="V248" i="68"/>
  <c r="W248" i="68" s="1"/>
  <c r="Y248" i="68" s="1"/>
  <c r="P248" i="68"/>
  <c r="P247" i="68"/>
  <c r="V247" i="68"/>
  <c r="W247" i="68" s="1"/>
  <c r="Y247" i="68" s="1"/>
  <c r="P228" i="68"/>
  <c r="P227" i="68"/>
  <c r="V139" i="68"/>
  <c r="W139" i="68" s="1"/>
  <c r="Y139" i="68" s="1"/>
  <c r="V114" i="68"/>
  <c r="W114" i="68" s="1"/>
  <c r="Y114" i="68" s="1"/>
  <c r="P114" i="68"/>
  <c r="R114" i="68" s="1"/>
  <c r="V97" i="68"/>
  <c r="W97" i="68" s="1"/>
  <c r="Y97" i="68" s="1"/>
  <c r="P96" i="68"/>
  <c r="V83" i="68"/>
  <c r="W83" i="68" s="1"/>
  <c r="Y83" i="68" s="1"/>
  <c r="P83" i="68"/>
  <c r="P15" i="68"/>
  <c r="R15" i="68" s="1"/>
  <c r="T15" i="68" s="1"/>
  <c r="V257" i="68"/>
  <c r="W257" i="68" s="1"/>
  <c r="Y257" i="68" s="1"/>
  <c r="P253" i="68"/>
  <c r="V253" i="68"/>
  <c r="W253" i="68" s="1"/>
  <c r="Y253" i="68" s="1"/>
  <c r="V19" i="68"/>
  <c r="W19" i="68" s="1"/>
  <c r="Y19" i="68" s="1"/>
  <c r="V99" i="68"/>
  <c r="W99" i="68" s="1"/>
  <c r="Y99" i="68" s="1"/>
  <c r="P332" i="68"/>
  <c r="V164" i="68"/>
  <c r="W164" i="68" s="1"/>
  <c r="Y164" i="68" s="1"/>
  <c r="P81" i="68"/>
  <c r="T81" i="68" s="1"/>
  <c r="V264" i="68"/>
  <c r="W264" i="68" s="1"/>
  <c r="Y264" i="68" s="1"/>
  <c r="C85" i="2"/>
  <c r="E192" i="7" s="1"/>
  <c r="C74" i="2"/>
  <c r="F74" i="2" s="1"/>
  <c r="J74" i="2" s="1"/>
  <c r="C75" i="3" s="1"/>
  <c r="D181" i="7"/>
  <c r="D177" i="7"/>
  <c r="C42" i="2"/>
  <c r="F42" i="2" s="1"/>
  <c r="D149" i="7"/>
  <c r="D145" i="7"/>
  <c r="C38" i="2"/>
  <c r="F38" i="2" s="1"/>
  <c r="J38" i="2" s="1"/>
  <c r="C39" i="3" s="1"/>
  <c r="D140" i="7"/>
  <c r="D137" i="7"/>
  <c r="C30" i="2"/>
  <c r="F30" i="2" s="1"/>
  <c r="J30" i="2" s="1"/>
  <c r="C31" i="3" s="1"/>
  <c r="D10" i="5"/>
  <c r="C23" i="5"/>
  <c r="E69" i="5"/>
  <c r="D56" i="5"/>
  <c r="C69" i="5"/>
  <c r="I84" i="5" s="1"/>
  <c r="D57" i="5"/>
  <c r="H57" i="5" s="1"/>
  <c r="I57" i="5" s="1"/>
  <c r="M95" i="13"/>
  <c r="N95" i="13" s="1"/>
  <c r="F45" i="5"/>
  <c r="D32" i="5"/>
  <c r="D34" i="5"/>
  <c r="H34" i="5" s="1"/>
  <c r="I34" i="5" s="1"/>
  <c r="C45" i="5"/>
  <c r="I80" i="5" s="1"/>
  <c r="I41" i="13" s="1"/>
  <c r="F41" i="13" s="1"/>
  <c r="M41" i="13" s="1"/>
  <c r="K43" i="3"/>
  <c r="K47" i="3"/>
  <c r="O47" i="3" s="1"/>
  <c r="P47" i="3" s="1"/>
  <c r="K32" i="3"/>
  <c r="O32" i="3" s="1"/>
  <c r="P32" i="3" s="1"/>
  <c r="K50" i="3"/>
  <c r="O50" i="3" s="1"/>
  <c r="P50" i="3" s="1"/>
  <c r="O27" i="3"/>
  <c r="P27" i="3" s="1"/>
  <c r="C66" i="8"/>
  <c r="F66" i="27"/>
  <c r="C31" i="27"/>
  <c r="F44" i="27"/>
  <c r="O28" i="30"/>
  <c r="Q15" i="30"/>
  <c r="M28" i="30"/>
  <c r="H48" i="31"/>
  <c r="J47" i="39"/>
  <c r="I62" i="39"/>
  <c r="J11" i="39"/>
  <c r="H24" i="39"/>
  <c r="H95" i="46"/>
  <c r="C97" i="46" s="1"/>
  <c r="J46" i="46"/>
  <c r="A69" i="46"/>
  <c r="N41" i="31"/>
  <c r="X51" i="8"/>
  <c r="G53" i="8"/>
  <c r="C99" i="2"/>
  <c r="F99" i="2" s="1"/>
  <c r="D201" i="7"/>
  <c r="C94" i="2"/>
  <c r="D197" i="7"/>
  <c r="C90" i="2"/>
  <c r="F90" i="2" s="1"/>
  <c r="J90" i="2" s="1"/>
  <c r="C91" i="3" s="1"/>
  <c r="C78" i="2"/>
  <c r="F78" i="2" s="1"/>
  <c r="J78" i="2" s="1"/>
  <c r="C79" i="3" s="1"/>
  <c r="D158" i="7"/>
  <c r="C51" i="2"/>
  <c r="F51" i="2" s="1"/>
  <c r="Q49" i="39"/>
  <c r="C29" i="2"/>
  <c r="F29" i="2" s="1"/>
  <c r="J29" i="2" s="1"/>
  <c r="C30" i="3" s="1"/>
  <c r="D136" i="7"/>
  <c r="O101" i="4"/>
  <c r="D132" i="7"/>
  <c r="D123" i="7"/>
  <c r="C16" i="2"/>
  <c r="C12" i="2"/>
  <c r="F12" i="2" s="1"/>
  <c r="G28" i="30"/>
  <c r="H15" i="30"/>
  <c r="E28" i="30"/>
  <c r="N65" i="31"/>
  <c r="Z48" i="31"/>
  <c r="T20" i="45"/>
  <c r="J38" i="46"/>
  <c r="A61" i="46"/>
  <c r="E46" i="36"/>
  <c r="G46" i="36" s="1"/>
  <c r="G56" i="36" s="1"/>
  <c r="C56" i="36"/>
  <c r="G61" i="36" s="1"/>
  <c r="W42" i="31"/>
  <c r="Z40" i="31"/>
  <c r="D62" i="5"/>
  <c r="H62" i="5" s="1"/>
  <c r="I62" i="5" s="1"/>
  <c r="I14" i="6"/>
  <c r="J14" i="6" s="1"/>
  <c r="J16" i="6" s="1"/>
  <c r="O48" i="3"/>
  <c r="P48" i="3" s="1"/>
  <c r="C83" i="2"/>
  <c r="F83" i="2" s="1"/>
  <c r="J83" i="2" s="1"/>
  <c r="C84" i="3" s="1"/>
  <c r="N79" i="7"/>
  <c r="P79" i="7" s="1"/>
  <c r="M34" i="13"/>
  <c r="N34" i="13" s="1"/>
  <c r="D53" i="8"/>
  <c r="N88" i="7"/>
  <c r="D204" i="7"/>
  <c r="C97" i="2"/>
  <c r="F97" i="2" s="1"/>
  <c r="J97" i="2" s="1"/>
  <c r="C98" i="3" s="1"/>
  <c r="C93" i="2"/>
  <c r="F93" i="2" s="1"/>
  <c r="J93" i="2" s="1"/>
  <c r="C94" i="3" s="1"/>
  <c r="D195" i="7"/>
  <c r="D175" i="7"/>
  <c r="D161" i="7"/>
  <c r="D156" i="7"/>
  <c r="P49" i="39"/>
  <c r="C45" i="2"/>
  <c r="F29" i="3"/>
  <c r="C15" i="2"/>
  <c r="O20" i="4"/>
  <c r="D118" i="7"/>
  <c r="D11" i="5"/>
  <c r="H11" i="5" s="1"/>
  <c r="I11" i="5" s="1"/>
  <c r="D15" i="5"/>
  <c r="H15" i="5" s="1"/>
  <c r="I15" i="5" s="1"/>
  <c r="J25" i="6"/>
  <c r="C54" i="27"/>
  <c r="Q16" i="30"/>
  <c r="L20" i="15"/>
  <c r="I20" i="15" s="1"/>
  <c r="H22" i="30"/>
  <c r="C28" i="30"/>
  <c r="H16" i="30"/>
  <c r="Q47" i="31"/>
  <c r="J42" i="46"/>
  <c r="A65" i="46"/>
  <c r="J23" i="6"/>
  <c r="C25" i="2"/>
  <c r="D190" i="7"/>
  <c r="C46" i="2"/>
  <c r="M39" i="13"/>
  <c r="N39" i="13" s="1"/>
  <c r="D153" i="7"/>
  <c r="D119" i="7"/>
  <c r="D178" i="7"/>
  <c r="C71" i="2"/>
  <c r="F71" i="2" s="1"/>
  <c r="J71" i="2" s="1"/>
  <c r="C72" i="3" s="1"/>
  <c r="C67" i="2"/>
  <c r="F67" i="2" s="1"/>
  <c r="J67" i="2" s="1"/>
  <c r="C68" i="3" s="1"/>
  <c r="D174" i="7"/>
  <c r="D171" i="7"/>
  <c r="D160" i="7"/>
  <c r="C53" i="2"/>
  <c r="F53" i="2" s="1"/>
  <c r="D138" i="7"/>
  <c r="C31" i="2"/>
  <c r="F31" i="2" s="1"/>
  <c r="J31" i="2" s="1"/>
  <c r="C32" i="3" s="1"/>
  <c r="C17" i="2"/>
  <c r="F17" i="2" s="1"/>
  <c r="J17" i="2" s="1"/>
  <c r="C18" i="3" s="1"/>
  <c r="D124" i="7"/>
  <c r="D36" i="5"/>
  <c r="H36" i="5" s="1"/>
  <c r="I36" i="5" s="1"/>
  <c r="L27" i="15"/>
  <c r="U53" i="8"/>
  <c r="F33" i="41"/>
  <c r="F35" i="41" s="1"/>
  <c r="H75" i="9" s="1"/>
  <c r="Q18" i="31"/>
  <c r="H20" i="31"/>
  <c r="C95" i="2"/>
  <c r="F95" i="2" s="1"/>
  <c r="R49" i="39"/>
  <c r="D141" i="7"/>
  <c r="Z43" i="31"/>
  <c r="D52" i="39"/>
  <c r="C62" i="39"/>
  <c r="F62" i="39"/>
  <c r="O55" i="44"/>
  <c r="O34" i="44"/>
  <c r="P35" i="44" s="1"/>
  <c r="A15" i="27"/>
  <c r="A36" i="27"/>
  <c r="A58" i="27"/>
  <c r="A32" i="27"/>
  <c r="A54" i="27"/>
  <c r="O15" i="44"/>
  <c r="P13" i="44" s="1"/>
  <c r="Q22" i="30"/>
  <c r="Q48" i="31"/>
  <c r="R48" i="31"/>
  <c r="H62" i="39"/>
  <c r="E55" i="25"/>
  <c r="AA31" i="31"/>
  <c r="E31" i="33"/>
  <c r="E25" i="33"/>
  <c r="J62" i="13" s="1"/>
  <c r="D44" i="39"/>
  <c r="D56" i="39"/>
  <c r="B62" i="39"/>
  <c r="D15" i="39"/>
  <c r="C24" i="39"/>
  <c r="O11" i="39"/>
  <c r="M24" i="39"/>
  <c r="W16" i="45"/>
  <c r="F20" i="45"/>
  <c r="G14" i="45" s="1"/>
  <c r="J43" i="46"/>
  <c r="A66" i="46"/>
  <c r="J39" i="46"/>
  <c r="A62" i="46"/>
  <c r="J35" i="46"/>
  <c r="A58" i="46"/>
  <c r="M29" i="46"/>
  <c r="L29" i="46"/>
  <c r="D46" i="39"/>
  <c r="I24" i="39"/>
  <c r="O49" i="44"/>
  <c r="P45" i="44" s="1"/>
  <c r="O17" i="44"/>
  <c r="H71" i="46"/>
  <c r="J44" i="46"/>
  <c r="A67" i="46"/>
  <c r="J40" i="46"/>
  <c r="A63" i="46"/>
  <c r="J36" i="46"/>
  <c r="A59" i="46"/>
  <c r="P111" i="47"/>
  <c r="Q111" i="47"/>
  <c r="AB98" i="47"/>
  <c r="AD92" i="47" s="1"/>
  <c r="O27" i="31" s="1"/>
  <c r="AC98" i="47"/>
  <c r="P97" i="47"/>
  <c r="R91" i="47" s="1"/>
  <c r="Q97" i="47"/>
  <c r="D24" i="38"/>
  <c r="P42" i="38"/>
  <c r="P51" i="38" s="1"/>
  <c r="E62" i="39"/>
  <c r="D60" i="39"/>
  <c r="G48" i="39"/>
  <c r="O18" i="39"/>
  <c r="O17" i="39"/>
  <c r="O16" i="39"/>
  <c r="N24" i="39"/>
  <c r="O73" i="44"/>
  <c r="I16" i="45"/>
  <c r="I15" i="45"/>
  <c r="J45" i="46"/>
  <c r="A68" i="46"/>
  <c r="J41" i="46"/>
  <c r="A64" i="46"/>
  <c r="J37" i="46"/>
  <c r="A60" i="46"/>
  <c r="AD260" i="47"/>
  <c r="X259" i="47"/>
  <c r="E34" i="43"/>
  <c r="W17" i="45"/>
  <c r="X17" i="47"/>
  <c r="AD14" i="47"/>
  <c r="E44" i="43"/>
  <c r="W18" i="45"/>
  <c r="W14" i="45"/>
  <c r="L52" i="46"/>
  <c r="Q25" i="46"/>
  <c r="AB88" i="47"/>
  <c r="AD91" i="47" s="1"/>
  <c r="F27" i="31" s="1"/>
  <c r="H27" i="31" s="1"/>
  <c r="AC88" i="47"/>
  <c r="V100" i="68"/>
  <c r="W100" i="68" s="1"/>
  <c r="Y100" i="68" s="1"/>
  <c r="P105" i="47"/>
  <c r="Q105" i="47"/>
  <c r="V103" i="47"/>
  <c r="W103" i="47"/>
  <c r="Y91" i="47" s="1"/>
  <c r="AH35" i="48"/>
  <c r="AH39" i="48" s="1"/>
  <c r="AD35" i="48"/>
  <c r="AD39" i="48" s="1"/>
  <c r="Z35" i="48"/>
  <c r="Z39" i="48" s="1"/>
  <c r="AF35" i="48"/>
  <c r="AF39" i="48" s="1"/>
  <c r="AB35" i="48"/>
  <c r="AB39" i="48" s="1"/>
  <c r="X35" i="48"/>
  <c r="X39" i="48" s="1"/>
  <c r="P116" i="47"/>
  <c r="V115" i="47"/>
  <c r="AC104" i="47"/>
  <c r="W98" i="47"/>
  <c r="AC94" i="47"/>
  <c r="Q90" i="47"/>
  <c r="Q89" i="47"/>
  <c r="R44" i="47" s="1"/>
  <c r="W86" i="47"/>
  <c r="Q86" i="47"/>
  <c r="U31" i="49"/>
  <c r="V343" i="68"/>
  <c r="W343" i="68" s="1"/>
  <c r="V287" i="68"/>
  <c r="V249" i="68"/>
  <c r="W249" i="68" s="1"/>
  <c r="Y249" i="68" s="1"/>
  <c r="P217" i="68"/>
  <c r="V170" i="68"/>
  <c r="W170" i="68" s="1"/>
  <c r="Y170" i="68" s="1"/>
  <c r="P170" i="68"/>
  <c r="V151" i="68"/>
  <c r="W151" i="68" s="1"/>
  <c r="Y151" i="68" s="1"/>
  <c r="P149" i="68"/>
  <c r="V122" i="68"/>
  <c r="W122" i="68" s="1"/>
  <c r="Y122" i="68" s="1"/>
  <c r="V119" i="68"/>
  <c r="W119" i="68" s="1"/>
  <c r="Y119" i="68" s="1"/>
  <c r="V113" i="68"/>
  <c r="W113" i="68" s="1"/>
  <c r="Y113" i="68" s="1"/>
  <c r="V112" i="68"/>
  <c r="W112" i="68" s="1"/>
  <c r="Y112" i="68" s="1"/>
  <c r="P30" i="49"/>
  <c r="P225" i="68"/>
  <c r="X53" i="8"/>
  <c r="P20" i="68"/>
  <c r="P316" i="68"/>
  <c r="P52" i="68"/>
  <c r="R52" i="68" s="1"/>
  <c r="T52" i="68" s="1"/>
  <c r="P312" i="68"/>
  <c r="P22" i="68"/>
  <c r="P24" i="68"/>
  <c r="AA55" i="31" l="1"/>
  <c r="R61" i="31"/>
  <c r="C56" i="15" s="1"/>
  <c r="E56" i="15" s="1"/>
  <c r="E33" i="100"/>
  <c r="K33" i="100"/>
  <c r="F50" i="12"/>
  <c r="P50" i="12" s="1"/>
  <c r="Q50" i="12" s="1"/>
  <c r="P48" i="12"/>
  <c r="Q48" i="12" s="1"/>
  <c r="R21" i="68"/>
  <c r="I11" i="31"/>
  <c r="C12" i="100" s="1"/>
  <c r="E12" i="100" s="1"/>
  <c r="AA43" i="31"/>
  <c r="S65" i="31"/>
  <c r="AA29" i="31"/>
  <c r="C25" i="16" s="1"/>
  <c r="E25" i="16" s="1"/>
  <c r="R65" i="31"/>
  <c r="R41" i="31"/>
  <c r="C36" i="15" s="1"/>
  <c r="AA60" i="31"/>
  <c r="C55" i="16" s="1"/>
  <c r="E55" i="16" s="1"/>
  <c r="J87" i="31"/>
  <c r="S41" i="31"/>
  <c r="I44" i="31"/>
  <c r="C47" i="100" s="1"/>
  <c r="E47" i="100" s="1"/>
  <c r="Z45" i="31"/>
  <c r="AB45" i="31" s="1"/>
  <c r="AA62" i="31"/>
  <c r="C57" i="16" s="1"/>
  <c r="E57" i="16" s="1"/>
  <c r="H91" i="31"/>
  <c r="R55" i="31"/>
  <c r="C50" i="15" s="1"/>
  <c r="J10" i="31"/>
  <c r="I49" i="31"/>
  <c r="C52" i="100" s="1"/>
  <c r="E52" i="100" s="1"/>
  <c r="AA41" i="31"/>
  <c r="C36" i="16" s="1"/>
  <c r="AA54" i="31"/>
  <c r="C49" i="16" s="1"/>
  <c r="J49" i="16" s="1"/>
  <c r="R42" i="31"/>
  <c r="C37" i="15" s="1"/>
  <c r="E37" i="15" s="1"/>
  <c r="AB60" i="31"/>
  <c r="I56" i="31"/>
  <c r="C60" i="100" s="1"/>
  <c r="E60" i="100" s="1"/>
  <c r="R50" i="31"/>
  <c r="AC50" i="31" s="1"/>
  <c r="AA89" i="31"/>
  <c r="AB62" i="31"/>
  <c r="W41" i="31"/>
  <c r="AB41" i="31" s="1"/>
  <c r="R60" i="31"/>
  <c r="R62" i="31"/>
  <c r="C57" i="15" s="1"/>
  <c r="J57" i="15" s="1"/>
  <c r="R11" i="31"/>
  <c r="C12" i="15" s="1"/>
  <c r="E12" i="15" s="1"/>
  <c r="S14" i="37"/>
  <c r="U14" i="37" s="1"/>
  <c r="C52" i="37"/>
  <c r="U19" i="37"/>
  <c r="Y19" i="37" s="1"/>
  <c r="K58" i="37"/>
  <c r="N58" i="37" s="1"/>
  <c r="P58" i="37" s="1"/>
  <c r="W19" i="31"/>
  <c r="N13" i="31"/>
  <c r="AA11" i="31"/>
  <c r="C12" i="16" s="1"/>
  <c r="E12" i="16" s="1"/>
  <c r="I54" i="31"/>
  <c r="C58" i="100" s="1"/>
  <c r="E58" i="100" s="1"/>
  <c r="K59" i="37"/>
  <c r="M59" i="37" s="1"/>
  <c r="E31" i="31"/>
  <c r="J31" i="31" s="1"/>
  <c r="S52" i="37"/>
  <c r="K40" i="37"/>
  <c r="N40" i="37" s="1"/>
  <c r="P40" i="37" s="1"/>
  <c r="S35" i="37"/>
  <c r="K12" i="37"/>
  <c r="S38" i="37"/>
  <c r="R18" i="31"/>
  <c r="R37" i="31"/>
  <c r="C32" i="15" s="1"/>
  <c r="N61" i="31"/>
  <c r="W54" i="31"/>
  <c r="N42" i="31"/>
  <c r="S42" i="31" s="1"/>
  <c r="M14" i="37"/>
  <c r="Q14" i="37" s="1"/>
  <c r="W40" i="31"/>
  <c r="V11" i="37"/>
  <c r="X11" i="37" s="1"/>
  <c r="AA19" i="31"/>
  <c r="R53" i="31"/>
  <c r="C48" i="15" s="1"/>
  <c r="E48" i="15" s="1"/>
  <c r="S12" i="37"/>
  <c r="K55" i="37"/>
  <c r="N55" i="37" s="1"/>
  <c r="P55" i="37" s="1"/>
  <c r="S43" i="37"/>
  <c r="V43" i="37" s="1"/>
  <c r="X43" i="37" s="1"/>
  <c r="K41" i="37"/>
  <c r="K30" i="37"/>
  <c r="K51" i="37"/>
  <c r="U39" i="37"/>
  <c r="Y39" i="37" s="1"/>
  <c r="N50" i="31"/>
  <c r="S50" i="31" s="1"/>
  <c r="W10" i="31"/>
  <c r="K35" i="37"/>
  <c r="N35" i="37" s="1"/>
  <c r="P35" i="37" s="1"/>
  <c r="I81" i="3"/>
  <c r="F35" i="3"/>
  <c r="L27" i="3"/>
  <c r="N19" i="2"/>
  <c r="C19" i="21" s="1"/>
  <c r="C19" i="24" s="1"/>
  <c r="L19" i="24" s="1"/>
  <c r="C20" i="3"/>
  <c r="F80" i="3"/>
  <c r="D80" i="12" s="1"/>
  <c r="F56" i="3"/>
  <c r="D56" i="12" s="1"/>
  <c r="J56" i="12" s="1"/>
  <c r="L55" i="2" s="1"/>
  <c r="I27" i="3"/>
  <c r="N27" i="3" s="1"/>
  <c r="I97" i="3"/>
  <c r="I80" i="3"/>
  <c r="L29" i="3"/>
  <c r="F81" i="3"/>
  <c r="D81" i="12" s="1"/>
  <c r="L35" i="3"/>
  <c r="N35" i="3" s="1"/>
  <c r="L28" i="34"/>
  <c r="H21" i="9" s="1"/>
  <c r="G56" i="12"/>
  <c r="D56" i="13" s="1"/>
  <c r="G56" i="13" s="1"/>
  <c r="Q89" i="31"/>
  <c r="I58" i="31"/>
  <c r="C62" i="100" s="1"/>
  <c r="E62" i="100" s="1"/>
  <c r="AA57" i="31"/>
  <c r="C52" i="16" s="1"/>
  <c r="E52" i="16" s="1"/>
  <c r="AB57" i="31"/>
  <c r="I65" i="31"/>
  <c r="S62" i="31"/>
  <c r="Z50" i="31"/>
  <c r="AB50" i="31" s="1"/>
  <c r="R43" i="31"/>
  <c r="C38" i="15" s="1"/>
  <c r="E38" i="15" s="1"/>
  <c r="F17" i="31"/>
  <c r="H17" i="31" s="1"/>
  <c r="L14" i="31"/>
  <c r="K15" i="37" s="1"/>
  <c r="N15" i="37" s="1"/>
  <c r="P15" i="37" s="1"/>
  <c r="AA46" i="31"/>
  <c r="C41" i="16" s="1"/>
  <c r="J41" i="16" s="1"/>
  <c r="I29" i="31"/>
  <c r="C30" i="100" s="1"/>
  <c r="E30" i="100" s="1"/>
  <c r="R58" i="31"/>
  <c r="AH58" i="31" s="1"/>
  <c r="U17" i="31"/>
  <c r="S18" i="37" s="1"/>
  <c r="R29" i="31"/>
  <c r="U27" i="31"/>
  <c r="W27" i="31" s="1"/>
  <c r="AB27" i="31" s="1"/>
  <c r="N29" i="31"/>
  <c r="U33" i="37"/>
  <c r="Y33" i="37" s="1"/>
  <c r="W55" i="31"/>
  <c r="AB55" i="31" s="1"/>
  <c r="W89" i="31"/>
  <c r="K45" i="37"/>
  <c r="M45" i="37" s="1"/>
  <c r="S44" i="37"/>
  <c r="V44" i="37" s="1"/>
  <c r="X44" i="37" s="1"/>
  <c r="W48" i="31"/>
  <c r="AB48" i="31" s="1"/>
  <c r="S53" i="37"/>
  <c r="U53" i="37" s="1"/>
  <c r="S46" i="37"/>
  <c r="R47" i="31"/>
  <c r="AH47" i="31" s="1"/>
  <c r="U12" i="31"/>
  <c r="R54" i="31"/>
  <c r="C49" i="15" s="1"/>
  <c r="J49" i="15" s="1"/>
  <c r="K18" i="37"/>
  <c r="N18" i="37" s="1"/>
  <c r="P18" i="37" s="1"/>
  <c r="C56" i="37"/>
  <c r="E56" i="37" s="1"/>
  <c r="K33" i="37"/>
  <c r="N33" i="37" s="1"/>
  <c r="P33" i="37" s="1"/>
  <c r="S62" i="37"/>
  <c r="U62" i="37" s="1"/>
  <c r="M44" i="37"/>
  <c r="Q44" i="37" s="1"/>
  <c r="N11" i="37"/>
  <c r="P11" i="37" s="1"/>
  <c r="Q11" i="37" s="1"/>
  <c r="AA64" i="31"/>
  <c r="C58" i="16" s="1"/>
  <c r="H58" i="16" s="1"/>
  <c r="N46" i="31"/>
  <c r="S46" i="31" s="1"/>
  <c r="AA32" i="31"/>
  <c r="C27" i="16" s="1"/>
  <c r="E27" i="16" s="1"/>
  <c r="C28" i="31"/>
  <c r="C27" i="37" s="1"/>
  <c r="F27" i="37" s="1"/>
  <c r="H27" i="37" s="1"/>
  <c r="I31" i="31"/>
  <c r="C32" i="100" s="1"/>
  <c r="E32" i="100" s="1"/>
  <c r="U15" i="31"/>
  <c r="S16" i="37" s="1"/>
  <c r="L16" i="31"/>
  <c r="R16" i="31" s="1"/>
  <c r="C17" i="15" s="1"/>
  <c r="E17" i="15" s="1"/>
  <c r="L15" i="31"/>
  <c r="R15" i="31" s="1"/>
  <c r="C16" i="15" s="1"/>
  <c r="J16" i="15" s="1"/>
  <c r="U38" i="31"/>
  <c r="W38" i="31" s="1"/>
  <c r="L12" i="31"/>
  <c r="K13" i="37" s="1"/>
  <c r="W35" i="31"/>
  <c r="U16" i="31"/>
  <c r="S17" i="37" s="1"/>
  <c r="K56" i="37"/>
  <c r="N56" i="37" s="1"/>
  <c r="P56" i="37" s="1"/>
  <c r="L27" i="31"/>
  <c r="K26" i="37" s="1"/>
  <c r="J54" i="31"/>
  <c r="J47" i="31"/>
  <c r="AA42" i="31"/>
  <c r="AC42" i="31" s="1"/>
  <c r="AB42" i="31"/>
  <c r="I41" i="31"/>
  <c r="C44" i="100" s="1"/>
  <c r="E44" i="100" s="1"/>
  <c r="X35" i="31"/>
  <c r="Z35" i="31" s="1"/>
  <c r="O35" i="31"/>
  <c r="Q35" i="31" s="1"/>
  <c r="S35" i="31" s="1"/>
  <c r="X38" i="31"/>
  <c r="Z38" i="31" s="1"/>
  <c r="O38" i="31"/>
  <c r="F38" i="31"/>
  <c r="H38" i="31" s="1"/>
  <c r="F35" i="31"/>
  <c r="I35" i="31" s="1"/>
  <c r="C38" i="100" s="1"/>
  <c r="E38" i="100" s="1"/>
  <c r="F18" i="31"/>
  <c r="O17" i="31"/>
  <c r="X16" i="31"/>
  <c r="Z16" i="31" s="1"/>
  <c r="X15" i="31"/>
  <c r="Z15" i="31" s="1"/>
  <c r="F15" i="31"/>
  <c r="H15" i="31" s="1"/>
  <c r="X14" i="31"/>
  <c r="Z14" i="31" s="1"/>
  <c r="AB14" i="31" s="1"/>
  <c r="O14" i="31"/>
  <c r="Q14" i="31" s="1"/>
  <c r="F14" i="31"/>
  <c r="H14" i="31" s="1"/>
  <c r="X13" i="31"/>
  <c r="AA13" i="31" s="1"/>
  <c r="C14" i="16" s="1"/>
  <c r="E14" i="16" s="1"/>
  <c r="F12" i="31"/>
  <c r="I12" i="31" s="1"/>
  <c r="C13" i="100" s="1"/>
  <c r="E13" i="100" s="1"/>
  <c r="P73" i="46"/>
  <c r="I56" i="3"/>
  <c r="U36" i="49"/>
  <c r="V36" i="49" s="1"/>
  <c r="P294" i="68"/>
  <c r="P298" i="68" s="1"/>
  <c r="Z21" i="68"/>
  <c r="Z219" i="68"/>
  <c r="AB219" i="68" s="1"/>
  <c r="Z318" i="68"/>
  <c r="AB318" i="68" s="1"/>
  <c r="L97" i="3"/>
  <c r="F97" i="3"/>
  <c r="D97" i="12" s="1"/>
  <c r="J97" i="12" s="1"/>
  <c r="AE79" i="31"/>
  <c r="D222" i="7"/>
  <c r="H99" i="2"/>
  <c r="J99" i="2" s="1"/>
  <c r="C100" i="3" s="1"/>
  <c r="L56" i="3"/>
  <c r="E25" i="5"/>
  <c r="C27" i="36"/>
  <c r="E32" i="36" s="1"/>
  <c r="M97" i="46"/>
  <c r="O97" i="46"/>
  <c r="N97" i="46"/>
  <c r="AA10" i="31"/>
  <c r="C11" i="16" s="1"/>
  <c r="E11" i="16" s="1"/>
  <c r="E18" i="37"/>
  <c r="I18" i="37" s="1"/>
  <c r="Q259" i="47"/>
  <c r="R259" i="47" s="1"/>
  <c r="Q251" i="47"/>
  <c r="R251" i="47" s="1"/>
  <c r="Q261" i="47"/>
  <c r="R261" i="47" s="1"/>
  <c r="Q250" i="47"/>
  <c r="R250" i="47" s="1"/>
  <c r="Q252" i="47"/>
  <c r="R252" i="47" s="1"/>
  <c r="Q260" i="47"/>
  <c r="R260" i="47" s="1"/>
  <c r="R92" i="47"/>
  <c r="C63" i="37"/>
  <c r="F63" i="37" s="1"/>
  <c r="H63" i="37" s="1"/>
  <c r="I64" i="31"/>
  <c r="C68" i="100" s="1"/>
  <c r="E37" i="31"/>
  <c r="J37" i="31" s="1"/>
  <c r="AE37" i="31" s="1"/>
  <c r="E65" i="31"/>
  <c r="J65" i="31" s="1"/>
  <c r="AE65" i="31" s="1"/>
  <c r="E17" i="37"/>
  <c r="I17" i="37" s="1"/>
  <c r="E82" i="37"/>
  <c r="I82" i="37" s="1"/>
  <c r="C47" i="37"/>
  <c r="E47" i="37" s="1"/>
  <c r="C38" i="37"/>
  <c r="F38" i="37" s="1"/>
  <c r="H38" i="37" s="1"/>
  <c r="C62" i="37"/>
  <c r="F62" i="37" s="1"/>
  <c r="H62" i="37" s="1"/>
  <c r="E44" i="37"/>
  <c r="I44" i="37" s="1"/>
  <c r="E49" i="31"/>
  <c r="J49" i="31" s="1"/>
  <c r="I42" i="31"/>
  <c r="C45" i="100" s="1"/>
  <c r="E45" i="100" s="1"/>
  <c r="I10" i="31"/>
  <c r="C11" i="100" s="1"/>
  <c r="C41" i="37"/>
  <c r="E41" i="37" s="1"/>
  <c r="I37" i="31"/>
  <c r="C40" i="100" s="1"/>
  <c r="E40" i="100" s="1"/>
  <c r="C11" i="37"/>
  <c r="F11" i="37" s="1"/>
  <c r="H11" i="37" s="1"/>
  <c r="C12" i="37"/>
  <c r="F12" i="37" s="1"/>
  <c r="H12" i="37" s="1"/>
  <c r="E17" i="31"/>
  <c r="J17" i="31" s="1"/>
  <c r="I50" i="31"/>
  <c r="C53" i="100" s="1"/>
  <c r="E53" i="100" s="1"/>
  <c r="I40" i="31"/>
  <c r="C43" i="100" s="1"/>
  <c r="E43" i="100" s="1"/>
  <c r="AB10" i="31"/>
  <c r="AE10" i="31" s="1"/>
  <c r="C48" i="37"/>
  <c r="F48" i="37" s="1"/>
  <c r="H48" i="37" s="1"/>
  <c r="E56" i="31"/>
  <c r="J56" i="31" s="1"/>
  <c r="AE56" i="31" s="1"/>
  <c r="E60" i="31"/>
  <c r="J60" i="31" s="1"/>
  <c r="C46" i="37"/>
  <c r="F46" i="37" s="1"/>
  <c r="H46" i="37" s="1"/>
  <c r="C54" i="37"/>
  <c r="E54" i="37" s="1"/>
  <c r="E48" i="31"/>
  <c r="J48" i="31" s="1"/>
  <c r="I59" i="31"/>
  <c r="C63" i="100" s="1"/>
  <c r="E63" i="100" s="1"/>
  <c r="E11" i="31"/>
  <c r="J11" i="31" s="1"/>
  <c r="C57" i="37"/>
  <c r="E57" i="37" s="1"/>
  <c r="C53" i="37"/>
  <c r="F53" i="37" s="1"/>
  <c r="H53" i="37" s="1"/>
  <c r="I55" i="31"/>
  <c r="C59" i="100" s="1"/>
  <c r="E59" i="100" s="1"/>
  <c r="E58" i="37"/>
  <c r="I58" i="37" s="1"/>
  <c r="E19" i="37"/>
  <c r="I19" i="37" s="1"/>
  <c r="C33" i="37"/>
  <c r="H34" i="37" s="1"/>
  <c r="I34" i="37" s="1"/>
  <c r="I60" i="31"/>
  <c r="C64" i="100" s="1"/>
  <c r="E64" i="100" s="1"/>
  <c r="E62" i="31"/>
  <c r="J62" i="31" s="1"/>
  <c r="I63" i="31"/>
  <c r="C67" i="100" s="1"/>
  <c r="E67" i="100" s="1"/>
  <c r="C39" i="37"/>
  <c r="E39" i="37" s="1"/>
  <c r="I20" i="31"/>
  <c r="C21" i="100" s="1"/>
  <c r="E21" i="100" s="1"/>
  <c r="I61" i="31"/>
  <c r="I47" i="31"/>
  <c r="C50" i="100" s="1"/>
  <c r="E50" i="100" s="1"/>
  <c r="I88" i="31"/>
  <c r="E18" i="31"/>
  <c r="E43" i="31"/>
  <c r="J43" i="31" s="1"/>
  <c r="C21" i="37"/>
  <c r="E21" i="37" s="1"/>
  <c r="C45" i="37"/>
  <c r="F45" i="37" s="1"/>
  <c r="H45" i="37" s="1"/>
  <c r="C61" i="37"/>
  <c r="F61" i="37" s="1"/>
  <c r="H61" i="37" s="1"/>
  <c r="E42" i="31"/>
  <c r="J42" i="31" s="1"/>
  <c r="C42" i="37"/>
  <c r="F42" i="37" s="1"/>
  <c r="H42" i="37" s="1"/>
  <c r="E45" i="31"/>
  <c r="J45" i="31" s="1"/>
  <c r="E55" i="37"/>
  <c r="I55" i="37" s="1"/>
  <c r="E26" i="31"/>
  <c r="J26" i="31" s="1"/>
  <c r="I26" i="31"/>
  <c r="C27" i="100" s="1"/>
  <c r="E27" i="100" s="1"/>
  <c r="E41" i="31"/>
  <c r="J41" i="31" s="1"/>
  <c r="AE41" i="31" s="1"/>
  <c r="I53" i="31"/>
  <c r="C57" i="100" s="1"/>
  <c r="E57" i="100" s="1"/>
  <c r="I45" i="31"/>
  <c r="C48" i="100" s="1"/>
  <c r="E48" i="100" s="1"/>
  <c r="E83" i="37"/>
  <c r="I83" i="37" s="1"/>
  <c r="C60" i="37"/>
  <c r="F60" i="37" s="1"/>
  <c r="H60" i="37" s="1"/>
  <c r="C86" i="37"/>
  <c r="E25" i="37"/>
  <c r="I25" i="37" s="1"/>
  <c r="C30" i="37"/>
  <c r="F30" i="37" s="1"/>
  <c r="H30" i="37" s="1"/>
  <c r="E20" i="37"/>
  <c r="I20" i="37" s="1"/>
  <c r="C59" i="37"/>
  <c r="F59" i="37" s="1"/>
  <c r="H59" i="37" s="1"/>
  <c r="E32" i="31"/>
  <c r="J32" i="31" s="1"/>
  <c r="AE32" i="31" s="1"/>
  <c r="AC51" i="47"/>
  <c r="AD51" i="47" s="1"/>
  <c r="X23" i="31" s="1"/>
  <c r="AD54" i="47"/>
  <c r="X24" i="31" s="1"/>
  <c r="I57" i="31"/>
  <c r="C61" i="100" s="1"/>
  <c r="E61" i="100" s="1"/>
  <c r="I46" i="31"/>
  <c r="C49" i="100" s="1"/>
  <c r="E49" i="100" s="1"/>
  <c r="C51" i="37"/>
  <c r="E51" i="37" s="1"/>
  <c r="C38" i="31"/>
  <c r="C36" i="37" s="1"/>
  <c r="F36" i="37" s="1"/>
  <c r="H36" i="37" s="1"/>
  <c r="AF259" i="47"/>
  <c r="E57" i="31"/>
  <c r="J57" i="31" s="1"/>
  <c r="E46" i="31"/>
  <c r="J46" i="31" s="1"/>
  <c r="E19" i="31"/>
  <c r="J19" i="31" s="1"/>
  <c r="C15" i="31"/>
  <c r="C16" i="37" s="1"/>
  <c r="E16" i="37" s="1"/>
  <c r="AF19" i="47"/>
  <c r="E16" i="31"/>
  <c r="J16" i="31" s="1"/>
  <c r="C13" i="37"/>
  <c r="F13" i="37" s="1"/>
  <c r="H13" i="37" s="1"/>
  <c r="C13" i="31"/>
  <c r="I13" i="31" s="1"/>
  <c r="C14" i="100" s="1"/>
  <c r="E14" i="100" s="1"/>
  <c r="AF13" i="47"/>
  <c r="I16" i="31"/>
  <c r="C17" i="100" s="1"/>
  <c r="E17" i="100" s="1"/>
  <c r="K17" i="100" s="1"/>
  <c r="S18" i="31"/>
  <c r="C14" i="31"/>
  <c r="E14" i="31" s="1"/>
  <c r="AF16" i="47"/>
  <c r="N87" i="31"/>
  <c r="S87" i="31" s="1"/>
  <c r="F37" i="3"/>
  <c r="D37" i="12" s="1"/>
  <c r="G37" i="12" s="1"/>
  <c r="I37" i="3"/>
  <c r="L37" i="3"/>
  <c r="G27" i="12"/>
  <c r="D27" i="13" s="1"/>
  <c r="G27" i="13" s="1"/>
  <c r="J27" i="12"/>
  <c r="L26" i="2" s="1"/>
  <c r="S29" i="30"/>
  <c r="S60" i="31"/>
  <c r="AB54" i="31"/>
  <c r="P25" i="68"/>
  <c r="T25" i="68" s="1"/>
  <c r="S89" i="31"/>
  <c r="C28" i="29" s="1"/>
  <c r="L97" i="46"/>
  <c r="Q97" i="46" s="1"/>
  <c r="R55" i="38"/>
  <c r="N75" i="46"/>
  <c r="Q40" i="32"/>
  <c r="H15" i="9" s="1"/>
  <c r="Q354" i="68"/>
  <c r="C58" i="8"/>
  <c r="D58" i="8" s="1"/>
  <c r="D38" i="8" s="1"/>
  <c r="E37" i="43"/>
  <c r="AB49" i="31"/>
  <c r="J57" i="32"/>
  <c r="Q24" i="32"/>
  <c r="R24" i="32" s="1"/>
  <c r="C27" i="40" s="1"/>
  <c r="D27" i="40" s="1"/>
  <c r="H13" i="9"/>
  <c r="R22" i="32"/>
  <c r="C25" i="40" s="1"/>
  <c r="D25" i="40" s="1"/>
  <c r="R12" i="32"/>
  <c r="C15" i="40" s="1"/>
  <c r="D15" i="40" s="1"/>
  <c r="J30" i="39"/>
  <c r="J28" i="28"/>
  <c r="K26" i="28" s="1"/>
  <c r="G10" i="28"/>
  <c r="G14" i="28"/>
  <c r="G27" i="26" s="1"/>
  <c r="G14" i="6"/>
  <c r="N140" i="7"/>
  <c r="N143" i="7"/>
  <c r="E56" i="25"/>
  <c r="F13" i="25" s="1"/>
  <c r="E49" i="43"/>
  <c r="AB18" i="31"/>
  <c r="J29" i="31"/>
  <c r="I87" i="31"/>
  <c r="AA87" i="31"/>
  <c r="AH87" i="31" s="1"/>
  <c r="Q266" i="47"/>
  <c r="R266" i="47" s="1"/>
  <c r="Q263" i="47"/>
  <c r="R263" i="47" s="1"/>
  <c r="R188" i="47"/>
  <c r="S11" i="31"/>
  <c r="Q267" i="47"/>
  <c r="R267" i="47" s="1"/>
  <c r="Q264" i="47"/>
  <c r="R264" i="47" s="1"/>
  <c r="AB43" i="31"/>
  <c r="S47" i="31"/>
  <c r="AE47" i="31" s="1"/>
  <c r="AB20" i="31"/>
  <c r="W69" i="31"/>
  <c r="AB69" i="31" s="1"/>
  <c r="R89" i="31"/>
  <c r="R22" i="31"/>
  <c r="C21" i="15" s="1"/>
  <c r="K21" i="15" s="1"/>
  <c r="S54" i="31"/>
  <c r="J40" i="31"/>
  <c r="AB11" i="31"/>
  <c r="C68" i="37"/>
  <c r="F68" i="37" s="1"/>
  <c r="H68" i="37" s="1"/>
  <c r="S43" i="31"/>
  <c r="AB89" i="31"/>
  <c r="C29" i="29" s="1"/>
  <c r="AA69" i="31"/>
  <c r="C63" i="16" s="1"/>
  <c r="N70" i="31"/>
  <c r="S70" i="31" s="1"/>
  <c r="S29" i="31"/>
  <c r="J53" i="31"/>
  <c r="U91" i="31"/>
  <c r="Q20" i="37"/>
  <c r="M68" i="37"/>
  <c r="Q68" i="37" s="1"/>
  <c r="S86" i="37"/>
  <c r="M84" i="37"/>
  <c r="Q84" i="37" s="1"/>
  <c r="J58" i="31"/>
  <c r="S58" i="31"/>
  <c r="J61" i="31"/>
  <c r="AB70" i="31"/>
  <c r="AB26" i="31"/>
  <c r="AB64" i="31"/>
  <c r="E89" i="31"/>
  <c r="J89" i="31" s="1"/>
  <c r="C27" i="29" s="1"/>
  <c r="J63" i="31"/>
  <c r="AE63" i="31" s="1"/>
  <c r="S86" i="31"/>
  <c r="U84" i="37"/>
  <c r="Y84" i="37" s="1"/>
  <c r="AA86" i="31"/>
  <c r="J55" i="31"/>
  <c r="S45" i="31"/>
  <c r="R86" i="31"/>
  <c r="U82" i="37"/>
  <c r="V67" i="37"/>
  <c r="X67" i="37" s="1"/>
  <c r="Y67" i="37" s="1"/>
  <c r="S55" i="31"/>
  <c r="AA70" i="31"/>
  <c r="C64" i="16" s="1"/>
  <c r="J64" i="16" s="1"/>
  <c r="S48" i="31"/>
  <c r="S31" i="31"/>
  <c r="S26" i="31"/>
  <c r="W91" i="31"/>
  <c r="C91" i="31"/>
  <c r="S68" i="37"/>
  <c r="V68" i="37" s="1"/>
  <c r="X68" i="37" s="1"/>
  <c r="AB58" i="31"/>
  <c r="I86" i="31"/>
  <c r="N42" i="32"/>
  <c r="J27" i="6"/>
  <c r="K27" i="6" s="1"/>
  <c r="M73" i="46"/>
  <c r="L73" i="46"/>
  <c r="N136" i="7"/>
  <c r="N133" i="7"/>
  <c r="F18" i="2"/>
  <c r="J18" i="2" s="1"/>
  <c r="N142" i="7"/>
  <c r="N137" i="7"/>
  <c r="N134" i="7"/>
  <c r="N135" i="7"/>
  <c r="N132" i="7"/>
  <c r="N357" i="68"/>
  <c r="Y337" i="68"/>
  <c r="Q38" i="68"/>
  <c r="V212" i="68"/>
  <c r="W212" i="68" s="1"/>
  <c r="Y212" i="68" s="1"/>
  <c r="P337" i="68"/>
  <c r="W46" i="68"/>
  <c r="T287" i="68"/>
  <c r="T290" i="68" s="1"/>
  <c r="J23" i="43" s="1"/>
  <c r="K18" i="8" s="1"/>
  <c r="K14" i="8" s="1"/>
  <c r="P290" i="68"/>
  <c r="T310" i="68"/>
  <c r="Z310" i="68" s="1"/>
  <c r="AA310" i="68" s="1"/>
  <c r="P244" i="68"/>
  <c r="P329" i="68"/>
  <c r="P214" i="68"/>
  <c r="Z340" i="68"/>
  <c r="AA340" i="68" s="1"/>
  <c r="P354" i="68"/>
  <c r="T67" i="68"/>
  <c r="T73" i="68" s="1"/>
  <c r="D23" i="43" s="1"/>
  <c r="E18" i="8" s="1"/>
  <c r="P73" i="68"/>
  <c r="R46" i="68"/>
  <c r="P63" i="68"/>
  <c r="P283" i="68"/>
  <c r="T165" i="68"/>
  <c r="Z165" i="68" s="1"/>
  <c r="AB165" i="68" s="1"/>
  <c r="T164" i="68"/>
  <c r="Z164" i="68" s="1"/>
  <c r="AB164" i="68" s="1"/>
  <c r="T122" i="68"/>
  <c r="Z122" i="68" s="1"/>
  <c r="AB122" i="68" s="1"/>
  <c r="Z128" i="68"/>
  <c r="AB128" i="68" s="1"/>
  <c r="Z155" i="68"/>
  <c r="AB155" i="68" s="1"/>
  <c r="T124" i="68"/>
  <c r="Z124" i="68" s="1"/>
  <c r="AA124" i="68" s="1"/>
  <c r="T19" i="68"/>
  <c r="R161" i="68"/>
  <c r="R232" i="68"/>
  <c r="Z171" i="68"/>
  <c r="AA171" i="68" s="1"/>
  <c r="T175" i="68"/>
  <c r="Z175" i="68" s="1"/>
  <c r="AB175" i="68" s="1"/>
  <c r="Z117" i="68"/>
  <c r="AB117" i="68" s="1"/>
  <c r="T234" i="68"/>
  <c r="Z234" i="68" s="1"/>
  <c r="AB234" i="68" s="1"/>
  <c r="R153" i="68"/>
  <c r="O73" i="46"/>
  <c r="R19" i="32"/>
  <c r="C22" i="40" s="1"/>
  <c r="D22" i="40" s="1"/>
  <c r="R16" i="32"/>
  <c r="C19" i="40" s="1"/>
  <c r="D19" i="40" s="1"/>
  <c r="Z126" i="68"/>
  <c r="AA126" i="68" s="1"/>
  <c r="R128" i="68"/>
  <c r="R117" i="68"/>
  <c r="T89" i="68"/>
  <c r="Z89" i="68" s="1"/>
  <c r="AB89" i="68" s="1"/>
  <c r="R218" i="68"/>
  <c r="R67" i="68"/>
  <c r="Z92" i="68"/>
  <c r="AB92" i="68" s="1"/>
  <c r="Z235" i="68"/>
  <c r="AB235" i="68" s="1"/>
  <c r="T341" i="68"/>
  <c r="Z341" i="68" s="1"/>
  <c r="AA341" i="68" s="1"/>
  <c r="T88" i="68"/>
  <c r="Z88" i="68" s="1"/>
  <c r="AB88" i="68" s="1"/>
  <c r="R100" i="68"/>
  <c r="T163" i="68"/>
  <c r="Z163" i="68" s="1"/>
  <c r="AB163" i="68" s="1"/>
  <c r="Z315" i="68"/>
  <c r="AB315" i="68" s="1"/>
  <c r="Z105" i="68"/>
  <c r="AB105" i="68" s="1"/>
  <c r="Z115" i="68"/>
  <c r="AB115" i="68" s="1"/>
  <c r="Z250" i="68"/>
  <c r="AB250" i="68" s="1"/>
  <c r="H81" i="2"/>
  <c r="J81" i="2" s="1"/>
  <c r="C82" i="3" s="1"/>
  <c r="E27" i="36"/>
  <c r="K34" i="2"/>
  <c r="F29" i="37"/>
  <c r="H29" i="37" s="1"/>
  <c r="I29" i="37" s="1"/>
  <c r="R15" i="32"/>
  <c r="C18" i="40" s="1"/>
  <c r="D18" i="40" s="1"/>
  <c r="Z136" i="68"/>
  <c r="AB136" i="68" s="1"/>
  <c r="V49" i="68"/>
  <c r="W49" i="68" s="1"/>
  <c r="Y49" i="68" s="1"/>
  <c r="Z158" i="68"/>
  <c r="AA158" i="68" s="1"/>
  <c r="V47" i="68"/>
  <c r="W47" i="68" s="1"/>
  <c r="Y47" i="68" s="1"/>
  <c r="V18" i="68"/>
  <c r="W18" i="68" s="1"/>
  <c r="Y18" i="68" s="1"/>
  <c r="R265" i="68"/>
  <c r="V265" i="68" s="1"/>
  <c r="W265" i="68" s="1"/>
  <c r="Y265" i="68" s="1"/>
  <c r="Z162" i="68"/>
  <c r="AB162" i="68" s="1"/>
  <c r="T156" i="68"/>
  <c r="Z156" i="68" s="1"/>
  <c r="AB156" i="68" s="1"/>
  <c r="Z236" i="68"/>
  <c r="AB236" i="68" s="1"/>
  <c r="T233" i="68"/>
  <c r="Z233" i="68" s="1"/>
  <c r="AB233" i="68" s="1"/>
  <c r="Z129" i="68"/>
  <c r="AB129" i="68" s="1"/>
  <c r="R78" i="68"/>
  <c r="V16" i="68"/>
  <c r="W16" i="68" s="1"/>
  <c r="Y16" i="68" s="1"/>
  <c r="V53" i="68"/>
  <c r="W53" i="68" s="1"/>
  <c r="Y53" i="68" s="1"/>
  <c r="V51" i="68"/>
  <c r="W51" i="68" s="1"/>
  <c r="Y51" i="68" s="1"/>
  <c r="R95" i="68"/>
  <c r="T320" i="68"/>
  <c r="Z320" i="68" s="1"/>
  <c r="AB320" i="68" s="1"/>
  <c r="R155" i="68"/>
  <c r="T343" i="68"/>
  <c r="R171" i="68"/>
  <c r="R136" i="68"/>
  <c r="T168" i="68"/>
  <c r="Z168" i="68" s="1"/>
  <c r="AA168" i="68" s="1"/>
  <c r="Z116" i="68"/>
  <c r="AB116" i="68" s="1"/>
  <c r="Z102" i="68"/>
  <c r="AB102" i="68" s="1"/>
  <c r="Z218" i="68"/>
  <c r="AB218" i="68" s="1"/>
  <c r="R348" i="68"/>
  <c r="V348" i="68" s="1"/>
  <c r="W348" i="68" s="1"/>
  <c r="Y348" i="68" s="1"/>
  <c r="T222" i="68"/>
  <c r="Z222" i="68" s="1"/>
  <c r="AA222" i="68" s="1"/>
  <c r="R80" i="68"/>
  <c r="T123" i="68"/>
  <c r="Z123" i="68" s="1"/>
  <c r="AB123" i="68" s="1"/>
  <c r="R178" i="68"/>
  <c r="Z94" i="68"/>
  <c r="AA94" i="68" s="1"/>
  <c r="Z79" i="68"/>
  <c r="AA79" i="68" s="1"/>
  <c r="Z131" i="68"/>
  <c r="AB131" i="68" s="1"/>
  <c r="R129" i="68"/>
  <c r="R256" i="68"/>
  <c r="T143" i="68"/>
  <c r="Z143" i="68" s="1"/>
  <c r="AA143" i="68" s="1"/>
  <c r="T221" i="68"/>
  <c r="Z221" i="68" s="1"/>
  <c r="AB221" i="68" s="1"/>
  <c r="Z346" i="68"/>
  <c r="AA346" i="68" s="1"/>
  <c r="R140" i="68"/>
  <c r="Z84" i="68"/>
  <c r="AB84" i="68" s="1"/>
  <c r="R158" i="68"/>
  <c r="Z262" i="68"/>
  <c r="AA262" i="68" s="1"/>
  <c r="T27" i="68"/>
  <c r="Z27" i="68" s="1"/>
  <c r="AB27" i="68" s="1"/>
  <c r="T130" i="68"/>
  <c r="Z130" i="68" s="1"/>
  <c r="AB130" i="68" s="1"/>
  <c r="R306" i="68"/>
  <c r="R116" i="68"/>
  <c r="V61" i="37"/>
  <c r="X61" i="37" s="1"/>
  <c r="U61" i="37"/>
  <c r="S61" i="31"/>
  <c r="J44" i="31"/>
  <c r="J50" i="31"/>
  <c r="AB29" i="31"/>
  <c r="AB61" i="31"/>
  <c r="S20" i="31"/>
  <c r="J64" i="31"/>
  <c r="N62" i="37"/>
  <c r="P62" i="37" s="1"/>
  <c r="M62" i="37"/>
  <c r="N12" i="37"/>
  <c r="P12" i="37" s="1"/>
  <c r="M12" i="37"/>
  <c r="U41" i="37"/>
  <c r="V41" i="37"/>
  <c r="X41" i="37" s="1"/>
  <c r="M42" i="37"/>
  <c r="N42" i="37"/>
  <c r="P42" i="37" s="1"/>
  <c r="V47" i="37"/>
  <c r="X47" i="37" s="1"/>
  <c r="U47" i="37"/>
  <c r="K86" i="37"/>
  <c r="M82" i="37"/>
  <c r="V21" i="37"/>
  <c r="X21" i="37" s="1"/>
  <c r="U21" i="37"/>
  <c r="V28" i="37"/>
  <c r="X28" i="37" s="1"/>
  <c r="U28" i="37"/>
  <c r="N69" i="31"/>
  <c r="S69" i="31" s="1"/>
  <c r="E27" i="37"/>
  <c r="S57" i="31"/>
  <c r="V35" i="37"/>
  <c r="X35" i="37" s="1"/>
  <c r="U35" i="37"/>
  <c r="U38" i="37"/>
  <c r="V38" i="37"/>
  <c r="X38" i="37" s="1"/>
  <c r="N22" i="31"/>
  <c r="S22" i="31" s="1"/>
  <c r="K23" i="37"/>
  <c r="V58" i="37"/>
  <c r="X58" i="37" s="1"/>
  <c r="U58" i="37"/>
  <c r="M54" i="37"/>
  <c r="Q54" i="37" s="1"/>
  <c r="AB40" i="31"/>
  <c r="AH19" i="31"/>
  <c r="S59" i="31"/>
  <c r="N41" i="37"/>
  <c r="P41" i="37" s="1"/>
  <c r="M41" i="37"/>
  <c r="Q19" i="37"/>
  <c r="E84" i="37"/>
  <c r="F84" i="37"/>
  <c r="V42" i="37"/>
  <c r="X42" i="37" s="1"/>
  <c r="U42" i="37"/>
  <c r="M43" i="37"/>
  <c r="N43" i="37"/>
  <c r="P43" i="37" s="1"/>
  <c r="V30" i="37"/>
  <c r="X30" i="37" s="1"/>
  <c r="U30" i="37"/>
  <c r="M47" i="37"/>
  <c r="N47" i="37"/>
  <c r="P47" i="37" s="1"/>
  <c r="M57" i="37"/>
  <c r="N57" i="37"/>
  <c r="P57" i="37" s="1"/>
  <c r="N46" i="37"/>
  <c r="P46" i="37" s="1"/>
  <c r="M46" i="37"/>
  <c r="N67" i="37"/>
  <c r="P67" i="37" s="1"/>
  <c r="M67" i="37"/>
  <c r="J20" i="31"/>
  <c r="S53" i="31"/>
  <c r="S44" i="31"/>
  <c r="M30" i="37"/>
  <c r="N30" i="37"/>
  <c r="P30" i="37" s="1"/>
  <c r="M21" i="37"/>
  <c r="N21" i="37"/>
  <c r="P21" i="37" s="1"/>
  <c r="S40" i="31"/>
  <c r="L91" i="31"/>
  <c r="N45" i="37"/>
  <c r="P45" i="37" s="1"/>
  <c r="U57" i="37"/>
  <c r="V57" i="37"/>
  <c r="X57" i="37" s="1"/>
  <c r="Y22" i="37"/>
  <c r="Y63" i="37"/>
  <c r="J59" i="31"/>
  <c r="N22" i="37"/>
  <c r="P22" i="37" s="1"/>
  <c r="M22" i="37"/>
  <c r="AB53" i="31"/>
  <c r="W22" i="31"/>
  <c r="S23" i="37"/>
  <c r="Y20" i="37"/>
  <c r="V45" i="37"/>
  <c r="X45" i="37" s="1"/>
  <c r="U45" i="37"/>
  <c r="V51" i="37"/>
  <c r="X51" i="37" s="1"/>
  <c r="U51" i="37"/>
  <c r="V46" i="37"/>
  <c r="X46" i="37" s="1"/>
  <c r="U46" i="37"/>
  <c r="M51" i="37"/>
  <c r="N51" i="37"/>
  <c r="P51" i="37" s="1"/>
  <c r="G12" i="6"/>
  <c r="G18" i="45"/>
  <c r="G10" i="6"/>
  <c r="Q51" i="30"/>
  <c r="P53" i="30" s="1"/>
  <c r="R69" i="31"/>
  <c r="C63" i="15" s="1"/>
  <c r="R182" i="47"/>
  <c r="R194" i="47"/>
  <c r="R187" i="47"/>
  <c r="J54" i="15"/>
  <c r="J56" i="15"/>
  <c r="K56" i="15" s="1"/>
  <c r="R183" i="47"/>
  <c r="H54" i="15"/>
  <c r="R185" i="47"/>
  <c r="AH88" i="31"/>
  <c r="R189" i="47"/>
  <c r="R197" i="47"/>
  <c r="R198" i="47"/>
  <c r="R196" i="47"/>
  <c r="R186" i="47"/>
  <c r="R180" i="47"/>
  <c r="R179" i="47"/>
  <c r="R178" i="47"/>
  <c r="F40" i="37"/>
  <c r="H40" i="37" s="1"/>
  <c r="E40" i="37"/>
  <c r="M38" i="37"/>
  <c r="N38" i="37"/>
  <c r="P38" i="37" s="1"/>
  <c r="M36" i="37"/>
  <c r="N36" i="37"/>
  <c r="P36" i="37" s="1"/>
  <c r="V56" i="37"/>
  <c r="X56" i="37" s="1"/>
  <c r="U56" i="37"/>
  <c r="F56" i="37"/>
  <c r="H56" i="37" s="1"/>
  <c r="V53" i="37"/>
  <c r="X53" i="37" s="1"/>
  <c r="M53" i="37"/>
  <c r="N53" i="37"/>
  <c r="P53" i="37" s="1"/>
  <c r="U55" i="37"/>
  <c r="V55" i="37"/>
  <c r="X55" i="37" s="1"/>
  <c r="M55" i="37"/>
  <c r="V52" i="37"/>
  <c r="X52" i="37" s="1"/>
  <c r="U52" i="37"/>
  <c r="N52" i="37"/>
  <c r="P52" i="37" s="1"/>
  <c r="M52" i="37"/>
  <c r="E52" i="37"/>
  <c r="F52" i="37"/>
  <c r="H52" i="37" s="1"/>
  <c r="R193" i="47"/>
  <c r="R184" i="47"/>
  <c r="R181" i="47"/>
  <c r="E35" i="37"/>
  <c r="F35" i="37"/>
  <c r="H35" i="37" s="1"/>
  <c r="U60" i="37"/>
  <c r="V60" i="37"/>
  <c r="X60" i="37" s="1"/>
  <c r="N60" i="37"/>
  <c r="P60" i="37" s="1"/>
  <c r="M60" i="37"/>
  <c r="V29" i="37"/>
  <c r="X29" i="37" s="1"/>
  <c r="U29" i="37"/>
  <c r="N29" i="37"/>
  <c r="P29" i="37" s="1"/>
  <c r="M29" i="37"/>
  <c r="V48" i="37"/>
  <c r="X48" i="37" s="1"/>
  <c r="U48" i="37"/>
  <c r="E69" i="31"/>
  <c r="J69" i="31" s="1"/>
  <c r="C67" i="37"/>
  <c r="N28" i="37"/>
  <c r="P28" i="37" s="1"/>
  <c r="M28" i="37"/>
  <c r="F28" i="37"/>
  <c r="H28" i="37" s="1"/>
  <c r="E28" i="37"/>
  <c r="V59" i="37"/>
  <c r="X59" i="37" s="1"/>
  <c r="U59" i="37"/>
  <c r="N59" i="37"/>
  <c r="P59" i="37" s="1"/>
  <c r="F43" i="37"/>
  <c r="H43" i="37" s="1"/>
  <c r="E43" i="37"/>
  <c r="N27" i="31"/>
  <c r="U25" i="37"/>
  <c r="V25" i="37"/>
  <c r="X25" i="37" s="1"/>
  <c r="N25" i="37"/>
  <c r="P25" i="37" s="1"/>
  <c r="M25" i="37"/>
  <c r="W16" i="31"/>
  <c r="U12" i="37"/>
  <c r="V12" i="37"/>
  <c r="X12" i="37" s="1"/>
  <c r="E22" i="31"/>
  <c r="C23" i="37"/>
  <c r="J21" i="31"/>
  <c r="C22" i="37"/>
  <c r="W17" i="31"/>
  <c r="AB17" i="31" s="1"/>
  <c r="M18" i="37"/>
  <c r="N16" i="31"/>
  <c r="S16" i="31" s="1"/>
  <c r="K17" i="37"/>
  <c r="V15" i="37"/>
  <c r="X15" i="37" s="1"/>
  <c r="U15" i="37"/>
  <c r="W12" i="31"/>
  <c r="AB12" i="31" s="1"/>
  <c r="S13" i="37"/>
  <c r="M13" i="37"/>
  <c r="N13" i="37"/>
  <c r="C23" i="27"/>
  <c r="F25" i="27" s="1"/>
  <c r="C44" i="27"/>
  <c r="D46" i="27" s="1"/>
  <c r="P52" i="44"/>
  <c r="G58" i="12"/>
  <c r="D58" i="13" s="1"/>
  <c r="N81" i="3"/>
  <c r="K57" i="2"/>
  <c r="R159" i="68"/>
  <c r="R101" i="68"/>
  <c r="R138" i="68"/>
  <c r="T249" i="68"/>
  <c r="Z249" i="68" s="1"/>
  <c r="AB249" i="68" s="1"/>
  <c r="R319" i="68"/>
  <c r="V319" i="68" s="1"/>
  <c r="W319" i="68" s="1"/>
  <c r="Y319" i="68" s="1"/>
  <c r="Z90" i="68"/>
  <c r="AB90" i="68" s="1"/>
  <c r="Z50" i="68"/>
  <c r="AA50" i="68" s="1"/>
  <c r="T152" i="68"/>
  <c r="Z152" i="68" s="1"/>
  <c r="AA152" i="68" s="1"/>
  <c r="T167" i="68"/>
  <c r="Z167" i="68" s="1"/>
  <c r="AA167" i="68" s="1"/>
  <c r="Z255" i="68"/>
  <c r="AB255" i="68" s="1"/>
  <c r="Z101" i="68"/>
  <c r="AA101" i="68" s="1"/>
  <c r="Z166" i="68"/>
  <c r="AA166" i="68" s="1"/>
  <c r="R166" i="68"/>
  <c r="R102" i="68"/>
  <c r="Z232" i="68"/>
  <c r="AB232" i="68" s="1"/>
  <c r="R93" i="68"/>
  <c r="Z256" i="68"/>
  <c r="AB256" i="68" s="1"/>
  <c r="R84" i="68"/>
  <c r="Z48" i="68"/>
  <c r="AA48" i="68" s="1"/>
  <c r="Z161" i="68"/>
  <c r="AB161" i="68" s="1"/>
  <c r="T139" i="68"/>
  <c r="Z139" i="68" s="1"/>
  <c r="AB139" i="68" s="1"/>
  <c r="Z141" i="68"/>
  <c r="AB141" i="68" s="1"/>
  <c r="T177" i="68"/>
  <c r="Z177" i="68" s="1"/>
  <c r="AB177" i="68" s="1"/>
  <c r="Z306" i="68"/>
  <c r="AB306" i="68" s="1"/>
  <c r="R342" i="68"/>
  <c r="Z93" i="68"/>
  <c r="AB93" i="68" s="1"/>
  <c r="T169" i="68"/>
  <c r="Z169" i="68" s="1"/>
  <c r="AB169" i="68" s="1"/>
  <c r="T259" i="68"/>
  <c r="Z259" i="68" s="1"/>
  <c r="AA259" i="68" s="1"/>
  <c r="T182" i="68"/>
  <c r="Z182" i="68" s="1"/>
  <c r="AB182" i="68" s="1"/>
  <c r="Z252" i="68"/>
  <c r="AB252" i="68" s="1"/>
  <c r="T264" i="68"/>
  <c r="Z264" i="68" s="1"/>
  <c r="AB264" i="68" s="1"/>
  <c r="T172" i="68"/>
  <c r="Z172" i="68" s="1"/>
  <c r="AB172" i="68" s="1"/>
  <c r="Z109" i="68"/>
  <c r="AB109" i="68" s="1"/>
  <c r="Z153" i="68"/>
  <c r="AB153" i="68" s="1"/>
  <c r="R92" i="68"/>
  <c r="Z78" i="68"/>
  <c r="AA78" i="68" s="1"/>
  <c r="R162" i="68"/>
  <c r="R309" i="68"/>
  <c r="Z288" i="68"/>
  <c r="AA288" i="68" s="1"/>
  <c r="R229" i="68"/>
  <c r="Z17" i="68"/>
  <c r="AA17" i="68" s="1"/>
  <c r="Z52" i="68"/>
  <c r="AA52" i="68" s="1"/>
  <c r="Z150" i="68"/>
  <c r="AB150" i="68" s="1"/>
  <c r="R118" i="68"/>
  <c r="Z118" i="68"/>
  <c r="AB118" i="68" s="1"/>
  <c r="R212" i="68"/>
  <c r="T212" i="68"/>
  <c r="T120" i="68"/>
  <c r="Z120" i="68" s="1"/>
  <c r="AA120" i="68" s="1"/>
  <c r="T98" i="68"/>
  <c r="Z98" i="68" s="1"/>
  <c r="AA98" i="68" s="1"/>
  <c r="T154" i="68"/>
  <c r="Z154" i="68" s="1"/>
  <c r="AB154" i="68" s="1"/>
  <c r="T334" i="68"/>
  <c r="Z334" i="68" s="1"/>
  <c r="AA334" i="68" s="1"/>
  <c r="Z121" i="68"/>
  <c r="AB121" i="68" s="1"/>
  <c r="Z183" i="68"/>
  <c r="AB183" i="68" s="1"/>
  <c r="R109" i="68"/>
  <c r="T333" i="68"/>
  <c r="Z333" i="68" s="1"/>
  <c r="AA333" i="68" s="1"/>
  <c r="Z95" i="68"/>
  <c r="AB95" i="68" s="1"/>
  <c r="T132" i="68"/>
  <c r="Z132" i="68" s="1"/>
  <c r="AB132" i="68" s="1"/>
  <c r="R269" i="68"/>
  <c r="V269" i="68" s="1"/>
  <c r="W269" i="68" s="1"/>
  <c r="Y269" i="68" s="1"/>
  <c r="Z269" i="68" s="1"/>
  <c r="AB269" i="68" s="1"/>
  <c r="T347" i="68"/>
  <c r="Z347" i="68" s="1"/>
  <c r="AB347" i="68" s="1"/>
  <c r="R315" i="68"/>
  <c r="R271" i="68"/>
  <c r="Z178" i="68"/>
  <c r="AB178" i="68" s="1"/>
  <c r="R254" i="68"/>
  <c r="Z80" i="68"/>
  <c r="AB80" i="68" s="1"/>
  <c r="R90" i="68"/>
  <c r="R235" i="68"/>
  <c r="T103" i="68"/>
  <c r="Z103" i="68" s="1"/>
  <c r="AB103" i="68" s="1"/>
  <c r="R106" i="68"/>
  <c r="R183" i="68"/>
  <c r="W294" i="68"/>
  <c r="W298" i="68" s="1"/>
  <c r="R142" i="68"/>
  <c r="R126" i="68"/>
  <c r="R287" i="68"/>
  <c r="Z106" i="68"/>
  <c r="AB106" i="68" s="1"/>
  <c r="Z142" i="68"/>
  <c r="AB142" i="68" s="1"/>
  <c r="R255" i="68"/>
  <c r="V337" i="68"/>
  <c r="Z309" i="68"/>
  <c r="AB309" i="68" s="1"/>
  <c r="R261" i="68"/>
  <c r="T157" i="68"/>
  <c r="Z157" i="68" s="1"/>
  <c r="AB157" i="68" s="1"/>
  <c r="R224" i="68"/>
  <c r="V224" i="68" s="1"/>
  <c r="W224" i="68" s="1"/>
  <c r="Y224" i="68" s="1"/>
  <c r="Z224" i="68" s="1"/>
  <c r="AB224" i="68" s="1"/>
  <c r="T173" i="68"/>
  <c r="Z173" i="68" s="1"/>
  <c r="AA173" i="68" s="1"/>
  <c r="Z91" i="68"/>
  <c r="AA91" i="68" s="1"/>
  <c r="Z251" i="68"/>
  <c r="AB251" i="68" s="1"/>
  <c r="R179" i="68"/>
  <c r="T125" i="68"/>
  <c r="Z125" i="68" s="1"/>
  <c r="AB125" i="68" s="1"/>
  <c r="R26" i="68"/>
  <c r="R346" i="68"/>
  <c r="R121" i="68"/>
  <c r="R345" i="68"/>
  <c r="R141" i="68"/>
  <c r="Z220" i="68"/>
  <c r="AB220" i="68" s="1"/>
  <c r="R151" i="68"/>
  <c r="T242" i="68"/>
  <c r="Z242" i="68" s="1"/>
  <c r="AA242" i="68" s="1"/>
  <c r="R242" i="68"/>
  <c r="R250" i="68"/>
  <c r="R105" i="68"/>
  <c r="R251" i="68"/>
  <c r="Z258" i="68"/>
  <c r="AB258" i="68" s="1"/>
  <c r="T327" i="68"/>
  <c r="Z327" i="68" s="1"/>
  <c r="R288" i="68"/>
  <c r="T77" i="68"/>
  <c r="Z77" i="68" s="1"/>
  <c r="T311" i="68"/>
  <c r="Z311" i="68" s="1"/>
  <c r="AB311" i="68" s="1"/>
  <c r="R236" i="68"/>
  <c r="R104" i="68"/>
  <c r="R79" i="68"/>
  <c r="Z261" i="68"/>
  <c r="AB261" i="68" s="1"/>
  <c r="R230" i="68"/>
  <c r="T160" i="68"/>
  <c r="Z160" i="68" s="1"/>
  <c r="AB160" i="68" s="1"/>
  <c r="Z271" i="68"/>
  <c r="AA271" i="68" s="1"/>
  <c r="R131" i="68"/>
  <c r="R119" i="68"/>
  <c r="R258" i="68"/>
  <c r="T352" i="68"/>
  <c r="Z352" i="68" s="1"/>
  <c r="AB352" i="68" s="1"/>
  <c r="T137" i="68"/>
  <c r="Z137" i="68" s="1"/>
  <c r="AB137" i="68" s="1"/>
  <c r="T314" i="68"/>
  <c r="Z314" i="68" s="1"/>
  <c r="AA314" i="68" s="1"/>
  <c r="T176" i="68"/>
  <c r="Z176" i="68" s="1"/>
  <c r="AB176" i="68" s="1"/>
  <c r="T223" i="68"/>
  <c r="Z223" i="68" s="1"/>
  <c r="AB223" i="68" s="1"/>
  <c r="Z230" i="68"/>
  <c r="AB230" i="68" s="1"/>
  <c r="R340" i="68"/>
  <c r="T110" i="68"/>
  <c r="Z110" i="68" s="1"/>
  <c r="AB110" i="68" s="1"/>
  <c r="R115" i="68"/>
  <c r="R91" i="68"/>
  <c r="Z254" i="68"/>
  <c r="AA254" i="68" s="1"/>
  <c r="Z159" i="68"/>
  <c r="AA159" i="68" s="1"/>
  <c r="Z179" i="68"/>
  <c r="AB179" i="68" s="1"/>
  <c r="Z345" i="68"/>
  <c r="AA345" i="68" s="1"/>
  <c r="R252" i="68"/>
  <c r="Z342" i="68"/>
  <c r="AB342" i="68" s="1"/>
  <c r="Z81" i="68"/>
  <c r="AB81" i="68" s="1"/>
  <c r="Z138" i="68"/>
  <c r="AB138" i="68" s="1"/>
  <c r="Z104" i="68"/>
  <c r="AB104" i="68" s="1"/>
  <c r="M58" i="12"/>
  <c r="M57" i="2" s="1"/>
  <c r="L57" i="2"/>
  <c r="N58" i="3"/>
  <c r="F16" i="2"/>
  <c r="J16" i="2" s="1"/>
  <c r="C17" i="3" s="1"/>
  <c r="F17" i="3" s="1"/>
  <c r="AF98" i="31"/>
  <c r="H100" i="2"/>
  <c r="J100" i="2" s="1"/>
  <c r="C101" i="3" s="1"/>
  <c r="I18" i="10"/>
  <c r="I20" i="10" s="1"/>
  <c r="N86" i="37"/>
  <c r="P82" i="37"/>
  <c r="Y11" i="37"/>
  <c r="H13" i="2"/>
  <c r="J13" i="2" s="1"/>
  <c r="C14" i="3" s="1"/>
  <c r="H12" i="2"/>
  <c r="J12" i="2" s="1"/>
  <c r="C13" i="3" s="1"/>
  <c r="H12" i="9"/>
  <c r="R28" i="32"/>
  <c r="C31" i="40" s="1"/>
  <c r="D31" i="40" s="1"/>
  <c r="P73" i="44"/>
  <c r="K23" i="6"/>
  <c r="K25" i="6"/>
  <c r="W20" i="45"/>
  <c r="X16" i="45" s="1"/>
  <c r="AA27" i="31"/>
  <c r="C23" i="16" s="1"/>
  <c r="E23" i="16" s="1"/>
  <c r="E32" i="16"/>
  <c r="X22" i="31"/>
  <c r="Z22" i="31" s="1"/>
  <c r="Z96" i="31"/>
  <c r="W25" i="31"/>
  <c r="AB25" i="31" s="1"/>
  <c r="AA25" i="31"/>
  <c r="H44" i="15"/>
  <c r="R25" i="31"/>
  <c r="N25" i="31"/>
  <c r="S25" i="31" s="1"/>
  <c r="E44" i="15"/>
  <c r="J40" i="15"/>
  <c r="K40" i="15" s="1"/>
  <c r="E51" i="15"/>
  <c r="AA18" i="31"/>
  <c r="AC63" i="31"/>
  <c r="K44" i="15"/>
  <c r="Y83" i="37"/>
  <c r="H58" i="15"/>
  <c r="C22" i="29"/>
  <c r="E54" i="15"/>
  <c r="H48" i="16"/>
  <c r="W96" i="31"/>
  <c r="AA96" i="31"/>
  <c r="R96" i="31"/>
  <c r="N96" i="31"/>
  <c r="S96" i="31" s="1"/>
  <c r="H25" i="31"/>
  <c r="J25" i="31" s="1"/>
  <c r="I25" i="31"/>
  <c r="C26" i="100" s="1"/>
  <c r="E26" i="100" s="1"/>
  <c r="E48" i="16"/>
  <c r="K58" i="16"/>
  <c r="K58" i="15"/>
  <c r="K32" i="16"/>
  <c r="J32" i="16"/>
  <c r="I17" i="31"/>
  <c r="C18" i="100" s="1"/>
  <c r="E18" i="100" s="1"/>
  <c r="J52" i="16"/>
  <c r="K52" i="16" s="1"/>
  <c r="J58" i="15"/>
  <c r="R20" i="31"/>
  <c r="C19" i="15" s="1"/>
  <c r="J19" i="15" s="1"/>
  <c r="H51" i="15"/>
  <c r="U28" i="31"/>
  <c r="X28" i="31"/>
  <c r="Z28" i="31" s="1"/>
  <c r="AA12" i="31"/>
  <c r="H39" i="15"/>
  <c r="J51" i="15"/>
  <c r="H59" i="16"/>
  <c r="AC19" i="31"/>
  <c r="Y92" i="47"/>
  <c r="J59" i="16"/>
  <c r="S91" i="47"/>
  <c r="E59" i="16"/>
  <c r="Z91" i="31"/>
  <c r="AH59" i="31"/>
  <c r="J17" i="15"/>
  <c r="K17" i="15" s="1"/>
  <c r="K39" i="15"/>
  <c r="J51" i="16"/>
  <c r="AE88" i="31"/>
  <c r="Q91" i="31"/>
  <c r="K44" i="16"/>
  <c r="E44" i="16"/>
  <c r="J44" i="16"/>
  <c r="H44" i="16"/>
  <c r="AD56" i="31"/>
  <c r="AH63" i="31"/>
  <c r="J48" i="16"/>
  <c r="AC49" i="31"/>
  <c r="J39" i="15"/>
  <c r="AA20" i="31"/>
  <c r="C19" i="16" s="1"/>
  <c r="Z19" i="31"/>
  <c r="AB19" i="31" s="1"/>
  <c r="AH49" i="31"/>
  <c r="S51" i="30"/>
  <c r="M55" i="30"/>
  <c r="L55" i="30"/>
  <c r="O50" i="46"/>
  <c r="K52" i="3" s="1"/>
  <c r="P50" i="46"/>
  <c r="H52" i="3" s="1"/>
  <c r="M50" i="46"/>
  <c r="L50" i="46"/>
  <c r="S28" i="30"/>
  <c r="H51" i="30"/>
  <c r="D53" i="30" s="1"/>
  <c r="C50" i="46"/>
  <c r="G50" i="46"/>
  <c r="F50" i="46"/>
  <c r="E50" i="46"/>
  <c r="G27" i="46"/>
  <c r="C27" i="46"/>
  <c r="E27" i="46"/>
  <c r="F27" i="46"/>
  <c r="R70" i="31"/>
  <c r="C50" i="16"/>
  <c r="E50" i="16" s="1"/>
  <c r="AD54" i="31"/>
  <c r="K51" i="16"/>
  <c r="J42" i="16"/>
  <c r="K42" i="16" s="1"/>
  <c r="AH64" i="31"/>
  <c r="AH44" i="31"/>
  <c r="AC56" i="31"/>
  <c r="AC26" i="31"/>
  <c r="AC44" i="31"/>
  <c r="E51" i="16"/>
  <c r="AH56" i="31"/>
  <c r="AH26" i="31"/>
  <c r="H20" i="16"/>
  <c r="E20" i="16"/>
  <c r="H11" i="16"/>
  <c r="K20" i="16"/>
  <c r="R21" i="31"/>
  <c r="N21" i="31"/>
  <c r="S21" i="31" s="1"/>
  <c r="C41" i="15"/>
  <c r="AH37" i="31"/>
  <c r="AC37" i="31"/>
  <c r="I19" i="31"/>
  <c r="C20" i="100" s="1"/>
  <c r="E20" i="100" s="1"/>
  <c r="J53" i="16"/>
  <c r="K53" i="16" s="1"/>
  <c r="N12" i="31"/>
  <c r="S12" i="31" s="1"/>
  <c r="R12" i="31"/>
  <c r="C27" i="15"/>
  <c r="K54" i="16"/>
  <c r="E54" i="16"/>
  <c r="J54" i="16"/>
  <c r="C11" i="15"/>
  <c r="AC10" i="31"/>
  <c r="AC59" i="31"/>
  <c r="AD11" i="31"/>
  <c r="J20" i="16"/>
  <c r="I21" i="31"/>
  <c r="C22" i="100" s="1"/>
  <c r="E22" i="100" s="1"/>
  <c r="E35" i="15"/>
  <c r="J35" i="15"/>
  <c r="J86" i="31"/>
  <c r="AH54" i="31"/>
  <c r="AC54" i="31"/>
  <c r="AC62" i="31"/>
  <c r="AH62" i="31"/>
  <c r="E45" i="16"/>
  <c r="K45" i="16" s="1"/>
  <c r="AH61" i="31"/>
  <c r="H18" i="31"/>
  <c r="I18" i="31"/>
  <c r="C19" i="100" s="1"/>
  <c r="E19" i="100" s="1"/>
  <c r="AC55" i="31"/>
  <c r="C52" i="15"/>
  <c r="AH57" i="31"/>
  <c r="E49" i="16"/>
  <c r="E26" i="15"/>
  <c r="J26" i="15"/>
  <c r="I69" i="31"/>
  <c r="C74" i="100" s="1"/>
  <c r="E74" i="100" s="1"/>
  <c r="H70" i="31"/>
  <c r="J70" i="31" s="1"/>
  <c r="I70" i="31"/>
  <c r="C75" i="100" s="1"/>
  <c r="J56" i="16"/>
  <c r="E56" i="16"/>
  <c r="AC61" i="31"/>
  <c r="C55" i="15"/>
  <c r="AC60" i="31"/>
  <c r="AD44" i="31"/>
  <c r="E22" i="15"/>
  <c r="J22" i="15"/>
  <c r="Q17" i="31"/>
  <c r="S17" i="31" s="1"/>
  <c r="R17" i="31"/>
  <c r="P70" i="44"/>
  <c r="P55" i="44"/>
  <c r="P61" i="44"/>
  <c r="P64" i="44"/>
  <c r="F25" i="5"/>
  <c r="P62" i="44"/>
  <c r="P65" i="44"/>
  <c r="C66" i="27"/>
  <c r="D68" i="27" s="1"/>
  <c r="P36" i="44"/>
  <c r="P29" i="44"/>
  <c r="P28" i="44"/>
  <c r="P26" i="44"/>
  <c r="P12" i="44"/>
  <c r="P11" i="44"/>
  <c r="F71" i="5"/>
  <c r="K36" i="3" s="1"/>
  <c r="P27" i="44"/>
  <c r="P38" i="44"/>
  <c r="P10" i="44"/>
  <c r="F47" i="5"/>
  <c r="Q15" i="25" s="1"/>
  <c r="P60" i="39"/>
  <c r="Q64" i="39" s="1"/>
  <c r="P61" i="39"/>
  <c r="J24" i="39"/>
  <c r="P47" i="12"/>
  <c r="Q47" i="12" s="1"/>
  <c r="K28" i="2"/>
  <c r="P19" i="2"/>
  <c r="F47" i="2"/>
  <c r="J47" i="2" s="1"/>
  <c r="C48" i="3" s="1"/>
  <c r="K80" i="2"/>
  <c r="M27" i="12"/>
  <c r="M26" i="2" s="1"/>
  <c r="N80" i="3"/>
  <c r="F52" i="2"/>
  <c r="J52" i="2" s="1"/>
  <c r="C53" i="3" s="1"/>
  <c r="L53" i="3" s="1"/>
  <c r="K79" i="2"/>
  <c r="D35" i="12"/>
  <c r="J35" i="12" s="1"/>
  <c r="AE80" i="31"/>
  <c r="F76" i="2"/>
  <c r="O103" i="4"/>
  <c r="R150" i="68"/>
  <c r="Z229" i="68"/>
  <c r="AB229" i="68" s="1"/>
  <c r="R82" i="68"/>
  <c r="T82" i="68"/>
  <c r="Z82" i="68" s="1"/>
  <c r="AA82" i="68" s="1"/>
  <c r="T270" i="68"/>
  <c r="Z270" i="68" s="1"/>
  <c r="AB270" i="68" s="1"/>
  <c r="R97" i="68"/>
  <c r="T97" i="68"/>
  <c r="Z97" i="68" s="1"/>
  <c r="AB97" i="68" s="1"/>
  <c r="T260" i="68"/>
  <c r="Z260" i="68" s="1"/>
  <c r="AA260" i="68" s="1"/>
  <c r="Z15" i="68"/>
  <c r="AA15" i="68" s="1"/>
  <c r="R94" i="68"/>
  <c r="R226" i="68"/>
  <c r="V226" i="68" s="1"/>
  <c r="W226" i="68" s="1"/>
  <c r="Y226" i="68" s="1"/>
  <c r="T226" i="68"/>
  <c r="R87" i="68"/>
  <c r="T87" i="68"/>
  <c r="Z87" i="68" s="1"/>
  <c r="AA87" i="68" s="1"/>
  <c r="T85" i="68"/>
  <c r="Z85" i="68" s="1"/>
  <c r="AA85" i="68" s="1"/>
  <c r="R85" i="68"/>
  <c r="T99" i="68"/>
  <c r="Z99" i="68" s="1"/>
  <c r="AB99" i="68" s="1"/>
  <c r="R99" i="68"/>
  <c r="R112" i="68"/>
  <c r="T112" i="68"/>
  <c r="Z112" i="68" s="1"/>
  <c r="AB112" i="68" s="1"/>
  <c r="R262" i="68"/>
  <c r="R231" i="68"/>
  <c r="T231" i="68"/>
  <c r="Z231" i="68" s="1"/>
  <c r="AB231" i="68" s="1"/>
  <c r="R268" i="68"/>
  <c r="V268" i="68" s="1"/>
  <c r="W268" i="68" s="1"/>
  <c r="Y268" i="68" s="1"/>
  <c r="T268" i="68"/>
  <c r="Z140" i="68"/>
  <c r="AB140" i="68" s="1"/>
  <c r="R294" i="68"/>
  <c r="R298" i="68" s="1"/>
  <c r="T294" i="68"/>
  <c r="T267" i="68"/>
  <c r="R267" i="68"/>
  <c r="V267" i="68" s="1"/>
  <c r="W267" i="68" s="1"/>
  <c r="Y267" i="68" s="1"/>
  <c r="T263" i="68"/>
  <c r="Z263" i="68" s="1"/>
  <c r="AA263" i="68" s="1"/>
  <c r="R263" i="68"/>
  <c r="R302" i="68"/>
  <c r="T302" i="68"/>
  <c r="Z302" i="68" s="1"/>
  <c r="AA302" i="68" s="1"/>
  <c r="R174" i="68"/>
  <c r="T174" i="68"/>
  <c r="Z174" i="68" s="1"/>
  <c r="AA174" i="68" s="1"/>
  <c r="T266" i="68"/>
  <c r="R266" i="68"/>
  <c r="V266" i="68" s="1"/>
  <c r="W266" i="68" s="1"/>
  <c r="Y266" i="68" s="1"/>
  <c r="R257" i="68"/>
  <c r="T257" i="68"/>
  <c r="Z257" i="68" s="1"/>
  <c r="AB257" i="68" s="1"/>
  <c r="R23" i="68"/>
  <c r="V23" i="68" s="1"/>
  <c r="Y23" i="68" s="1"/>
  <c r="T23" i="68"/>
  <c r="R344" i="68"/>
  <c r="T344" i="68"/>
  <c r="Z344" i="68" s="1"/>
  <c r="AA344" i="68" s="1"/>
  <c r="R113" i="68"/>
  <c r="T113" i="68"/>
  <c r="Z113" i="68" s="1"/>
  <c r="AB113" i="68" s="1"/>
  <c r="T272" i="68"/>
  <c r="Z272" i="68" s="1"/>
  <c r="AB272" i="68" s="1"/>
  <c r="R272" i="68"/>
  <c r="T307" i="68"/>
  <c r="Z307" i="68" s="1"/>
  <c r="AA307" i="68" s="1"/>
  <c r="R307" i="68"/>
  <c r="T96" i="68"/>
  <c r="Z96" i="68" s="1"/>
  <c r="AA96" i="68" s="1"/>
  <c r="R96" i="68"/>
  <c r="T108" i="68"/>
  <c r="Z108" i="68" s="1"/>
  <c r="AA108" i="68" s="1"/>
  <c r="R108" i="68"/>
  <c r="T313" i="68"/>
  <c r="Z313" i="68" s="1"/>
  <c r="AA313" i="68" s="1"/>
  <c r="R313" i="68"/>
  <c r="T308" i="68"/>
  <c r="Z308" i="68" s="1"/>
  <c r="AA308" i="68" s="1"/>
  <c r="R308" i="68"/>
  <c r="T145" i="68"/>
  <c r="Z145" i="68" s="1"/>
  <c r="AA145" i="68" s="1"/>
  <c r="R145" i="68"/>
  <c r="R317" i="68"/>
  <c r="V317" i="68" s="1"/>
  <c r="W317" i="68" s="1"/>
  <c r="Y317" i="68" s="1"/>
  <c r="T317" i="68"/>
  <c r="R332" i="68"/>
  <c r="R337" i="68" s="1"/>
  <c r="R359" i="68" s="1"/>
  <c r="T332" i="68"/>
  <c r="Z332" i="68" s="1"/>
  <c r="AA332" i="68" s="1"/>
  <c r="T248" i="68"/>
  <c r="Z248" i="68" s="1"/>
  <c r="AA248" i="68" s="1"/>
  <c r="R248" i="68"/>
  <c r="T146" i="68"/>
  <c r="Z146" i="68" s="1"/>
  <c r="AA146" i="68" s="1"/>
  <c r="R146" i="68"/>
  <c r="T181" i="68"/>
  <c r="Z181" i="68" s="1"/>
  <c r="AA181" i="68" s="1"/>
  <c r="R181" i="68"/>
  <c r="T135" i="68"/>
  <c r="Z135" i="68" s="1"/>
  <c r="AA135" i="68" s="1"/>
  <c r="R135" i="68"/>
  <c r="R86" i="68"/>
  <c r="T86" i="68"/>
  <c r="Z86" i="68" s="1"/>
  <c r="AA86" i="68" s="1"/>
  <c r="R68" i="68"/>
  <c r="V68" i="68" s="1"/>
  <c r="W68" i="68" s="1"/>
  <c r="Y68" i="68" s="1"/>
  <c r="R147" i="68"/>
  <c r="T147" i="68"/>
  <c r="Z147" i="68" s="1"/>
  <c r="AA147" i="68" s="1"/>
  <c r="T228" i="68"/>
  <c r="Z228" i="68" s="1"/>
  <c r="AB228" i="68" s="1"/>
  <c r="R228" i="68"/>
  <c r="R134" i="68"/>
  <c r="T134" i="68"/>
  <c r="Z134" i="68" s="1"/>
  <c r="AA134" i="68" s="1"/>
  <c r="T111" i="68"/>
  <c r="Z111" i="68" s="1"/>
  <c r="AA111" i="68" s="1"/>
  <c r="R111" i="68"/>
  <c r="T180" i="68"/>
  <c r="Z180" i="68" s="1"/>
  <c r="AB180" i="68" s="1"/>
  <c r="R54" i="68"/>
  <c r="V54" i="68" s="1"/>
  <c r="T54" i="68"/>
  <c r="T247" i="68"/>
  <c r="Z247" i="68" s="1"/>
  <c r="AA247" i="68" s="1"/>
  <c r="R247" i="68"/>
  <c r="T127" i="68"/>
  <c r="Z127" i="68" s="1"/>
  <c r="AA127" i="68" s="1"/>
  <c r="R127" i="68"/>
  <c r="T304" i="68"/>
  <c r="Z304" i="68" s="1"/>
  <c r="AB304" i="68" s="1"/>
  <c r="R304" i="68"/>
  <c r="R305" i="68"/>
  <c r="T305" i="68"/>
  <c r="Z305" i="68" s="1"/>
  <c r="AA305" i="68" s="1"/>
  <c r="R253" i="68"/>
  <c r="T253" i="68"/>
  <c r="Z253" i="68" s="1"/>
  <c r="AA253" i="68" s="1"/>
  <c r="T303" i="68"/>
  <c r="Z303" i="68" s="1"/>
  <c r="AA303" i="68" s="1"/>
  <c r="R303" i="68"/>
  <c r="T133" i="68"/>
  <c r="Z133" i="68" s="1"/>
  <c r="AA133" i="68" s="1"/>
  <c r="R133" i="68"/>
  <c r="R81" i="68"/>
  <c r="T114" i="68"/>
  <c r="Z114" i="68" s="1"/>
  <c r="AB114" i="68" s="1"/>
  <c r="T83" i="68"/>
  <c r="Z83" i="68" s="1"/>
  <c r="AA83" i="68" s="1"/>
  <c r="R83" i="68"/>
  <c r="T227" i="68"/>
  <c r="R227" i="68"/>
  <c r="V227" i="68" s="1"/>
  <c r="W227" i="68" s="1"/>
  <c r="Y227" i="68" s="1"/>
  <c r="T281" i="68"/>
  <c r="Z281" i="68" s="1"/>
  <c r="AA281" i="68" s="1"/>
  <c r="R281" i="68"/>
  <c r="T107" i="68"/>
  <c r="Z107" i="68" s="1"/>
  <c r="AA107" i="68" s="1"/>
  <c r="R107" i="68"/>
  <c r="R144" i="68"/>
  <c r="T144" i="68"/>
  <c r="Z144" i="68" s="1"/>
  <c r="AB144" i="68" s="1"/>
  <c r="R148" i="68"/>
  <c r="T148" i="68"/>
  <c r="Z148" i="68" s="1"/>
  <c r="AA148" i="68" s="1"/>
  <c r="E28" i="31"/>
  <c r="W287" i="68"/>
  <c r="V290" i="68"/>
  <c r="AD43" i="47"/>
  <c r="AE91" i="47"/>
  <c r="F28" i="31" s="1"/>
  <c r="H28" i="31" s="1"/>
  <c r="N14" i="31"/>
  <c r="S14" i="31" s="1"/>
  <c r="R14" i="31"/>
  <c r="P74" i="39"/>
  <c r="Q78" i="39" s="1"/>
  <c r="P75" i="39"/>
  <c r="K53" i="24"/>
  <c r="O74" i="39"/>
  <c r="Q39" i="39"/>
  <c r="Q47" i="39" s="1"/>
  <c r="Q51" i="39" s="1"/>
  <c r="G62" i="39"/>
  <c r="D77" i="39"/>
  <c r="D62" i="39"/>
  <c r="L18" i="3"/>
  <c r="I18" i="3"/>
  <c r="F18" i="3"/>
  <c r="D29" i="12"/>
  <c r="N29" i="3"/>
  <c r="M32" i="30"/>
  <c r="H32" i="5"/>
  <c r="D45" i="5"/>
  <c r="D47" i="5" s="1"/>
  <c r="H56" i="5"/>
  <c r="D69" i="5"/>
  <c r="D71" i="5" s="1"/>
  <c r="H10" i="5"/>
  <c r="D23" i="5"/>
  <c r="D25" i="5" s="1"/>
  <c r="R149" i="68"/>
  <c r="T149" i="68"/>
  <c r="Z149" i="68" s="1"/>
  <c r="AA149" i="68" s="1"/>
  <c r="Y343" i="68"/>
  <c r="J64" i="46"/>
  <c r="A88" i="46"/>
  <c r="J88" i="46" s="1"/>
  <c r="J59" i="46"/>
  <c r="A83" i="46"/>
  <c r="J83" i="46" s="1"/>
  <c r="P19" i="44"/>
  <c r="P21" i="44"/>
  <c r="J58" i="46"/>
  <c r="A82" i="46"/>
  <c r="J82" i="46" s="1"/>
  <c r="Q53" i="38"/>
  <c r="Q55" i="38" s="1"/>
  <c r="I42" i="10"/>
  <c r="I46" i="10" s="1"/>
  <c r="AF93" i="31"/>
  <c r="P53" i="38"/>
  <c r="P55" i="38" s="1"/>
  <c r="E43" i="16"/>
  <c r="J43" i="16"/>
  <c r="E22" i="16"/>
  <c r="J22" i="16"/>
  <c r="AD48" i="31"/>
  <c r="Q28" i="30"/>
  <c r="O30" i="30" s="1"/>
  <c r="T312" i="68"/>
  <c r="R312" i="68"/>
  <c r="V312" i="68" s="1"/>
  <c r="W312" i="68" s="1"/>
  <c r="Y312" i="68" s="1"/>
  <c r="R20" i="68"/>
  <c r="V20" i="68" s="1"/>
  <c r="W20" i="68" s="1"/>
  <c r="Y20" i="68" s="1"/>
  <c r="T20" i="68"/>
  <c r="Z151" i="68"/>
  <c r="AB151" i="68" s="1"/>
  <c r="R45" i="47"/>
  <c r="S93" i="47"/>
  <c r="L27" i="46"/>
  <c r="O27" i="46"/>
  <c r="K54" i="3" s="1"/>
  <c r="P27" i="46"/>
  <c r="H54" i="3" s="1"/>
  <c r="Q38" i="31"/>
  <c r="S38" i="31" s="1"/>
  <c r="R38" i="31"/>
  <c r="D97" i="46"/>
  <c r="P18" i="44"/>
  <c r="Q27" i="31"/>
  <c r="P44" i="44"/>
  <c r="P43" i="44"/>
  <c r="P47" i="44"/>
  <c r="P46" i="44"/>
  <c r="M27" i="46"/>
  <c r="D30" i="39"/>
  <c r="E37" i="33"/>
  <c r="G37" i="33" s="1"/>
  <c r="H19" i="9" s="1"/>
  <c r="C45" i="15"/>
  <c r="AH50" i="31"/>
  <c r="AH48" i="31"/>
  <c r="C43" i="15"/>
  <c r="AC48" i="31"/>
  <c r="P9" i="44"/>
  <c r="I20" i="3"/>
  <c r="F20" i="3"/>
  <c r="L20" i="3"/>
  <c r="L32" i="30"/>
  <c r="D69" i="25"/>
  <c r="D128" i="7"/>
  <c r="C35" i="16"/>
  <c r="AH40" i="31"/>
  <c r="AC40" i="31"/>
  <c r="G63" i="36"/>
  <c r="H48" i="9" s="1"/>
  <c r="AH65" i="31"/>
  <c r="C59" i="15"/>
  <c r="AC65" i="31"/>
  <c r="X86" i="37"/>
  <c r="F79" i="3"/>
  <c r="I79" i="3"/>
  <c r="L79" i="3"/>
  <c r="D40" i="40"/>
  <c r="F94" i="2"/>
  <c r="J69" i="46"/>
  <c r="A93" i="46"/>
  <c r="J93" i="46" s="1"/>
  <c r="K45" i="3"/>
  <c r="O43" i="3"/>
  <c r="P43" i="3" s="1"/>
  <c r="E47" i="5"/>
  <c r="P15" i="25" s="1"/>
  <c r="J12" i="15"/>
  <c r="K12" i="15" s="1"/>
  <c r="H39" i="16"/>
  <c r="K39" i="16"/>
  <c r="J39" i="16"/>
  <c r="E39" i="16"/>
  <c r="L32" i="3"/>
  <c r="I32" i="3"/>
  <c r="F32" i="3"/>
  <c r="I89" i="3"/>
  <c r="L89" i="3"/>
  <c r="F89" i="3"/>
  <c r="J61" i="46"/>
  <c r="A85" i="46"/>
  <c r="J85" i="46" s="1"/>
  <c r="U15" i="45"/>
  <c r="U18" i="45"/>
  <c r="U17" i="45"/>
  <c r="U16" i="45"/>
  <c r="F97" i="46"/>
  <c r="E97" i="46"/>
  <c r="F19" i="24"/>
  <c r="T225" i="68"/>
  <c r="R225" i="68"/>
  <c r="V225" i="68" s="1"/>
  <c r="W225" i="68" s="1"/>
  <c r="T217" i="68"/>
  <c r="R217" i="68"/>
  <c r="R93" i="47"/>
  <c r="AE92" i="47"/>
  <c r="O28" i="31" s="1"/>
  <c r="Q28" i="31" s="1"/>
  <c r="J67" i="46"/>
  <c r="A91" i="46"/>
  <c r="J91" i="46" s="1"/>
  <c r="J66" i="46"/>
  <c r="A90" i="46"/>
  <c r="J90" i="46" s="1"/>
  <c r="E13" i="25"/>
  <c r="E59" i="25"/>
  <c r="C38" i="16"/>
  <c r="H58" i="2"/>
  <c r="J58" i="2" s="1"/>
  <c r="C59" i="3" s="1"/>
  <c r="J36" i="16"/>
  <c r="E36" i="16"/>
  <c r="G97" i="46"/>
  <c r="L50" i="3"/>
  <c r="F50" i="3"/>
  <c r="I50" i="3"/>
  <c r="AH41" i="31"/>
  <c r="D85" i="25"/>
  <c r="E71" i="5"/>
  <c r="L34" i="3"/>
  <c r="F34" i="3"/>
  <c r="D34" i="12" s="1"/>
  <c r="I34" i="3"/>
  <c r="I11" i="10"/>
  <c r="R316" i="68"/>
  <c r="V316" i="68" s="1"/>
  <c r="W316" i="68" s="1"/>
  <c r="Y316" i="68" s="1"/>
  <c r="T316" i="68"/>
  <c r="Z119" i="68"/>
  <c r="AB119" i="68" s="1"/>
  <c r="R170" i="68"/>
  <c r="T170" i="68"/>
  <c r="Z170" i="68" s="1"/>
  <c r="AA170" i="68" s="1"/>
  <c r="R41" i="47"/>
  <c r="S92" i="47"/>
  <c r="X91" i="47"/>
  <c r="Z100" i="68"/>
  <c r="AB100" i="68" s="1"/>
  <c r="E51" i="24"/>
  <c r="N52" i="46"/>
  <c r="O13" i="31"/>
  <c r="J60" i="46"/>
  <c r="A84" i="46"/>
  <c r="J84" i="46" s="1"/>
  <c r="J68" i="46"/>
  <c r="A92" i="46"/>
  <c r="J92" i="46" s="1"/>
  <c r="I20" i="45"/>
  <c r="O24" i="39"/>
  <c r="O30" i="39"/>
  <c r="J63" i="46"/>
  <c r="A87" i="46"/>
  <c r="J87" i="46" s="1"/>
  <c r="D73" i="46"/>
  <c r="G73" i="46"/>
  <c r="F73" i="46"/>
  <c r="C73" i="46"/>
  <c r="E53" i="24"/>
  <c r="N29" i="46"/>
  <c r="J62" i="46"/>
  <c r="A86" i="46"/>
  <c r="J86" i="46" s="1"/>
  <c r="G17" i="45"/>
  <c r="G16" i="45"/>
  <c r="G15" i="45"/>
  <c r="D24" i="39"/>
  <c r="O60" i="39"/>
  <c r="P39" i="39"/>
  <c r="P47" i="39" s="1"/>
  <c r="P51" i="39" s="1"/>
  <c r="C26" i="16"/>
  <c r="AH31" i="31"/>
  <c r="AC31" i="31"/>
  <c r="E73" i="46"/>
  <c r="C21" i="2"/>
  <c r="C102" i="2"/>
  <c r="F25" i="2"/>
  <c r="J25" i="2" s="1"/>
  <c r="C26" i="3" s="1"/>
  <c r="J65" i="46"/>
  <c r="A89" i="46"/>
  <c r="J89" i="46" s="1"/>
  <c r="L55" i="3"/>
  <c r="I55" i="3"/>
  <c r="F55" i="3"/>
  <c r="N27" i="46"/>
  <c r="U14" i="45"/>
  <c r="H28" i="30"/>
  <c r="C30" i="30" s="1"/>
  <c r="R39" i="39"/>
  <c r="R47" i="39" s="1"/>
  <c r="R51" i="39" s="1"/>
  <c r="J77" i="39"/>
  <c r="J62" i="39"/>
  <c r="AH45" i="31"/>
  <c r="C40" i="16"/>
  <c r="AC45" i="31"/>
  <c r="D76" i="25"/>
  <c r="I79" i="5"/>
  <c r="M37" i="12"/>
  <c r="J37" i="12"/>
  <c r="R22" i="68"/>
  <c r="V22" i="68" s="1"/>
  <c r="W22" i="68" s="1"/>
  <c r="Y22" i="68" s="1"/>
  <c r="T22" i="68"/>
  <c r="T24" i="68"/>
  <c r="C64" i="8" s="1"/>
  <c r="R24" i="68"/>
  <c r="V24" i="68" s="1"/>
  <c r="W24" i="68" s="1"/>
  <c r="H68" i="100" l="1"/>
  <c r="K68" i="100"/>
  <c r="E68" i="100"/>
  <c r="E76" i="100"/>
  <c r="M15" i="37"/>
  <c r="K16" i="37"/>
  <c r="AD61" i="31"/>
  <c r="C65" i="100"/>
  <c r="E65" i="100" s="1"/>
  <c r="E70" i="100" s="1"/>
  <c r="Q14" i="21" s="1"/>
  <c r="AE62" i="31"/>
  <c r="E11" i="100"/>
  <c r="AD65" i="31"/>
  <c r="C69" i="100"/>
  <c r="E69" i="100" s="1"/>
  <c r="AH11" i="31"/>
  <c r="AC18" i="31"/>
  <c r="N15" i="31"/>
  <c r="S15" i="31" s="1"/>
  <c r="AA17" i="31"/>
  <c r="C18" i="16" s="1"/>
  <c r="E18" i="16" s="1"/>
  <c r="M58" i="37"/>
  <c r="U44" i="37"/>
  <c r="H75" i="100"/>
  <c r="E75" i="100"/>
  <c r="AC29" i="31"/>
  <c r="I19" i="24"/>
  <c r="K11" i="16"/>
  <c r="J11" i="16"/>
  <c r="J58" i="16"/>
  <c r="E41" i="16"/>
  <c r="J12" i="16"/>
  <c r="K12" i="16" s="1"/>
  <c r="J25" i="16"/>
  <c r="K25" i="16" s="1"/>
  <c r="J57" i="16"/>
  <c r="K57" i="16" s="1"/>
  <c r="K48" i="15"/>
  <c r="J37" i="15"/>
  <c r="E49" i="15"/>
  <c r="K49" i="15" s="1"/>
  <c r="Z227" i="68"/>
  <c r="AB227" i="68" s="1"/>
  <c r="V244" i="68"/>
  <c r="Z226" i="68"/>
  <c r="AA226" i="68" s="1"/>
  <c r="AB77" i="68"/>
  <c r="AH29" i="31"/>
  <c r="E58" i="16"/>
  <c r="E60" i="16" s="1"/>
  <c r="U14" i="21" s="1"/>
  <c r="AC64" i="31"/>
  <c r="AD41" i="31"/>
  <c r="AC57" i="31"/>
  <c r="AC11" i="31"/>
  <c r="AD62" i="31"/>
  <c r="J55" i="16"/>
  <c r="K55" i="16" s="1"/>
  <c r="AC41" i="31"/>
  <c r="AH10" i="31"/>
  <c r="H41" i="16"/>
  <c r="AH55" i="31"/>
  <c r="E57" i="15"/>
  <c r="K57" i="15" s="1"/>
  <c r="AH60" i="31"/>
  <c r="AD46" i="31"/>
  <c r="H12" i="31"/>
  <c r="J12" i="31" s="1"/>
  <c r="AE12" i="31" s="1"/>
  <c r="Z24" i="31"/>
  <c r="AB24" i="31" s="1"/>
  <c r="AE24" i="31" s="1"/>
  <c r="AA24" i="31"/>
  <c r="AH53" i="31"/>
  <c r="Z23" i="31"/>
  <c r="AB23" i="31" s="1"/>
  <c r="AE23" i="31" s="1"/>
  <c r="AA23" i="31"/>
  <c r="AB35" i="31"/>
  <c r="AE31" i="31"/>
  <c r="AD55" i="31"/>
  <c r="AA16" i="31"/>
  <c r="AD49" i="31"/>
  <c r="AA35" i="31"/>
  <c r="C30" i="16" s="1"/>
  <c r="J30" i="16" s="1"/>
  <c r="AC43" i="31"/>
  <c r="S26" i="37"/>
  <c r="AC32" i="31"/>
  <c r="AC53" i="31"/>
  <c r="U43" i="37"/>
  <c r="J38" i="15"/>
  <c r="K38" i="15" s="1"/>
  <c r="V14" i="37"/>
  <c r="X14" i="37" s="1"/>
  <c r="M35" i="37"/>
  <c r="AD43" i="31"/>
  <c r="H48" i="15"/>
  <c r="J48" i="15"/>
  <c r="M33" i="37"/>
  <c r="M40" i="37"/>
  <c r="Q40" i="37" s="1"/>
  <c r="AH43" i="31"/>
  <c r="C25" i="15"/>
  <c r="E25" i="15" s="1"/>
  <c r="J56" i="13"/>
  <c r="K96" i="2"/>
  <c r="I17" i="3"/>
  <c r="H76" i="2"/>
  <c r="J76" i="2" s="1"/>
  <c r="C77" i="3" s="1"/>
  <c r="N18" i="2"/>
  <c r="P18" i="2" s="1"/>
  <c r="C19" i="3"/>
  <c r="N56" i="3"/>
  <c r="I53" i="3"/>
  <c r="K52" i="2" s="1"/>
  <c r="K26" i="2"/>
  <c r="N26" i="2" s="1"/>
  <c r="P26" i="2" s="1"/>
  <c r="M56" i="12"/>
  <c r="O56" i="12" s="1"/>
  <c r="F53" i="3"/>
  <c r="D53" i="12" s="1"/>
  <c r="G53" i="12" s="1"/>
  <c r="L17" i="3"/>
  <c r="N17" i="3" s="1"/>
  <c r="K92" i="3"/>
  <c r="L92" i="3" s="1"/>
  <c r="F26" i="8"/>
  <c r="W26" i="8" s="1"/>
  <c r="G16" i="28"/>
  <c r="G27" i="8"/>
  <c r="X27" i="8" s="1"/>
  <c r="G26" i="8"/>
  <c r="X26" i="8" s="1"/>
  <c r="G25" i="8"/>
  <c r="X25" i="8" s="1"/>
  <c r="R35" i="31"/>
  <c r="C30" i="15" s="1"/>
  <c r="E30" i="15" s="1"/>
  <c r="H35" i="31"/>
  <c r="J35" i="31" s="1"/>
  <c r="AA14" i="31"/>
  <c r="C15" i="16" s="1"/>
  <c r="J15" i="16" s="1"/>
  <c r="Z13" i="31"/>
  <c r="AB13" i="31" s="1"/>
  <c r="J27" i="16"/>
  <c r="C42" i="15"/>
  <c r="K42" i="15" s="1"/>
  <c r="AA15" i="31"/>
  <c r="C16" i="16" s="1"/>
  <c r="AC58" i="31"/>
  <c r="AH46" i="31"/>
  <c r="H27" i="16"/>
  <c r="W15" i="31"/>
  <c r="AB15" i="31" s="1"/>
  <c r="V62" i="37"/>
  <c r="X62" i="37" s="1"/>
  <c r="Y62" i="37" s="1"/>
  <c r="AC47" i="31"/>
  <c r="R27" i="31"/>
  <c r="AC27" i="31" s="1"/>
  <c r="AD29" i="31"/>
  <c r="AD58" i="31"/>
  <c r="K27" i="16"/>
  <c r="M56" i="37"/>
  <c r="S36" i="37"/>
  <c r="V36" i="37" s="1"/>
  <c r="X36" i="37" s="1"/>
  <c r="AE46" i="31"/>
  <c r="L28" i="31"/>
  <c r="AD31" i="31"/>
  <c r="C53" i="15"/>
  <c r="J53" i="15" s="1"/>
  <c r="AD32" i="31"/>
  <c r="AC46" i="31"/>
  <c r="AH32" i="31"/>
  <c r="K41" i="16"/>
  <c r="AH42" i="31"/>
  <c r="C37" i="16"/>
  <c r="J37" i="16" s="1"/>
  <c r="AA38" i="31"/>
  <c r="C33" i="16" s="1"/>
  <c r="J33" i="16" s="1"/>
  <c r="C13" i="16"/>
  <c r="J13" i="16" s="1"/>
  <c r="Q35" i="32"/>
  <c r="I45" i="3"/>
  <c r="F45" i="3"/>
  <c r="D45" i="12" s="1"/>
  <c r="M45" i="12" s="1"/>
  <c r="H64" i="2"/>
  <c r="J64" i="2" s="1"/>
  <c r="C65" i="3" s="1"/>
  <c r="Z268" i="68"/>
  <c r="AA268" i="68" s="1"/>
  <c r="K55" i="2"/>
  <c r="L96" i="2"/>
  <c r="G97" i="12"/>
  <c r="D95" i="13" s="1"/>
  <c r="J95" i="13" s="1"/>
  <c r="N97" i="3"/>
  <c r="M97" i="12"/>
  <c r="AF81" i="31"/>
  <c r="P38" i="68"/>
  <c r="P357" i="68" s="1"/>
  <c r="R25" i="68"/>
  <c r="AA219" i="68"/>
  <c r="AA337" i="68"/>
  <c r="AA105" i="68"/>
  <c r="AA163" i="68"/>
  <c r="AA258" i="68"/>
  <c r="AA164" i="68"/>
  <c r="AA180" i="68"/>
  <c r="AA131" i="68"/>
  <c r="AA231" i="68"/>
  <c r="AA141" i="68"/>
  <c r="AA102" i="68"/>
  <c r="AA182" i="68"/>
  <c r="AA352" i="68"/>
  <c r="AA155" i="68"/>
  <c r="AA123" i="68"/>
  <c r="AA150" i="68"/>
  <c r="AA251" i="68"/>
  <c r="AA136" i="68"/>
  <c r="AA229" i="68"/>
  <c r="AA249" i="68"/>
  <c r="AA89" i="68"/>
  <c r="AA139" i="68"/>
  <c r="AA183" i="68"/>
  <c r="AA165" i="68"/>
  <c r="AA77" i="68"/>
  <c r="AA306" i="68"/>
  <c r="AA140" i="68"/>
  <c r="AA272" i="68"/>
  <c r="AA221" i="68"/>
  <c r="AA154" i="68"/>
  <c r="Z49" i="68"/>
  <c r="AB49" i="68" s="1"/>
  <c r="AA110" i="68"/>
  <c r="AA309" i="68"/>
  <c r="AA93" i="68"/>
  <c r="AA119" i="68"/>
  <c r="AA103" i="68"/>
  <c r="AA342" i="68"/>
  <c r="AA257" i="68"/>
  <c r="AA153" i="68"/>
  <c r="AA109" i="68"/>
  <c r="AA142" i="68"/>
  <c r="AA118" i="68"/>
  <c r="AA95" i="68"/>
  <c r="Z266" i="68"/>
  <c r="AA266" i="68" s="1"/>
  <c r="Z267" i="68"/>
  <c r="AA267" i="68" s="1"/>
  <c r="Z51" i="68"/>
  <c r="AB51" i="68" s="1"/>
  <c r="AA125" i="68"/>
  <c r="AA144" i="68"/>
  <c r="AA88" i="68"/>
  <c r="AA315" i="68"/>
  <c r="AA304" i="68"/>
  <c r="AA156" i="68"/>
  <c r="AA113" i="68"/>
  <c r="AA162" i="68"/>
  <c r="AA255" i="68"/>
  <c r="AA252" i="68"/>
  <c r="AA228" i="68"/>
  <c r="AA250" i="68"/>
  <c r="AA137" i="68"/>
  <c r="AB327" i="68"/>
  <c r="AA327" i="68"/>
  <c r="Z53" i="68"/>
  <c r="AB53" i="68" s="1"/>
  <c r="AA92" i="68"/>
  <c r="AA160" i="68"/>
  <c r="AA177" i="68"/>
  <c r="AA172" i="68"/>
  <c r="AA261" i="68"/>
  <c r="AA114" i="68"/>
  <c r="AA270" i="68"/>
  <c r="AA269" i="68"/>
  <c r="AA234" i="68"/>
  <c r="AA179" i="68"/>
  <c r="D64" i="8"/>
  <c r="D40" i="8" s="1"/>
  <c r="Z68" i="68"/>
  <c r="AB68" i="68" s="1"/>
  <c r="Z319" i="68"/>
  <c r="AA319" i="68" s="1"/>
  <c r="Z265" i="68"/>
  <c r="AB265" i="68" s="1"/>
  <c r="AA117" i="68"/>
  <c r="AA80" i="68"/>
  <c r="AA218" i="68"/>
  <c r="AA27" i="68"/>
  <c r="AA223" i="68"/>
  <c r="AA100" i="68"/>
  <c r="AA236" i="68"/>
  <c r="AA311" i="68"/>
  <c r="AA175" i="68"/>
  <c r="AA81" i="68"/>
  <c r="AA264" i="68"/>
  <c r="AA157" i="68"/>
  <c r="AA235" i="68"/>
  <c r="AA347" i="68"/>
  <c r="AA97" i="68"/>
  <c r="AA128" i="68"/>
  <c r="AA90" i="68"/>
  <c r="Z16" i="68"/>
  <c r="AB16" i="68" s="1"/>
  <c r="Z18" i="68"/>
  <c r="AA18" i="68" s="1"/>
  <c r="AA178" i="68"/>
  <c r="AA318" i="68"/>
  <c r="AA122" i="68"/>
  <c r="AA233" i="68"/>
  <c r="AA132" i="68"/>
  <c r="AA230" i="68"/>
  <c r="AA116" i="68"/>
  <c r="AA161" i="68"/>
  <c r="AA220" i="68"/>
  <c r="AA169" i="68"/>
  <c r="AA256" i="68"/>
  <c r="AA121" i="68"/>
  <c r="AA104" i="68"/>
  <c r="AA99" i="68"/>
  <c r="Z348" i="68"/>
  <c r="AB348" i="68" s="1"/>
  <c r="Z47" i="68"/>
  <c r="AB47" i="68" s="1"/>
  <c r="AA129" i="68"/>
  <c r="AA115" i="68"/>
  <c r="AA320" i="68"/>
  <c r="AA232" i="68"/>
  <c r="AA224" i="68"/>
  <c r="AA130" i="68"/>
  <c r="AA112" i="68"/>
  <c r="AA106" i="68"/>
  <c r="AA84" i="68"/>
  <c r="AA138" i="68"/>
  <c r="AA151" i="68"/>
  <c r="AA176" i="68"/>
  <c r="J53" i="12"/>
  <c r="L36" i="3"/>
  <c r="O116" i="4"/>
  <c r="C18" i="21"/>
  <c r="C18" i="24" s="1"/>
  <c r="E63" i="37"/>
  <c r="K26" i="3"/>
  <c r="K91" i="3" s="1"/>
  <c r="L91" i="3" s="1"/>
  <c r="E34" i="36"/>
  <c r="H47" i="9" s="1"/>
  <c r="AD42" i="31"/>
  <c r="AD64" i="31"/>
  <c r="E62" i="37"/>
  <c r="I62" i="37" s="1"/>
  <c r="F21" i="37"/>
  <c r="H21" i="37" s="1"/>
  <c r="I21" i="37" s="1"/>
  <c r="F41" i="37"/>
  <c r="H41" i="37" s="1"/>
  <c r="I41" i="37" s="1"/>
  <c r="AD26" i="31"/>
  <c r="AD10" i="31"/>
  <c r="AD40" i="31"/>
  <c r="F47" i="37"/>
  <c r="H47" i="37" s="1"/>
  <c r="I47" i="37" s="1"/>
  <c r="E38" i="37"/>
  <c r="I38" i="37" s="1"/>
  <c r="E11" i="37"/>
  <c r="I11" i="37" s="1"/>
  <c r="AA11" i="37" s="1"/>
  <c r="AE49" i="31"/>
  <c r="F54" i="37"/>
  <c r="H54" i="37" s="1"/>
  <c r="I54" i="37" s="1"/>
  <c r="AA54" i="37" s="1"/>
  <c r="AD50" i="31"/>
  <c r="E12" i="37"/>
  <c r="I12" i="37" s="1"/>
  <c r="E46" i="37"/>
  <c r="I46" i="37" s="1"/>
  <c r="AD37" i="31"/>
  <c r="AD59" i="31"/>
  <c r="AD45" i="31"/>
  <c r="E45" i="37"/>
  <c r="I45" i="37" s="1"/>
  <c r="AD57" i="31"/>
  <c r="E48" i="37"/>
  <c r="I48" i="37" s="1"/>
  <c r="F33" i="37"/>
  <c r="H33" i="37" s="1"/>
  <c r="E61" i="37"/>
  <c r="I61" i="37" s="1"/>
  <c r="E60" i="37"/>
  <c r="I60" i="37" s="1"/>
  <c r="E33" i="37"/>
  <c r="AD60" i="31"/>
  <c r="F57" i="37"/>
  <c r="H57" i="37" s="1"/>
  <c r="I57" i="37" s="1"/>
  <c r="F16" i="37"/>
  <c r="H16" i="37" s="1"/>
  <c r="I16" i="37" s="1"/>
  <c r="AE60" i="31"/>
  <c r="AA83" i="37"/>
  <c r="C14" i="37"/>
  <c r="F14" i="37" s="1"/>
  <c r="F39" i="37"/>
  <c r="H39" i="37" s="1"/>
  <c r="I39" i="37" s="1"/>
  <c r="AA39" i="37" s="1"/>
  <c r="E53" i="37"/>
  <c r="I53" i="37" s="1"/>
  <c r="I38" i="31"/>
  <c r="C41" i="100" s="1"/>
  <c r="E41" i="100" s="1"/>
  <c r="E54" i="100" s="1"/>
  <c r="AD63" i="31"/>
  <c r="E59" i="37"/>
  <c r="I59" i="37" s="1"/>
  <c r="F51" i="37"/>
  <c r="H51" i="37" s="1"/>
  <c r="I51" i="37" s="1"/>
  <c r="E42" i="37"/>
  <c r="I42" i="37" s="1"/>
  <c r="E86" i="37"/>
  <c r="E30" i="37"/>
  <c r="I30" i="37" s="1"/>
  <c r="AD47" i="31"/>
  <c r="J18" i="31"/>
  <c r="AE18" i="31" s="1"/>
  <c r="AD53" i="31"/>
  <c r="E36" i="37"/>
  <c r="I36" i="37" s="1"/>
  <c r="E38" i="31"/>
  <c r="J38" i="31" s="1"/>
  <c r="AE54" i="31"/>
  <c r="N91" i="31"/>
  <c r="E13" i="37"/>
  <c r="I13" i="37" s="1"/>
  <c r="C27" i="31"/>
  <c r="C26" i="37" s="1"/>
  <c r="F26" i="37" s="1"/>
  <c r="H26" i="37" s="1"/>
  <c r="AF91" i="47"/>
  <c r="AD16" i="31"/>
  <c r="AE57" i="31"/>
  <c r="E13" i="31"/>
  <c r="J13" i="31" s="1"/>
  <c r="I15" i="31"/>
  <c r="C16" i="100" s="1"/>
  <c r="E16" i="100" s="1"/>
  <c r="K16" i="100" s="1"/>
  <c r="M86" i="37"/>
  <c r="E15" i="31"/>
  <c r="J15" i="31" s="1"/>
  <c r="I14" i="31"/>
  <c r="C15" i="37"/>
  <c r="F15" i="37" s="1"/>
  <c r="H15" i="37" s="1"/>
  <c r="J27" i="13"/>
  <c r="L27" i="13" s="1"/>
  <c r="K36" i="2"/>
  <c r="N37" i="3"/>
  <c r="F101" i="3"/>
  <c r="H66" i="2"/>
  <c r="J66" i="2" s="1"/>
  <c r="C67" i="3" s="1"/>
  <c r="H11" i="9"/>
  <c r="G25" i="26"/>
  <c r="G29" i="26" s="1"/>
  <c r="Q73" i="46"/>
  <c r="Q357" i="68"/>
  <c r="Z23" i="68"/>
  <c r="Z67" i="68"/>
  <c r="W337" i="68"/>
  <c r="K24" i="28"/>
  <c r="H91" i="24" s="1"/>
  <c r="K22" i="28"/>
  <c r="G16" i="6"/>
  <c r="J91" i="31"/>
  <c r="E91" i="31"/>
  <c r="AA91" i="31"/>
  <c r="AE11" i="31"/>
  <c r="S27" i="31"/>
  <c r="R91" i="31"/>
  <c r="E68" i="37"/>
  <c r="I68" i="37" s="1"/>
  <c r="AH89" i="31"/>
  <c r="S91" i="31"/>
  <c r="I91" i="31"/>
  <c r="AE58" i="31"/>
  <c r="U36" i="37"/>
  <c r="Y36" i="37" s="1"/>
  <c r="U68" i="37"/>
  <c r="Y68" i="37" s="1"/>
  <c r="Q29" i="37"/>
  <c r="I52" i="37"/>
  <c r="AE43" i="31"/>
  <c r="J21" i="15"/>
  <c r="E21" i="15"/>
  <c r="C37" i="29"/>
  <c r="AB91" i="31"/>
  <c r="AE42" i="31"/>
  <c r="AC69" i="31"/>
  <c r="H21" i="15"/>
  <c r="J14" i="31"/>
  <c r="AE14" i="31" s="1"/>
  <c r="AE53" i="31"/>
  <c r="AE29" i="31"/>
  <c r="AE40" i="31"/>
  <c r="AE45" i="31"/>
  <c r="AE89" i="31"/>
  <c r="AH86" i="31"/>
  <c r="J18" i="16"/>
  <c r="K18" i="16" s="1"/>
  <c r="AE20" i="31"/>
  <c r="U86" i="37"/>
  <c r="Y82" i="37"/>
  <c r="Q25" i="37"/>
  <c r="Q60" i="37"/>
  <c r="Y52" i="37"/>
  <c r="Q51" i="37"/>
  <c r="Q57" i="37"/>
  <c r="Q43" i="37"/>
  <c r="K64" i="16"/>
  <c r="AE64" i="31"/>
  <c r="AE26" i="31"/>
  <c r="AE55" i="31"/>
  <c r="AB38" i="31"/>
  <c r="H64" i="16"/>
  <c r="AH70" i="31"/>
  <c r="E64" i="16"/>
  <c r="AE48" i="31"/>
  <c r="Q53" i="37"/>
  <c r="I40" i="37"/>
  <c r="Q21" i="37"/>
  <c r="AB16" i="31"/>
  <c r="AE16" i="31" s="1"/>
  <c r="C12" i="29"/>
  <c r="Y12" i="37"/>
  <c r="Y25" i="37"/>
  <c r="Y60" i="37"/>
  <c r="Q42" i="37"/>
  <c r="Q55" i="37"/>
  <c r="Y53" i="37"/>
  <c r="Q18" i="37"/>
  <c r="Y55" i="37"/>
  <c r="I56" i="37"/>
  <c r="Q38" i="37"/>
  <c r="Q47" i="37"/>
  <c r="AE44" i="31"/>
  <c r="AE50" i="31"/>
  <c r="AE61" i="31"/>
  <c r="K43" i="16"/>
  <c r="M53" i="30"/>
  <c r="N32" i="30"/>
  <c r="V214" i="68"/>
  <c r="Z212" i="68"/>
  <c r="AA212" i="68" s="1"/>
  <c r="Z20" i="68"/>
  <c r="AA20" i="68" s="1"/>
  <c r="Z19" i="68"/>
  <c r="AA19" i="68" s="1"/>
  <c r="V354" i="68"/>
  <c r="W354" i="68"/>
  <c r="T46" i="68"/>
  <c r="T63" i="68" s="1"/>
  <c r="R63" i="68"/>
  <c r="R283" i="68"/>
  <c r="R329" i="68"/>
  <c r="R214" i="68"/>
  <c r="R354" i="68"/>
  <c r="Y283" i="68"/>
  <c r="AB171" i="68"/>
  <c r="V63" i="68"/>
  <c r="T38" i="68"/>
  <c r="R244" i="68"/>
  <c r="R73" i="68"/>
  <c r="Y46" i="68"/>
  <c r="W63" i="68"/>
  <c r="AB173" i="68"/>
  <c r="AB262" i="68"/>
  <c r="AB101" i="68"/>
  <c r="W283" i="68"/>
  <c r="AB126" i="68"/>
  <c r="AB158" i="68"/>
  <c r="AB91" i="68"/>
  <c r="AB124" i="68"/>
  <c r="AB271" i="68"/>
  <c r="O53" i="30"/>
  <c r="L53" i="30"/>
  <c r="N53" i="30"/>
  <c r="Y58" i="37"/>
  <c r="I27" i="37"/>
  <c r="Y38" i="37"/>
  <c r="Y29" i="37"/>
  <c r="Q52" i="37"/>
  <c r="Q36" i="37"/>
  <c r="Q58" i="37"/>
  <c r="Y51" i="37"/>
  <c r="Q45" i="37"/>
  <c r="Y47" i="37"/>
  <c r="V283" i="68"/>
  <c r="AB340" i="68"/>
  <c r="AB120" i="68"/>
  <c r="Z22" i="68"/>
  <c r="AB22" i="68" s="1"/>
  <c r="Z316" i="68"/>
  <c r="AA316" i="68" s="1"/>
  <c r="W73" i="68"/>
  <c r="AB222" i="68"/>
  <c r="AB288" i="68"/>
  <c r="Z312" i="68"/>
  <c r="AB312" i="68" s="1"/>
  <c r="AB259" i="68"/>
  <c r="AB168" i="68"/>
  <c r="AB254" i="68"/>
  <c r="AB79" i="68"/>
  <c r="AB94" i="68"/>
  <c r="AB346" i="68"/>
  <c r="Y294" i="68"/>
  <c r="AB166" i="68"/>
  <c r="AB167" i="68"/>
  <c r="AB143" i="68"/>
  <c r="AH69" i="31"/>
  <c r="J63" i="15"/>
  <c r="E63" i="15"/>
  <c r="AE59" i="31"/>
  <c r="C10" i="29"/>
  <c r="AE19" i="31"/>
  <c r="E16" i="15"/>
  <c r="K16" i="15" s="1"/>
  <c r="Y44" i="37"/>
  <c r="AA44" i="37" s="1"/>
  <c r="Y59" i="37"/>
  <c r="Q67" i="37"/>
  <c r="Y30" i="37"/>
  <c r="Y41" i="37"/>
  <c r="Y45" i="37"/>
  <c r="Q22" i="37"/>
  <c r="Y43" i="37"/>
  <c r="AB22" i="31"/>
  <c r="I28" i="37"/>
  <c r="AH18" i="31"/>
  <c r="Q46" i="37"/>
  <c r="N23" i="37"/>
  <c r="P23" i="37" s="1"/>
  <c r="M23" i="37"/>
  <c r="Y35" i="37"/>
  <c r="Q12" i="37"/>
  <c r="C11" i="29"/>
  <c r="I63" i="37"/>
  <c r="AA63" i="37" s="1"/>
  <c r="AA19" i="37"/>
  <c r="Q30" i="37"/>
  <c r="Q41" i="37"/>
  <c r="Y61" i="37"/>
  <c r="U72" i="31"/>
  <c r="S27" i="37"/>
  <c r="Q35" i="37"/>
  <c r="Y42" i="37"/>
  <c r="AA20" i="37"/>
  <c r="Y28" i="37"/>
  <c r="Q62" i="37"/>
  <c r="AE69" i="31"/>
  <c r="Y56" i="37"/>
  <c r="Y48" i="37"/>
  <c r="Q15" i="37"/>
  <c r="Q56" i="37"/>
  <c r="Y46" i="37"/>
  <c r="U23" i="37"/>
  <c r="V23" i="37"/>
  <c r="X23" i="37" s="1"/>
  <c r="Y57" i="37"/>
  <c r="H84" i="37"/>
  <c r="F86" i="37"/>
  <c r="Y21" i="37"/>
  <c r="U26" i="37"/>
  <c r="V26" i="37"/>
  <c r="X26" i="37" s="1"/>
  <c r="F27" i="8"/>
  <c r="W27" i="8" s="1"/>
  <c r="K28" i="3"/>
  <c r="K33" i="3" s="1"/>
  <c r="L33" i="3" s="1"/>
  <c r="G20" i="45"/>
  <c r="F46" i="27"/>
  <c r="E46" i="27"/>
  <c r="D25" i="27"/>
  <c r="E25" i="27"/>
  <c r="K23" i="16"/>
  <c r="C20" i="29"/>
  <c r="C35" i="29" s="1"/>
  <c r="AE70" i="31"/>
  <c r="I35" i="37"/>
  <c r="Q33" i="37"/>
  <c r="E67" i="37"/>
  <c r="F67" i="37"/>
  <c r="H67" i="37" s="1"/>
  <c r="Q28" i="37"/>
  <c r="Q59" i="37"/>
  <c r="I43" i="37"/>
  <c r="L72" i="31"/>
  <c r="K27" i="37"/>
  <c r="N26" i="37"/>
  <c r="P26" i="37" s="1"/>
  <c r="M26" i="37"/>
  <c r="U17" i="37"/>
  <c r="V17" i="37"/>
  <c r="X17" i="37" s="1"/>
  <c r="Y14" i="37"/>
  <c r="E23" i="37"/>
  <c r="F23" i="37"/>
  <c r="H23" i="37" s="1"/>
  <c r="F22" i="37"/>
  <c r="H22" i="37" s="1"/>
  <c r="E22" i="37"/>
  <c r="V18" i="37"/>
  <c r="X18" i="37" s="1"/>
  <c r="U18" i="37"/>
  <c r="M17" i="37"/>
  <c r="N17" i="37"/>
  <c r="P17" i="37" s="1"/>
  <c r="U16" i="37"/>
  <c r="V16" i="37"/>
  <c r="X16" i="37" s="1"/>
  <c r="N16" i="37"/>
  <c r="P16" i="37" s="1"/>
  <c r="M16" i="37"/>
  <c r="Y15" i="37"/>
  <c r="U13" i="37"/>
  <c r="V13" i="37"/>
  <c r="P13" i="37"/>
  <c r="S55" i="30"/>
  <c r="N57" i="2"/>
  <c r="P57" i="2" s="1"/>
  <c r="O58" i="12"/>
  <c r="AB152" i="68"/>
  <c r="AB310" i="68"/>
  <c r="AB78" i="68"/>
  <c r="AB345" i="68"/>
  <c r="E86" i="2"/>
  <c r="F86" i="2" s="1"/>
  <c r="Y73" i="68"/>
  <c r="K16" i="8"/>
  <c r="K12" i="8" s="1"/>
  <c r="K42" i="8" s="1"/>
  <c r="K38" i="8" s="1"/>
  <c r="AB260" i="68"/>
  <c r="R290" i="68"/>
  <c r="AB242" i="68"/>
  <c r="AB98" i="68"/>
  <c r="AB341" i="68"/>
  <c r="AB159" i="68"/>
  <c r="T354" i="68"/>
  <c r="I23" i="43" s="1"/>
  <c r="J18" i="8" s="1"/>
  <c r="V73" i="68"/>
  <c r="AB302" i="68"/>
  <c r="Z337" i="68"/>
  <c r="T337" i="68"/>
  <c r="L23" i="43" s="1"/>
  <c r="T298" i="68"/>
  <c r="K23" i="43" s="1"/>
  <c r="L18" i="8" s="1"/>
  <c r="L16" i="8" s="1"/>
  <c r="K78" i="2"/>
  <c r="L13" i="3"/>
  <c r="M35" i="12"/>
  <c r="P86" i="37"/>
  <c r="Q82" i="37"/>
  <c r="Q86" i="37" s="1"/>
  <c r="V86" i="37"/>
  <c r="H28" i="3"/>
  <c r="I28" i="3" s="1"/>
  <c r="H92" i="3"/>
  <c r="I92" i="3" s="1"/>
  <c r="K91" i="2" s="1"/>
  <c r="K29" i="6"/>
  <c r="E28" i="3"/>
  <c r="F25" i="8"/>
  <c r="W25" i="8" s="1"/>
  <c r="E92" i="3"/>
  <c r="X15" i="45"/>
  <c r="Q13" i="25" s="1"/>
  <c r="X18" i="45"/>
  <c r="X14" i="45"/>
  <c r="P13" i="25" s="1"/>
  <c r="X17" i="45"/>
  <c r="U20" i="45"/>
  <c r="J23" i="16"/>
  <c r="AA22" i="31"/>
  <c r="AC22" i="31" s="1"/>
  <c r="H23" i="16"/>
  <c r="AB96" i="31"/>
  <c r="AE25" i="31"/>
  <c r="AD25" i="31"/>
  <c r="C21" i="29"/>
  <c r="C36" i="29" s="1"/>
  <c r="AE87" i="31"/>
  <c r="K37" i="15"/>
  <c r="AH96" i="31"/>
  <c r="AC96" i="31"/>
  <c r="AC25" i="31"/>
  <c r="AH25" i="31"/>
  <c r="AC70" i="31"/>
  <c r="C64" i="15"/>
  <c r="H64" i="15" s="1"/>
  <c r="K49" i="16"/>
  <c r="X72" i="31"/>
  <c r="X80" i="31" s="1"/>
  <c r="AE86" i="31"/>
  <c r="F22" i="31"/>
  <c r="H22" i="31" s="1"/>
  <c r="AD17" i="31"/>
  <c r="AH35" i="31"/>
  <c r="H19" i="15"/>
  <c r="K19" i="15"/>
  <c r="E19" i="15"/>
  <c r="J50" i="16"/>
  <c r="AC20" i="31"/>
  <c r="AD20" i="31"/>
  <c r="AH20" i="31"/>
  <c r="N28" i="31"/>
  <c r="N72" i="31" s="1"/>
  <c r="W28" i="31"/>
  <c r="AA28" i="31"/>
  <c r="C24" i="16" s="1"/>
  <c r="AD12" i="31"/>
  <c r="AH12" i="31"/>
  <c r="AE21" i="31"/>
  <c r="AD69" i="31"/>
  <c r="N55" i="30"/>
  <c r="E52" i="3"/>
  <c r="O52" i="3" s="1"/>
  <c r="P52" i="3" s="1"/>
  <c r="Q50" i="46"/>
  <c r="H97" i="46"/>
  <c r="C53" i="30"/>
  <c r="E53" i="30"/>
  <c r="F53" i="30"/>
  <c r="G53" i="30"/>
  <c r="H50" i="46"/>
  <c r="H27" i="46"/>
  <c r="AH21" i="31"/>
  <c r="AC21" i="31"/>
  <c r="C20" i="15"/>
  <c r="J14" i="16"/>
  <c r="K14" i="16" s="1"/>
  <c r="C13" i="15"/>
  <c r="AC12" i="31"/>
  <c r="AD19" i="31"/>
  <c r="AC35" i="31"/>
  <c r="I28" i="31"/>
  <c r="C29" i="100" s="1"/>
  <c r="H27" i="15"/>
  <c r="K27" i="15"/>
  <c r="J27" i="15"/>
  <c r="E27" i="15"/>
  <c r="E32" i="15"/>
  <c r="J32" i="15"/>
  <c r="K32" i="15" s="1"/>
  <c r="J41" i="15"/>
  <c r="H41" i="15"/>
  <c r="E41" i="15"/>
  <c r="K41" i="15"/>
  <c r="AD18" i="31"/>
  <c r="AD21" i="31"/>
  <c r="J11" i="15"/>
  <c r="H11" i="15"/>
  <c r="K11" i="15"/>
  <c r="E11" i="15"/>
  <c r="J28" i="31"/>
  <c r="AD70" i="31"/>
  <c r="K36" i="16"/>
  <c r="K35" i="15"/>
  <c r="K26" i="15"/>
  <c r="K22" i="16"/>
  <c r="K22" i="15"/>
  <c r="C17" i="16"/>
  <c r="AC16" i="31"/>
  <c r="AH16" i="31"/>
  <c r="AD280" i="47"/>
  <c r="AD35" i="31"/>
  <c r="E50" i="15"/>
  <c r="J50" i="15"/>
  <c r="E52" i="15"/>
  <c r="J52" i="15"/>
  <c r="K56" i="16"/>
  <c r="E55" i="15"/>
  <c r="J55" i="15"/>
  <c r="AC17" i="31"/>
  <c r="C18" i="15"/>
  <c r="AH17" i="31"/>
  <c r="Q14" i="25"/>
  <c r="P67" i="44"/>
  <c r="E68" i="27"/>
  <c r="H37" i="24" s="1"/>
  <c r="F68" i="27"/>
  <c r="Q16" i="25"/>
  <c r="D27" i="8"/>
  <c r="I27" i="8" s="1"/>
  <c r="Z27" i="8" s="1"/>
  <c r="P32" i="44"/>
  <c r="P15" i="44"/>
  <c r="Q60" i="39"/>
  <c r="Q74" i="39"/>
  <c r="L38" i="3"/>
  <c r="F38" i="3"/>
  <c r="D38" i="12" s="1"/>
  <c r="I38" i="3"/>
  <c r="G35" i="12"/>
  <c r="D35" i="13" s="1"/>
  <c r="P53" i="39"/>
  <c r="O27" i="12"/>
  <c r="D53" i="13"/>
  <c r="P57" i="38"/>
  <c r="I38" i="10" s="1"/>
  <c r="E46" i="2" s="1"/>
  <c r="AB147" i="68"/>
  <c r="AB181" i="68"/>
  <c r="AB85" i="68"/>
  <c r="AB174" i="68"/>
  <c r="AB87" i="68"/>
  <c r="T214" i="68"/>
  <c r="E23" i="43" s="1"/>
  <c r="F18" i="8" s="1"/>
  <c r="AB226" i="68"/>
  <c r="AB344" i="68"/>
  <c r="AB82" i="68"/>
  <c r="AB263" i="68"/>
  <c r="AB133" i="68"/>
  <c r="AB308" i="68"/>
  <c r="AB83" i="68"/>
  <c r="AB86" i="68"/>
  <c r="AB313" i="68"/>
  <c r="AB253" i="68"/>
  <c r="AB145" i="68"/>
  <c r="AB108" i="68"/>
  <c r="AB281" i="68"/>
  <c r="Z317" i="68"/>
  <c r="AB317" i="68" s="1"/>
  <c r="AB307" i="68"/>
  <c r="T283" i="68"/>
  <c r="G23" i="43" s="1"/>
  <c r="H18" i="8" s="1"/>
  <c r="H16" i="8" s="1"/>
  <c r="AB148" i="68"/>
  <c r="AB135" i="68"/>
  <c r="AB96" i="68"/>
  <c r="AB146" i="68"/>
  <c r="AB248" i="68"/>
  <c r="AB111" i="68"/>
  <c r="E14" i="8"/>
  <c r="E16" i="8"/>
  <c r="AB303" i="68"/>
  <c r="AB107" i="68"/>
  <c r="V329" i="68"/>
  <c r="AB305" i="68"/>
  <c r="AB134" i="68"/>
  <c r="AB127" i="68"/>
  <c r="AB170" i="68"/>
  <c r="C104" i="2"/>
  <c r="I86" i="5"/>
  <c r="I65" i="13" s="1"/>
  <c r="H33" i="24"/>
  <c r="H32" i="24"/>
  <c r="F26" i="26"/>
  <c r="H19" i="16"/>
  <c r="E19" i="16"/>
  <c r="K19" i="16"/>
  <c r="J19" i="16"/>
  <c r="J36" i="15"/>
  <c r="E36" i="15"/>
  <c r="D17" i="21"/>
  <c r="F17" i="21" s="1"/>
  <c r="N19" i="24"/>
  <c r="D19" i="21"/>
  <c r="K31" i="2"/>
  <c r="E59" i="15"/>
  <c r="J59" i="15"/>
  <c r="K59" i="15" s="1"/>
  <c r="H61" i="2"/>
  <c r="J61" i="2" s="1"/>
  <c r="C62" i="3" s="1"/>
  <c r="Q27" i="46"/>
  <c r="E54" i="3"/>
  <c r="O54" i="3" s="1"/>
  <c r="P54" i="3" s="1"/>
  <c r="E15" i="2"/>
  <c r="W214" i="68"/>
  <c r="O15" i="25"/>
  <c r="C47" i="5"/>
  <c r="O75" i="39"/>
  <c r="Q75" i="39" s="1"/>
  <c r="G77" i="39"/>
  <c r="Y287" i="68"/>
  <c r="W290" i="68"/>
  <c r="E40" i="16"/>
  <c r="J40" i="16"/>
  <c r="F30" i="30"/>
  <c r="D30" i="30"/>
  <c r="E63" i="16"/>
  <c r="J63" i="16"/>
  <c r="J65" i="16" s="1"/>
  <c r="I14" i="3"/>
  <c r="L14" i="3"/>
  <c r="F14" i="3"/>
  <c r="P16" i="25"/>
  <c r="H36" i="3"/>
  <c r="I36" i="3" s="1"/>
  <c r="K88" i="2"/>
  <c r="E30" i="30"/>
  <c r="J35" i="16"/>
  <c r="E35" i="16"/>
  <c r="H35" i="16"/>
  <c r="K35" i="16"/>
  <c r="L48" i="3"/>
  <c r="F48" i="3"/>
  <c r="I48" i="3"/>
  <c r="O61" i="39"/>
  <c r="Q61" i="39" s="1"/>
  <c r="E26" i="3"/>
  <c r="O14" i="25"/>
  <c r="C25" i="5"/>
  <c r="D25" i="8"/>
  <c r="AB247" i="68"/>
  <c r="I32" i="5"/>
  <c r="I45" i="5" s="1"/>
  <c r="I50" i="5" s="1"/>
  <c r="H45" i="5"/>
  <c r="L56" i="13"/>
  <c r="D78" i="25"/>
  <c r="E76" i="25" s="1"/>
  <c r="G15" i="25" s="1"/>
  <c r="F30" i="3"/>
  <c r="I30" i="3"/>
  <c r="L30" i="3"/>
  <c r="N55" i="3"/>
  <c r="D55" i="12"/>
  <c r="F27" i="26"/>
  <c r="K27" i="24"/>
  <c r="H73" i="46"/>
  <c r="H51" i="24"/>
  <c r="O51" i="24" s="1"/>
  <c r="P51" i="24" s="1"/>
  <c r="N34" i="3"/>
  <c r="K33" i="2"/>
  <c r="D87" i="25"/>
  <c r="E85" i="25" s="1"/>
  <c r="G16" i="25" s="1"/>
  <c r="J58" i="13"/>
  <c r="G58" i="13"/>
  <c r="K49" i="2"/>
  <c r="E38" i="16"/>
  <c r="J38" i="16"/>
  <c r="T244" i="68"/>
  <c r="F23" i="43" s="1"/>
  <c r="G18" i="8" s="1"/>
  <c r="Z217" i="68"/>
  <c r="AA217" i="68" s="1"/>
  <c r="G19" i="21"/>
  <c r="I19" i="21" s="1"/>
  <c r="G17" i="21"/>
  <c r="I17" i="21" s="1"/>
  <c r="K25" i="24"/>
  <c r="D27" i="26"/>
  <c r="I27" i="26" s="1"/>
  <c r="R28" i="31"/>
  <c r="H53" i="2"/>
  <c r="J53" i="2" s="1"/>
  <c r="C54" i="3" s="1"/>
  <c r="E35" i="24"/>
  <c r="E37" i="24" s="1"/>
  <c r="C31" i="29"/>
  <c r="J43" i="15"/>
  <c r="E43" i="15"/>
  <c r="P49" i="44"/>
  <c r="H23" i="5"/>
  <c r="I10" i="5"/>
  <c r="I23" i="5" s="1"/>
  <c r="G30" i="30"/>
  <c r="F59" i="3"/>
  <c r="I59" i="3"/>
  <c r="L59" i="3"/>
  <c r="E66" i="25"/>
  <c r="F14" i="25" s="1"/>
  <c r="E67" i="25"/>
  <c r="G14" i="25" s="1"/>
  <c r="D20" i="12"/>
  <c r="N20" i="3"/>
  <c r="AE17" i="31"/>
  <c r="C33" i="15"/>
  <c r="Y225" i="68"/>
  <c r="W244" i="68"/>
  <c r="Z343" i="68"/>
  <c r="AA343" i="68" s="1"/>
  <c r="Y354" i="68"/>
  <c r="H69" i="5"/>
  <c r="I56" i="5"/>
  <c r="I69" i="5" s="1"/>
  <c r="D18" i="12"/>
  <c r="N18" i="3"/>
  <c r="E26" i="16"/>
  <c r="J26" i="16"/>
  <c r="Q13" i="31"/>
  <c r="O72" i="31"/>
  <c r="O80" i="31" s="1"/>
  <c r="R13" i="31"/>
  <c r="R75" i="31" s="1"/>
  <c r="L45" i="3"/>
  <c r="O45" i="3"/>
  <c r="P45" i="3" s="1"/>
  <c r="T329" i="68"/>
  <c r="H23" i="43" s="1"/>
  <c r="I18" i="8" s="1"/>
  <c r="AB149" i="68"/>
  <c r="D17" i="12"/>
  <c r="P14" i="25"/>
  <c r="H26" i="3"/>
  <c r="I26" i="3" s="1"/>
  <c r="D26" i="8"/>
  <c r="K54" i="2"/>
  <c r="C106" i="2"/>
  <c r="H53" i="24"/>
  <c r="O53" i="24" s="1"/>
  <c r="P53" i="24" s="1"/>
  <c r="C72" i="31"/>
  <c r="AB314" i="68"/>
  <c r="G34" i="12"/>
  <c r="M34" i="12"/>
  <c r="J34" i="12"/>
  <c r="D50" i="12"/>
  <c r="N50" i="3"/>
  <c r="J19" i="21"/>
  <c r="L19" i="21" s="1"/>
  <c r="J17" i="21"/>
  <c r="L17" i="21" s="1"/>
  <c r="D89" i="12"/>
  <c r="N89" i="3"/>
  <c r="D32" i="12"/>
  <c r="N32" i="3"/>
  <c r="D79" i="12"/>
  <c r="N79" i="3"/>
  <c r="E65" i="25"/>
  <c r="E45" i="15"/>
  <c r="J45" i="15"/>
  <c r="N30" i="30"/>
  <c r="L30" i="30"/>
  <c r="P30" i="30"/>
  <c r="O16" i="25"/>
  <c r="C71" i="5"/>
  <c r="E36" i="3"/>
  <c r="M30" i="30"/>
  <c r="G29" i="12"/>
  <c r="J29" i="12"/>
  <c r="M29" i="12"/>
  <c r="C15" i="15"/>
  <c r="AH14" i="31"/>
  <c r="AC14" i="31"/>
  <c r="M36" i="2"/>
  <c r="D37" i="13"/>
  <c r="O37" i="12"/>
  <c r="L36" i="2"/>
  <c r="L34" i="2"/>
  <c r="Y24" i="68"/>
  <c r="AE35" i="31" l="1"/>
  <c r="Z72" i="31"/>
  <c r="K29" i="100"/>
  <c r="H29" i="100"/>
  <c r="E29" i="100"/>
  <c r="AD14" i="31"/>
  <c r="C15" i="100"/>
  <c r="E15" i="16"/>
  <c r="K15" i="16" s="1"/>
  <c r="E30" i="16"/>
  <c r="K30" i="16" s="1"/>
  <c r="H42" i="15"/>
  <c r="J30" i="15"/>
  <c r="K30" i="15" s="1"/>
  <c r="AA227" i="68"/>
  <c r="C23" i="43"/>
  <c r="M23" i="43" s="1"/>
  <c r="AB268" i="68"/>
  <c r="Z214" i="68"/>
  <c r="C23" i="15"/>
  <c r="E23" i="15" s="1"/>
  <c r="E42" i="15"/>
  <c r="E37" i="16"/>
  <c r="K37" i="16" s="1"/>
  <c r="J42" i="15"/>
  <c r="AH24" i="31"/>
  <c r="AC24" i="31"/>
  <c r="AD24" i="31"/>
  <c r="AH27" i="31"/>
  <c r="AH23" i="31"/>
  <c r="AC23" i="31"/>
  <c r="AD23" i="31"/>
  <c r="E53" i="15"/>
  <c r="K53" i="15" s="1"/>
  <c r="J25" i="15"/>
  <c r="K25" i="15" s="1"/>
  <c r="M53" i="12"/>
  <c r="M52" i="2" s="1"/>
  <c r="M55" i="2"/>
  <c r="N55" i="2"/>
  <c r="I19" i="3"/>
  <c r="L19" i="3"/>
  <c r="F19" i="3"/>
  <c r="N53" i="3"/>
  <c r="G45" i="12"/>
  <c r="D45" i="13" s="1"/>
  <c r="H28" i="24"/>
  <c r="H34" i="24"/>
  <c r="H47" i="24"/>
  <c r="H27" i="24"/>
  <c r="H29" i="24"/>
  <c r="K28" i="28"/>
  <c r="E27" i="24"/>
  <c r="E28" i="24" s="1"/>
  <c r="F25" i="26"/>
  <c r="F29" i="26" s="1"/>
  <c r="G29" i="8"/>
  <c r="X29" i="8"/>
  <c r="AH15" i="31"/>
  <c r="AC15" i="31"/>
  <c r="AD15" i="31"/>
  <c r="E33" i="16"/>
  <c r="K33" i="16" s="1"/>
  <c r="AH38" i="31"/>
  <c r="AC38" i="31"/>
  <c r="AA75" i="31"/>
  <c r="E13" i="16"/>
  <c r="K13" i="16" s="1"/>
  <c r="J45" i="12"/>
  <c r="H10" i="9"/>
  <c r="H42" i="2"/>
  <c r="J42" i="2" s="1"/>
  <c r="C43" i="3" s="1"/>
  <c r="AL54" i="68"/>
  <c r="AL357" i="68" s="1"/>
  <c r="R38" i="68"/>
  <c r="R357" i="68" s="1"/>
  <c r="V25" i="68"/>
  <c r="AA16" i="68"/>
  <c r="AB319" i="68"/>
  <c r="AB267" i="68"/>
  <c r="M96" i="2"/>
  <c r="N96" i="2" s="1"/>
  <c r="P96" i="2" s="1"/>
  <c r="O97" i="12"/>
  <c r="G95" i="13"/>
  <c r="L95" i="13" s="1"/>
  <c r="L52" i="2"/>
  <c r="K41" i="3"/>
  <c r="L41" i="3" s="1"/>
  <c r="AA68" i="68"/>
  <c r="AA73" i="68" s="1"/>
  <c r="AA53" i="68"/>
  <c r="AA51" i="68"/>
  <c r="AA348" i="68"/>
  <c r="AA354" i="68" s="1"/>
  <c r="AA49" i="68"/>
  <c r="AB266" i="68"/>
  <c r="Z283" i="68"/>
  <c r="AB73" i="68"/>
  <c r="V18" i="8" s="1"/>
  <c r="V14" i="8" s="1"/>
  <c r="AA317" i="68"/>
  <c r="Y298" i="68"/>
  <c r="Y329" i="68"/>
  <c r="AA312" i="68"/>
  <c r="AB63" i="68"/>
  <c r="AA22" i="68"/>
  <c r="AA47" i="68"/>
  <c r="AA265" i="68"/>
  <c r="AA283" i="68" s="1"/>
  <c r="O118" i="4"/>
  <c r="C70" i="37"/>
  <c r="K93" i="3"/>
  <c r="L93" i="3" s="1"/>
  <c r="K94" i="3"/>
  <c r="L94" i="3" s="1"/>
  <c r="K98" i="3"/>
  <c r="L98" i="3" s="1"/>
  <c r="K61" i="3"/>
  <c r="L61" i="3" s="1"/>
  <c r="K63" i="3"/>
  <c r="L63" i="3" s="1"/>
  <c r="K49" i="3"/>
  <c r="L49" i="3" s="1"/>
  <c r="K39" i="3"/>
  <c r="L39" i="3" s="1"/>
  <c r="K46" i="3"/>
  <c r="K62" i="3"/>
  <c r="L62" i="3" s="1"/>
  <c r="K31" i="3"/>
  <c r="L31" i="3" s="1"/>
  <c r="K42" i="3"/>
  <c r="K44" i="3" s="1"/>
  <c r="L44" i="3" s="1"/>
  <c r="K95" i="3"/>
  <c r="L26" i="3"/>
  <c r="K25" i="2" s="1"/>
  <c r="I33" i="37"/>
  <c r="AA33" i="37" s="1"/>
  <c r="AD38" i="31"/>
  <c r="E14" i="37"/>
  <c r="AA48" i="37"/>
  <c r="E15" i="37"/>
  <c r="I15" i="37" s="1"/>
  <c r="AA15" i="37" s="1"/>
  <c r="AA61" i="37"/>
  <c r="AE38" i="31"/>
  <c r="AF50" i="31" s="1"/>
  <c r="E26" i="37"/>
  <c r="I26" i="37" s="1"/>
  <c r="I27" i="31"/>
  <c r="C28" i="100" s="1"/>
  <c r="E27" i="31"/>
  <c r="J27" i="31" s="1"/>
  <c r="AE27" i="31" s="1"/>
  <c r="AE15" i="31"/>
  <c r="L101" i="3"/>
  <c r="I101" i="3"/>
  <c r="C55" i="21"/>
  <c r="C55" i="24" s="1"/>
  <c r="C46" i="27"/>
  <c r="Z73" i="68"/>
  <c r="W329" i="68"/>
  <c r="H51" i="2"/>
  <c r="J51" i="2" s="1"/>
  <c r="C52" i="3" s="1"/>
  <c r="AF70" i="31"/>
  <c r="AA29" i="37"/>
  <c r="AA25" i="37"/>
  <c r="AA52" i="37"/>
  <c r="E65" i="16"/>
  <c r="K65" i="16" s="1"/>
  <c r="AA51" i="37"/>
  <c r="AA40" i="37"/>
  <c r="AA57" i="37"/>
  <c r="Y16" i="37"/>
  <c r="AA21" i="37"/>
  <c r="AA36" i="37"/>
  <c r="AA55" i="37"/>
  <c r="J64" i="15"/>
  <c r="J65" i="15" s="1"/>
  <c r="AA53" i="37"/>
  <c r="AA58" i="37"/>
  <c r="Y26" i="37"/>
  <c r="AA62" i="37"/>
  <c r="AA30" i="37"/>
  <c r="Q17" i="37"/>
  <c r="I23" i="37"/>
  <c r="AF65" i="31"/>
  <c r="AA47" i="37"/>
  <c r="AA56" i="37"/>
  <c r="AA60" i="37"/>
  <c r="W29" i="8"/>
  <c r="H61" i="24"/>
  <c r="Q53" i="30"/>
  <c r="I76" i="3"/>
  <c r="L76" i="3"/>
  <c r="F76" i="3"/>
  <c r="C57" i="21"/>
  <c r="C57" i="24" s="1"/>
  <c r="AB212" i="68"/>
  <c r="AK357" i="68"/>
  <c r="T357" i="68"/>
  <c r="I12" i="10" s="1"/>
  <c r="I13" i="10" s="1"/>
  <c r="Y63" i="68"/>
  <c r="Z46" i="68"/>
  <c r="AA46" i="68" s="1"/>
  <c r="Y17" i="37"/>
  <c r="AA38" i="37"/>
  <c r="AA42" i="37"/>
  <c r="AA41" i="37"/>
  <c r="AA68" i="37"/>
  <c r="AA45" i="37"/>
  <c r="Y18" i="37"/>
  <c r="AA18" i="37" s="1"/>
  <c r="AA28" i="37"/>
  <c r="K63" i="15"/>
  <c r="K50" i="15"/>
  <c r="AB316" i="68"/>
  <c r="Z294" i="68"/>
  <c r="Z298" i="68" s="1"/>
  <c r="C193" i="7"/>
  <c r="D193" i="7" s="1"/>
  <c r="C14" i="29"/>
  <c r="D12" i="29" s="1"/>
  <c r="E27" i="26" s="1"/>
  <c r="H27" i="26" s="1"/>
  <c r="K63" i="16"/>
  <c r="I22" i="37"/>
  <c r="AA22" i="37" s="1"/>
  <c r="AA12" i="37"/>
  <c r="I84" i="37"/>
  <c r="H86" i="37"/>
  <c r="K43" i="15"/>
  <c r="AA43" i="37"/>
  <c r="AA35" i="37"/>
  <c r="V27" i="37"/>
  <c r="X27" i="37" s="1"/>
  <c r="U27" i="37"/>
  <c r="U70" i="37" s="1"/>
  <c r="Q23" i="37"/>
  <c r="I73" i="37"/>
  <c r="G58" i="9" s="1"/>
  <c r="Y73" i="37"/>
  <c r="G60" i="9" s="1"/>
  <c r="H12" i="29" s="1"/>
  <c r="S70" i="37"/>
  <c r="Q73" i="37"/>
  <c r="G59" i="9" s="1"/>
  <c r="H11" i="29" s="1"/>
  <c r="Y23" i="37"/>
  <c r="AA46" i="37"/>
  <c r="F16" i="8"/>
  <c r="O28" i="3"/>
  <c r="P28" i="3" s="1"/>
  <c r="L28" i="3"/>
  <c r="F29" i="8"/>
  <c r="H30" i="24"/>
  <c r="H40" i="24"/>
  <c r="D26" i="26"/>
  <c r="I26" i="26" s="1"/>
  <c r="H46" i="24"/>
  <c r="E25" i="24"/>
  <c r="E97" i="24" s="1"/>
  <c r="H60" i="24"/>
  <c r="H41" i="24"/>
  <c r="H25" i="24"/>
  <c r="H44" i="24"/>
  <c r="H38" i="24"/>
  <c r="C25" i="27"/>
  <c r="H62" i="24"/>
  <c r="D25" i="26"/>
  <c r="I25" i="26" s="1"/>
  <c r="H45" i="24"/>
  <c r="H48" i="24"/>
  <c r="H93" i="24"/>
  <c r="H92" i="24"/>
  <c r="H94" i="24"/>
  <c r="H31" i="24"/>
  <c r="H49" i="24"/>
  <c r="H97" i="24"/>
  <c r="H26" i="24"/>
  <c r="H90" i="24"/>
  <c r="H43" i="24"/>
  <c r="I13" i="3"/>
  <c r="F13" i="3"/>
  <c r="D13" i="12" s="1"/>
  <c r="J13" i="12" s="1"/>
  <c r="AF89" i="31"/>
  <c r="C24" i="29"/>
  <c r="D22" i="29" s="1"/>
  <c r="F72" i="31"/>
  <c r="C82" i="100" s="1"/>
  <c r="C21" i="16"/>
  <c r="AH22" i="31"/>
  <c r="K45" i="15"/>
  <c r="I67" i="37"/>
  <c r="AA67" i="37" s="1"/>
  <c r="AA59" i="37"/>
  <c r="Q26" i="37"/>
  <c r="N27" i="37"/>
  <c r="M27" i="37"/>
  <c r="M70" i="37" s="1"/>
  <c r="K70" i="37"/>
  <c r="Q16" i="37"/>
  <c r="H14" i="37"/>
  <c r="F70" i="37"/>
  <c r="X13" i="37"/>
  <c r="Q13" i="37"/>
  <c r="J86" i="2"/>
  <c r="C87" i="3" s="1"/>
  <c r="M34" i="2"/>
  <c r="N34" i="2" s="1"/>
  <c r="D101" i="12"/>
  <c r="G101" i="12" s="1"/>
  <c r="O35" i="12"/>
  <c r="AA82" i="37"/>
  <c r="F14" i="8"/>
  <c r="H33" i="3"/>
  <c r="I33" i="3" s="1"/>
  <c r="E33" i="3"/>
  <c r="F33" i="3" s="1"/>
  <c r="D33" i="12" s="1"/>
  <c r="F28" i="3"/>
  <c r="D28" i="12" s="1"/>
  <c r="M28" i="12" s="1"/>
  <c r="O13" i="25"/>
  <c r="I22" i="31"/>
  <c r="AA72" i="31"/>
  <c r="C68" i="16" s="1"/>
  <c r="K26" i="16"/>
  <c r="K52" i="15"/>
  <c r="AF91" i="31"/>
  <c r="AF94" i="31" s="1"/>
  <c r="AG94" i="31" s="1"/>
  <c r="J60" i="16"/>
  <c r="K60" i="16" s="1"/>
  <c r="Y86" i="37"/>
  <c r="E64" i="15"/>
  <c r="E65" i="15" s="1"/>
  <c r="K64" i="15"/>
  <c r="K50" i="16"/>
  <c r="K55" i="15"/>
  <c r="H96" i="31"/>
  <c r="J96" i="31" s="1"/>
  <c r="AE96" i="31" s="1"/>
  <c r="AF96" i="31" s="1"/>
  <c r="AF99" i="31" s="1"/>
  <c r="AG99" i="31" s="1"/>
  <c r="I96" i="31"/>
  <c r="AD96" i="31" s="1"/>
  <c r="S28" i="31"/>
  <c r="E24" i="16"/>
  <c r="J24" i="16"/>
  <c r="K24" i="16"/>
  <c r="H24" i="16"/>
  <c r="AB28" i="31"/>
  <c r="W72" i="31"/>
  <c r="AD28" i="31"/>
  <c r="Q30" i="30"/>
  <c r="H53" i="30"/>
  <c r="E13" i="15"/>
  <c r="J13" i="15"/>
  <c r="H20" i="15"/>
  <c r="K20" i="15"/>
  <c r="E20" i="15"/>
  <c r="J20" i="15"/>
  <c r="E17" i="16"/>
  <c r="J17" i="16"/>
  <c r="H30" i="30"/>
  <c r="K36" i="15"/>
  <c r="J60" i="15"/>
  <c r="K40" i="16"/>
  <c r="K38" i="16"/>
  <c r="J46" i="16"/>
  <c r="E18" i="15"/>
  <c r="J18" i="15"/>
  <c r="J16" i="16"/>
  <c r="E16" i="16"/>
  <c r="L14" i="8"/>
  <c r="L12" i="8" s="1"/>
  <c r="L42" i="8" s="1"/>
  <c r="L40" i="8" s="1"/>
  <c r="K40" i="8"/>
  <c r="K36" i="8" s="1"/>
  <c r="H36" i="24"/>
  <c r="C68" i="27"/>
  <c r="H35" i="24"/>
  <c r="K35" i="24"/>
  <c r="K36" i="24" s="1"/>
  <c r="K37" i="24" s="1"/>
  <c r="O37" i="24" s="1"/>
  <c r="P37" i="24" s="1"/>
  <c r="U27" i="8"/>
  <c r="I25" i="5"/>
  <c r="Q63" i="39"/>
  <c r="Q66" i="39" s="1"/>
  <c r="H65" i="9" s="1"/>
  <c r="M38" i="12"/>
  <c r="G38" i="12"/>
  <c r="D38" i="13" s="1"/>
  <c r="J38" i="12"/>
  <c r="N38" i="3"/>
  <c r="P55" i="2"/>
  <c r="L58" i="13"/>
  <c r="C26" i="21"/>
  <c r="C26" i="24" s="1"/>
  <c r="G53" i="13"/>
  <c r="J53" i="13"/>
  <c r="K35" i="2"/>
  <c r="E12" i="8"/>
  <c r="E42" i="8" s="1"/>
  <c r="H14" i="8"/>
  <c r="H12" i="8" s="1"/>
  <c r="H18" i="26" s="1"/>
  <c r="Z329" i="68"/>
  <c r="M28" i="2"/>
  <c r="C14" i="15"/>
  <c r="AD13" i="31"/>
  <c r="AH13" i="31"/>
  <c r="AC13" i="31"/>
  <c r="R72" i="31"/>
  <c r="I71" i="5"/>
  <c r="I74" i="5"/>
  <c r="E33" i="15"/>
  <c r="E46" i="15" s="1"/>
  <c r="J33" i="15"/>
  <c r="K91" i="24"/>
  <c r="K28" i="24"/>
  <c r="K33" i="24"/>
  <c r="K32" i="24"/>
  <c r="K47" i="24"/>
  <c r="F15" i="2"/>
  <c r="E21" i="2"/>
  <c r="I16" i="8"/>
  <c r="AB343" i="68"/>
  <c r="AB354" i="68" s="1"/>
  <c r="AA18" i="8" s="1"/>
  <c r="Z354" i="68"/>
  <c r="G20" i="12"/>
  <c r="J20" i="12"/>
  <c r="M20" i="12"/>
  <c r="K58" i="2"/>
  <c r="J22" i="31"/>
  <c r="H72" i="31"/>
  <c r="I18" i="24"/>
  <c r="F18" i="24"/>
  <c r="L18" i="24"/>
  <c r="E84" i="25"/>
  <c r="F16" i="25" s="1"/>
  <c r="E83" i="25"/>
  <c r="K29" i="2"/>
  <c r="F19" i="21"/>
  <c r="O19" i="21"/>
  <c r="E15" i="15"/>
  <c r="J15" i="15"/>
  <c r="D29" i="13"/>
  <c r="O29" i="12"/>
  <c r="O36" i="3"/>
  <c r="P36" i="3" s="1"/>
  <c r="F36" i="3"/>
  <c r="E69" i="25"/>
  <c r="E14" i="25"/>
  <c r="M89" i="12"/>
  <c r="G89" i="12"/>
  <c r="J89" i="12"/>
  <c r="L33" i="2"/>
  <c r="K44" i="2"/>
  <c r="N45" i="3"/>
  <c r="Q72" i="31"/>
  <c r="S13" i="31"/>
  <c r="N59" i="3"/>
  <c r="D59" i="12"/>
  <c r="D29" i="29"/>
  <c r="D28" i="29"/>
  <c r="AB217" i="68"/>
  <c r="M55" i="12"/>
  <c r="J55" i="12"/>
  <c r="G55" i="12"/>
  <c r="D30" i="12"/>
  <c r="N30" i="3"/>
  <c r="K47" i="5"/>
  <c r="P25" i="25" s="1"/>
  <c r="J47" i="5"/>
  <c r="I25" i="8"/>
  <c r="U25" i="8"/>
  <c r="D29" i="8"/>
  <c r="K13" i="2"/>
  <c r="M44" i="2"/>
  <c r="Q77" i="39"/>
  <c r="Y214" i="68"/>
  <c r="F65" i="13"/>
  <c r="I81" i="13"/>
  <c r="I61" i="13"/>
  <c r="I82" i="13"/>
  <c r="I96" i="13" s="1"/>
  <c r="I75" i="13"/>
  <c r="I66" i="13"/>
  <c r="I67" i="13" s="1"/>
  <c r="I68" i="13" s="1"/>
  <c r="I69" i="13" s="1"/>
  <c r="I70" i="13" s="1"/>
  <c r="I71" i="13" s="1"/>
  <c r="I72" i="13" s="1"/>
  <c r="I73" i="13" s="1"/>
  <c r="I74" i="13" s="1"/>
  <c r="I80" i="13" s="1"/>
  <c r="I76" i="13"/>
  <c r="M32" i="12"/>
  <c r="G32" i="12"/>
  <c r="J32" i="12"/>
  <c r="J50" i="12"/>
  <c r="M50" i="12"/>
  <c r="G50" i="12"/>
  <c r="D34" i="13"/>
  <c r="O34" i="12"/>
  <c r="H39" i="3"/>
  <c r="I39" i="3" s="1"/>
  <c r="H46" i="3"/>
  <c r="H31" i="3"/>
  <c r="I31" i="3" s="1"/>
  <c r="H61" i="3"/>
  <c r="I61" i="3" s="1"/>
  <c r="H42" i="3"/>
  <c r="H91" i="3"/>
  <c r="I91" i="3" s="1"/>
  <c r="H98" i="3"/>
  <c r="I98" i="3" s="1"/>
  <c r="H62" i="3"/>
  <c r="I62" i="3" s="1"/>
  <c r="H94" i="3"/>
  <c r="I94" i="3" s="1"/>
  <c r="H63" i="3"/>
  <c r="I63" i="3" s="1"/>
  <c r="H93" i="3"/>
  <c r="I93" i="3" s="1"/>
  <c r="H95" i="3"/>
  <c r="H49" i="3"/>
  <c r="I49" i="3" s="1"/>
  <c r="H41" i="3"/>
  <c r="C24" i="15"/>
  <c r="AC28" i="31"/>
  <c r="AH28" i="31"/>
  <c r="N48" i="3"/>
  <c r="D48" i="12"/>
  <c r="Y290" i="68"/>
  <c r="Z287" i="68"/>
  <c r="AB287" i="68" s="1"/>
  <c r="AB290" i="68" s="1"/>
  <c r="AB18" i="8" s="1"/>
  <c r="L28" i="2"/>
  <c r="G17" i="12"/>
  <c r="J17" i="12"/>
  <c r="M17" i="12"/>
  <c r="K71" i="5"/>
  <c r="L36" i="12" s="1"/>
  <c r="J71" i="5"/>
  <c r="I36" i="12" s="1"/>
  <c r="Z225" i="68"/>
  <c r="AB225" i="68" s="1"/>
  <c r="Y244" i="68"/>
  <c r="F54" i="3"/>
  <c r="L54" i="3"/>
  <c r="I54" i="3"/>
  <c r="E31" i="3"/>
  <c r="E61" i="3"/>
  <c r="E49" i="3"/>
  <c r="E39" i="3"/>
  <c r="E62" i="3"/>
  <c r="F62" i="3" s="1"/>
  <c r="E98" i="3"/>
  <c r="E44" i="3"/>
  <c r="E93" i="3"/>
  <c r="E91" i="3"/>
  <c r="E95" i="3"/>
  <c r="E63" i="3"/>
  <c r="E46" i="3"/>
  <c r="E42" i="3"/>
  <c r="O26" i="3"/>
  <c r="P26" i="3" s="1"/>
  <c r="E41" i="3"/>
  <c r="E94" i="3"/>
  <c r="D14" i="12"/>
  <c r="N14" i="3"/>
  <c r="F26" i="3"/>
  <c r="M33" i="2"/>
  <c r="U26" i="8"/>
  <c r="I26" i="8"/>
  <c r="Z26" i="8" s="1"/>
  <c r="M18" i="12"/>
  <c r="J18" i="12"/>
  <c r="G18" i="12"/>
  <c r="E45" i="2"/>
  <c r="F45" i="2" s="1"/>
  <c r="F46" i="2"/>
  <c r="J25" i="5"/>
  <c r="K25" i="5"/>
  <c r="D27" i="29"/>
  <c r="E36" i="24"/>
  <c r="K26" i="24"/>
  <c r="K49" i="24" s="1"/>
  <c r="K48" i="24"/>
  <c r="K61" i="24"/>
  <c r="K97" i="24"/>
  <c r="K92" i="24"/>
  <c r="K30" i="24"/>
  <c r="K60" i="24"/>
  <c r="K31" i="24"/>
  <c r="K94" i="24"/>
  <c r="K46" i="24"/>
  <c r="K93" i="24"/>
  <c r="K62" i="24"/>
  <c r="K45" i="24"/>
  <c r="K41" i="24"/>
  <c r="K44" i="24" s="1"/>
  <c r="K90" i="24"/>
  <c r="K38" i="24"/>
  <c r="K40" i="24"/>
  <c r="K43" i="24" s="1"/>
  <c r="G16" i="8"/>
  <c r="G14" i="8"/>
  <c r="E74" i="25"/>
  <c r="E75" i="25"/>
  <c r="F15" i="25" s="1"/>
  <c r="F42" i="12"/>
  <c r="I51" i="5"/>
  <c r="F44" i="12" s="1"/>
  <c r="K51" i="5"/>
  <c r="L44" i="12" s="1"/>
  <c r="J50" i="5"/>
  <c r="I42" i="12" s="1"/>
  <c r="I49" i="12" s="1"/>
  <c r="I47" i="5"/>
  <c r="O25" i="25" s="1"/>
  <c r="K47" i="2"/>
  <c r="C39" i="29"/>
  <c r="D37" i="29" s="1"/>
  <c r="J35" i="13"/>
  <c r="G35" i="13"/>
  <c r="N36" i="2"/>
  <c r="G37" i="13"/>
  <c r="J37" i="13"/>
  <c r="Z24" i="68"/>
  <c r="AB24" i="68" s="1"/>
  <c r="N13" i="2" l="1"/>
  <c r="V11" i="25"/>
  <c r="V10" i="25"/>
  <c r="E15" i="100"/>
  <c r="E34" i="100" s="1"/>
  <c r="I75" i="31"/>
  <c r="C23" i="100"/>
  <c r="E23" i="100" s="1"/>
  <c r="O53" i="12"/>
  <c r="E60" i="15"/>
  <c r="S14" i="21" s="1"/>
  <c r="K28" i="100"/>
  <c r="E28" i="100"/>
  <c r="H28" i="100"/>
  <c r="J23" i="15"/>
  <c r="AB283" i="68"/>
  <c r="Y18" i="8" s="1"/>
  <c r="Y14" i="8" s="1"/>
  <c r="AB329" i="68"/>
  <c r="Z18" i="8" s="1"/>
  <c r="Z16" i="8" s="1"/>
  <c r="E70" i="37"/>
  <c r="D19" i="12"/>
  <c r="N19" i="3"/>
  <c r="C96" i="21"/>
  <c r="C96" i="24" s="1"/>
  <c r="I96" i="24" s="1"/>
  <c r="G96" i="21" s="1"/>
  <c r="I96" i="21" s="1"/>
  <c r="N52" i="2"/>
  <c r="C52" i="21" s="1"/>
  <c r="C52" i="24" s="1"/>
  <c r="O45" i="12"/>
  <c r="L44" i="2"/>
  <c r="N44" i="2" s="1"/>
  <c r="E32" i="24"/>
  <c r="O32" i="24" s="1"/>
  <c r="P32" i="24" s="1"/>
  <c r="E47" i="24"/>
  <c r="E33" i="24"/>
  <c r="O33" i="24" s="1"/>
  <c r="P33" i="24" s="1"/>
  <c r="O27" i="24"/>
  <c r="P27" i="24" s="1"/>
  <c r="E91" i="24"/>
  <c r="O91" i="24" s="1"/>
  <c r="P91" i="24" s="1"/>
  <c r="E46" i="16"/>
  <c r="K46" i="16" s="1"/>
  <c r="H41" i="2"/>
  <c r="J41" i="2" s="1"/>
  <c r="C42" i="3" s="1"/>
  <c r="L42" i="3" s="1"/>
  <c r="W25" i="68"/>
  <c r="V38" i="68"/>
  <c r="V357" i="68" s="1"/>
  <c r="F193" i="7"/>
  <c r="N101" i="3"/>
  <c r="K100" i="2"/>
  <c r="Q80" i="39"/>
  <c r="H67" i="9" s="1"/>
  <c r="H46" i="2" s="1"/>
  <c r="D18" i="8"/>
  <c r="D14" i="8" s="1"/>
  <c r="AA214" i="68"/>
  <c r="AA329" i="68"/>
  <c r="AA63" i="68"/>
  <c r="AA287" i="68"/>
  <c r="AA290" i="68" s="1"/>
  <c r="AA225" i="68"/>
  <c r="AA244" i="68" s="1"/>
  <c r="R360" i="68"/>
  <c r="AA24" i="68"/>
  <c r="AA294" i="68"/>
  <c r="AA298" i="68" s="1"/>
  <c r="I49" i="8"/>
  <c r="Z49" i="8" s="1"/>
  <c r="I50" i="8"/>
  <c r="Z50" i="8" s="1"/>
  <c r="E72" i="31"/>
  <c r="AD27" i="31"/>
  <c r="AD22" i="31"/>
  <c r="L57" i="24"/>
  <c r="J57" i="21" s="1"/>
  <c r="L57" i="21" s="1"/>
  <c r="L55" i="24"/>
  <c r="J55" i="21" s="1"/>
  <c r="L55" i="21" s="1"/>
  <c r="I73" i="12"/>
  <c r="F73" i="12" s="1"/>
  <c r="P73" i="12" s="1"/>
  <c r="Q25" i="25"/>
  <c r="L76" i="12"/>
  <c r="K75" i="2"/>
  <c r="I76" i="12"/>
  <c r="AB68" i="37"/>
  <c r="AA17" i="37"/>
  <c r="K65" i="15"/>
  <c r="AA16" i="37"/>
  <c r="AB63" i="37"/>
  <c r="AB73" i="37" s="1"/>
  <c r="AA26" i="37"/>
  <c r="AA23" i="37"/>
  <c r="D10" i="29"/>
  <c r="E25" i="26" s="1"/>
  <c r="N76" i="3"/>
  <c r="D76" i="12"/>
  <c r="F57" i="24"/>
  <c r="I57" i="24"/>
  <c r="G57" i="21" s="1"/>
  <c r="I57" i="21" s="1"/>
  <c r="E43" i="24"/>
  <c r="O43" i="24" s="1"/>
  <c r="P43" i="24" s="1"/>
  <c r="Z63" i="68"/>
  <c r="AB294" i="68"/>
  <c r="AB298" i="68" s="1"/>
  <c r="AC18" i="8" s="1"/>
  <c r="AC16" i="8" s="1"/>
  <c r="M13" i="12"/>
  <c r="G38" i="13"/>
  <c r="J38" i="13"/>
  <c r="E21" i="16"/>
  <c r="E28" i="16" s="1"/>
  <c r="D11" i="29"/>
  <c r="E26" i="26" s="1"/>
  <c r="H26" i="26" s="1"/>
  <c r="H14" i="26" s="1"/>
  <c r="K33" i="15"/>
  <c r="J21" i="16"/>
  <c r="J28" i="16" s="1"/>
  <c r="J68" i="16" s="1"/>
  <c r="V16" i="8"/>
  <c r="V12" i="8" s="1"/>
  <c r="V42" i="8" s="1"/>
  <c r="V38" i="8" s="1"/>
  <c r="F12" i="8"/>
  <c r="F18" i="26" s="1"/>
  <c r="F14" i="26" s="1"/>
  <c r="D20" i="29"/>
  <c r="D21" i="29"/>
  <c r="H52" i="24" s="1"/>
  <c r="H60" i="9"/>
  <c r="Y27" i="37"/>
  <c r="AB48" i="37"/>
  <c r="H10" i="29"/>
  <c r="H14" i="29" s="1"/>
  <c r="I10" i="29" s="1"/>
  <c r="K52" i="24"/>
  <c r="I86" i="37"/>
  <c r="AA84" i="37"/>
  <c r="AB84" i="37" s="1"/>
  <c r="V70" i="37"/>
  <c r="K27" i="2"/>
  <c r="E61" i="24"/>
  <c r="O61" i="24" s="1"/>
  <c r="P61" i="24" s="1"/>
  <c r="E92" i="24"/>
  <c r="O92" i="24" s="1"/>
  <c r="P92" i="24" s="1"/>
  <c r="E40" i="24"/>
  <c r="O40" i="24" s="1"/>
  <c r="P40" i="24" s="1"/>
  <c r="I29" i="26"/>
  <c r="E30" i="24"/>
  <c r="O30" i="24" s="1"/>
  <c r="P30" i="24" s="1"/>
  <c r="E94" i="24"/>
  <c r="O94" i="24" s="1"/>
  <c r="P94" i="24" s="1"/>
  <c r="E90" i="24"/>
  <c r="O90" i="24" s="1"/>
  <c r="P90" i="24" s="1"/>
  <c r="O25" i="24"/>
  <c r="P25" i="24" s="1"/>
  <c r="E31" i="24"/>
  <c r="O31" i="24" s="1"/>
  <c r="P31" i="24" s="1"/>
  <c r="E41" i="24"/>
  <c r="O41" i="24" s="1"/>
  <c r="P41" i="24" s="1"/>
  <c r="E62" i="24"/>
  <c r="O62" i="24" s="1"/>
  <c r="P62" i="24" s="1"/>
  <c r="E26" i="24"/>
  <c r="E44" i="24" s="1"/>
  <c r="O44" i="24" s="1"/>
  <c r="P44" i="24" s="1"/>
  <c r="E60" i="24"/>
  <c r="O60" i="24" s="1"/>
  <c r="P60" i="24" s="1"/>
  <c r="E93" i="24"/>
  <c r="O93" i="24" s="1"/>
  <c r="P93" i="24" s="1"/>
  <c r="E38" i="24"/>
  <c r="O38" i="24" s="1"/>
  <c r="P38" i="24" s="1"/>
  <c r="E48" i="24"/>
  <c r="O48" i="24" s="1"/>
  <c r="P48" i="24" s="1"/>
  <c r="E45" i="24"/>
  <c r="O45" i="24" s="1"/>
  <c r="P45" i="24" s="1"/>
  <c r="D29" i="26"/>
  <c r="K12" i="2"/>
  <c r="N13" i="3"/>
  <c r="G13" i="12"/>
  <c r="K18" i="15"/>
  <c r="AC75" i="31"/>
  <c r="AA76" i="31" s="1"/>
  <c r="I72" i="31"/>
  <c r="P27" i="37"/>
  <c r="N70" i="37"/>
  <c r="I14" i="37"/>
  <c r="H70" i="37"/>
  <c r="Y13" i="37"/>
  <c r="AA13" i="37" s="1"/>
  <c r="X70" i="37"/>
  <c r="K32" i="2"/>
  <c r="N28" i="3"/>
  <c r="M37" i="2"/>
  <c r="AB14" i="8"/>
  <c r="AB16" i="8"/>
  <c r="H42" i="8"/>
  <c r="H40" i="8" s="1"/>
  <c r="Y16" i="8"/>
  <c r="Y12" i="8" s="1"/>
  <c r="Y42" i="8" s="1"/>
  <c r="G12" i="8"/>
  <c r="G18" i="26" s="1"/>
  <c r="E18" i="26"/>
  <c r="E16" i="26" s="1"/>
  <c r="O33" i="3"/>
  <c r="P33" i="3" s="1"/>
  <c r="G28" i="12"/>
  <c r="D28" i="13" s="1"/>
  <c r="J28" i="12"/>
  <c r="L27" i="2" s="1"/>
  <c r="N33" i="3"/>
  <c r="D46" i="25"/>
  <c r="K13" i="15"/>
  <c r="AB72" i="31"/>
  <c r="D27" i="25" s="1"/>
  <c r="D37" i="25"/>
  <c r="AE28" i="31"/>
  <c r="K23" i="15"/>
  <c r="K17" i="16"/>
  <c r="K16" i="16"/>
  <c r="K15" i="15"/>
  <c r="L38" i="8"/>
  <c r="L36" i="8" s="1"/>
  <c r="O35" i="24"/>
  <c r="P35" i="24" s="1"/>
  <c r="O36" i="24"/>
  <c r="P36" i="24" s="1"/>
  <c r="O46" i="3"/>
  <c r="P46" i="3" s="1"/>
  <c r="H25" i="5"/>
  <c r="H45" i="2"/>
  <c r="J45" i="2" s="1"/>
  <c r="C46" i="3" s="1"/>
  <c r="O38" i="12"/>
  <c r="O42" i="3"/>
  <c r="P42" i="3" s="1"/>
  <c r="O47" i="24"/>
  <c r="P47" i="24" s="1"/>
  <c r="N33" i="2"/>
  <c r="C33" i="21" s="1"/>
  <c r="C33" i="24" s="1"/>
  <c r="L35" i="13"/>
  <c r="K97" i="2"/>
  <c r="L53" i="13"/>
  <c r="Z14" i="8"/>
  <c r="Z12" i="8" s="1"/>
  <c r="Z42" i="8" s="1"/>
  <c r="E40" i="8"/>
  <c r="E38" i="8"/>
  <c r="N62" i="3"/>
  <c r="D62" i="12"/>
  <c r="K61" i="2"/>
  <c r="K15" i="24"/>
  <c r="I101" i="12"/>
  <c r="L17" i="2"/>
  <c r="D36" i="29"/>
  <c r="O93" i="3"/>
  <c r="P93" i="3" s="1"/>
  <c r="F93" i="3"/>
  <c r="J48" i="12"/>
  <c r="M48" i="12"/>
  <c r="G48" i="12"/>
  <c r="K60" i="2"/>
  <c r="L49" i="2"/>
  <c r="L31" i="2"/>
  <c r="L66" i="12"/>
  <c r="L70" i="12"/>
  <c r="L75" i="12"/>
  <c r="L82" i="12" s="1"/>
  <c r="L80" i="12"/>
  <c r="M80" i="12" s="1"/>
  <c r="L74" i="12"/>
  <c r="L67" i="12"/>
  <c r="L71" i="12"/>
  <c r="L77" i="12"/>
  <c r="L81" i="12"/>
  <c r="M81" i="12" s="1"/>
  <c r="L69" i="12"/>
  <c r="L68" i="12"/>
  <c r="L72" i="12"/>
  <c r="L78" i="12"/>
  <c r="L65" i="12"/>
  <c r="L79" i="12"/>
  <c r="M79" i="12" s="1"/>
  <c r="L41" i="12"/>
  <c r="L54" i="2"/>
  <c r="J45" i="13"/>
  <c r="G45" i="13"/>
  <c r="J14" i="12"/>
  <c r="M14" i="12"/>
  <c r="G14" i="12"/>
  <c r="F44" i="3"/>
  <c r="Z290" i="68"/>
  <c r="K92" i="2"/>
  <c r="K30" i="2"/>
  <c r="J34" i="13"/>
  <c r="G34" i="13"/>
  <c r="D32" i="13"/>
  <c r="O32" i="12"/>
  <c r="AE13" i="31"/>
  <c r="S72" i="31"/>
  <c r="D26" i="25" s="1"/>
  <c r="D36" i="25"/>
  <c r="G16" i="21"/>
  <c r="I16" i="21" s="1"/>
  <c r="G18" i="21"/>
  <c r="I18" i="21" s="1"/>
  <c r="AE22" i="31"/>
  <c r="J72" i="31"/>
  <c r="D25" i="25" s="1"/>
  <c r="D35" i="25"/>
  <c r="J46" i="15"/>
  <c r="P44" i="12"/>
  <c r="Q44" i="12" s="1"/>
  <c r="D26" i="12"/>
  <c r="N26" i="3"/>
  <c r="O95" i="3"/>
  <c r="P95" i="3" s="1"/>
  <c r="F98" i="3"/>
  <c r="O98" i="3"/>
  <c r="P98" i="3" s="1"/>
  <c r="F61" i="3"/>
  <c r="O61" i="3"/>
  <c r="P61" i="3" s="1"/>
  <c r="M16" i="2"/>
  <c r="L101" i="12"/>
  <c r="M101" i="12" s="1"/>
  <c r="I41" i="3"/>
  <c r="H44" i="3"/>
  <c r="I44" i="3" s="1"/>
  <c r="K62" i="2"/>
  <c r="K90" i="2"/>
  <c r="O50" i="12"/>
  <c r="D50" i="13"/>
  <c r="M31" i="2"/>
  <c r="F76" i="13"/>
  <c r="M76" i="13" s="1"/>
  <c r="N76" i="13" s="1"/>
  <c r="M65" i="13"/>
  <c r="F75" i="13"/>
  <c r="M75" i="13" s="1"/>
  <c r="N75" i="13" s="1"/>
  <c r="F81" i="13"/>
  <c r="M81" i="13" s="1"/>
  <c r="N81" i="13" s="1"/>
  <c r="F82" i="13"/>
  <c r="F61" i="13"/>
  <c r="M61" i="13" s="1"/>
  <c r="N61" i="13" s="1"/>
  <c r="F66" i="13"/>
  <c r="AB214" i="68"/>
  <c r="W18" i="8" s="1"/>
  <c r="I29" i="8"/>
  <c r="Z25" i="8"/>
  <c r="Z29" i="8" s="1"/>
  <c r="G30" i="12"/>
  <c r="J30" i="12"/>
  <c r="M30" i="12"/>
  <c r="Z244" i="68"/>
  <c r="H54" i="24"/>
  <c r="E55" i="24"/>
  <c r="J29" i="13"/>
  <c r="G29" i="13"/>
  <c r="D20" i="13"/>
  <c r="O20" i="12"/>
  <c r="J15" i="2"/>
  <c r="C16" i="3" s="1"/>
  <c r="F21" i="2"/>
  <c r="K34" i="24"/>
  <c r="K29" i="24"/>
  <c r="H71" i="5"/>
  <c r="F36" i="12"/>
  <c r="P36" i="12" s="1"/>
  <c r="Q36" i="12" s="1"/>
  <c r="O94" i="3"/>
  <c r="P94" i="3" s="1"/>
  <c r="F94" i="3"/>
  <c r="O39" i="3"/>
  <c r="P39" i="3" s="1"/>
  <c r="F39" i="3"/>
  <c r="D17" i="13"/>
  <c r="O17" i="12"/>
  <c r="P13" i="2"/>
  <c r="C13" i="21"/>
  <c r="C13" i="24" s="1"/>
  <c r="M88" i="2"/>
  <c r="N88" i="2" s="1"/>
  <c r="D18" i="21"/>
  <c r="N18" i="24"/>
  <c r="D16" i="21"/>
  <c r="F16" i="21" s="1"/>
  <c r="J14" i="15"/>
  <c r="E14" i="15"/>
  <c r="N28" i="2"/>
  <c r="D35" i="29"/>
  <c r="E78" i="25"/>
  <c r="E15" i="25"/>
  <c r="E54" i="24"/>
  <c r="D31" i="29"/>
  <c r="F41" i="3"/>
  <c r="O41" i="3"/>
  <c r="P41" i="3" s="1"/>
  <c r="F63" i="3"/>
  <c r="O63" i="3"/>
  <c r="P63" i="3" s="1"/>
  <c r="F49" i="3"/>
  <c r="O49" i="3"/>
  <c r="P49" i="3" s="1"/>
  <c r="K53" i="2"/>
  <c r="U29" i="8"/>
  <c r="M54" i="2"/>
  <c r="E87" i="25"/>
  <c r="E16" i="25"/>
  <c r="F46" i="13"/>
  <c r="J74" i="5"/>
  <c r="F46" i="12"/>
  <c r="D99" i="13"/>
  <c r="H16" i="26"/>
  <c r="F79" i="12"/>
  <c r="F68" i="12"/>
  <c r="F72" i="12"/>
  <c r="F78" i="12"/>
  <c r="F65" i="12"/>
  <c r="F77" i="12"/>
  <c r="F80" i="12"/>
  <c r="F69" i="12"/>
  <c r="F74" i="12"/>
  <c r="F66" i="12"/>
  <c r="F67" i="12"/>
  <c r="F81" i="12"/>
  <c r="F70" i="12"/>
  <c r="F75" i="12"/>
  <c r="F71" i="12"/>
  <c r="H47" i="5"/>
  <c r="F41" i="12"/>
  <c r="P42" i="12"/>
  <c r="Q42" i="12" s="1"/>
  <c r="F49" i="12"/>
  <c r="P49" i="12" s="1"/>
  <c r="Q49" i="12" s="1"/>
  <c r="I51" i="8"/>
  <c r="Z51" i="8" s="1"/>
  <c r="I26" i="12"/>
  <c r="O18" i="12"/>
  <c r="D18" i="13"/>
  <c r="F91" i="3"/>
  <c r="O91" i="3"/>
  <c r="P91" i="3" s="1"/>
  <c r="O62" i="3"/>
  <c r="P62" i="3" s="1"/>
  <c r="O31" i="3"/>
  <c r="P31" i="3" s="1"/>
  <c r="F31" i="3"/>
  <c r="D54" i="12"/>
  <c r="N54" i="3"/>
  <c r="E24" i="15"/>
  <c r="J24" i="15"/>
  <c r="K24" i="15"/>
  <c r="G33" i="12"/>
  <c r="J33" i="12"/>
  <c r="M33" i="12"/>
  <c r="K48" i="2"/>
  <c r="K93" i="2"/>
  <c r="K38" i="2"/>
  <c r="M49" i="2"/>
  <c r="O97" i="24"/>
  <c r="P97" i="24" s="1"/>
  <c r="I68" i="12"/>
  <c r="I72" i="12"/>
  <c r="I78" i="12"/>
  <c r="I67" i="12"/>
  <c r="I81" i="12"/>
  <c r="J81" i="12" s="1"/>
  <c r="I65" i="12"/>
  <c r="I69" i="12"/>
  <c r="I74" i="12"/>
  <c r="I79" i="12"/>
  <c r="J79" i="12" s="1"/>
  <c r="I71" i="12"/>
  <c r="I66" i="12"/>
  <c r="I70" i="12"/>
  <c r="I75" i="12"/>
  <c r="I82" i="12" s="1"/>
  <c r="I80" i="12"/>
  <c r="J80" i="12" s="1"/>
  <c r="I77" i="12"/>
  <c r="I41" i="12"/>
  <c r="O55" i="12"/>
  <c r="D55" i="13"/>
  <c r="AB244" i="68"/>
  <c r="X18" i="8" s="1"/>
  <c r="H55" i="24"/>
  <c r="I55" i="24" s="1"/>
  <c r="G55" i="21" s="1"/>
  <c r="I55" i="21" s="1"/>
  <c r="K54" i="24"/>
  <c r="J59" i="12"/>
  <c r="G59" i="12"/>
  <c r="M59" i="12"/>
  <c r="D87" i="13"/>
  <c r="O89" i="12"/>
  <c r="D36" i="12"/>
  <c r="N36" i="3"/>
  <c r="J18" i="21"/>
  <c r="L18" i="21" s="1"/>
  <c r="J16" i="21"/>
  <c r="L16" i="21" s="1"/>
  <c r="I14" i="8"/>
  <c r="I12" i="8" s="1"/>
  <c r="E29" i="24"/>
  <c r="E34" i="24"/>
  <c r="O28" i="24"/>
  <c r="P28" i="24" s="1"/>
  <c r="M27" i="2"/>
  <c r="C68" i="15"/>
  <c r="D45" i="25"/>
  <c r="C36" i="21"/>
  <c r="P36" i="2"/>
  <c r="L37" i="13"/>
  <c r="P34" i="2"/>
  <c r="C34" i="21"/>
  <c r="L26" i="24"/>
  <c r="J26" i="21" s="1"/>
  <c r="L26" i="21" s="1"/>
  <c r="I26" i="24"/>
  <c r="G26" i="21" s="1"/>
  <c r="I26" i="21" s="1"/>
  <c r="E85" i="2"/>
  <c r="E102" i="2" s="1"/>
  <c r="E104" i="2" s="1"/>
  <c r="N23" i="43"/>
  <c r="O92" i="3"/>
  <c r="P92" i="3" s="1"/>
  <c r="F92" i="3"/>
  <c r="K60" i="15" l="1"/>
  <c r="Q11" i="21"/>
  <c r="E82" i="100"/>
  <c r="N12" i="2"/>
  <c r="P12" i="2" s="1"/>
  <c r="U11" i="25"/>
  <c r="U10" i="25"/>
  <c r="I52" i="24"/>
  <c r="G52" i="21" s="1"/>
  <c r="I52" i="21" s="1"/>
  <c r="C79" i="100"/>
  <c r="U11" i="21"/>
  <c r="K46" i="15"/>
  <c r="F96" i="24"/>
  <c r="L96" i="24"/>
  <c r="J96" i="21" s="1"/>
  <c r="L96" i="21" s="1"/>
  <c r="I42" i="3"/>
  <c r="K41" i="2" s="1"/>
  <c r="F42" i="3"/>
  <c r="D42" i="12" s="1"/>
  <c r="P52" i="2"/>
  <c r="L52" i="24"/>
  <c r="J52" i="21" s="1"/>
  <c r="L52" i="21" s="1"/>
  <c r="M19" i="12"/>
  <c r="J19" i="12"/>
  <c r="G19" i="12"/>
  <c r="K21" i="16"/>
  <c r="I80" i="31"/>
  <c r="I43" i="3"/>
  <c r="L43" i="3"/>
  <c r="F43" i="3"/>
  <c r="W38" i="68"/>
  <c r="W357" i="68" s="1"/>
  <c r="Y25" i="68"/>
  <c r="M18" i="8"/>
  <c r="D16" i="8"/>
  <c r="D12" i="8" s="1"/>
  <c r="D18" i="26" s="1"/>
  <c r="Z38" i="8"/>
  <c r="I52" i="3"/>
  <c r="L52" i="3"/>
  <c r="F52" i="3"/>
  <c r="L13" i="24"/>
  <c r="J13" i="21" s="1"/>
  <c r="L13" i="21" s="1"/>
  <c r="P76" i="12"/>
  <c r="Q76" i="12" s="1"/>
  <c r="D96" i="21"/>
  <c r="F96" i="21" s="1"/>
  <c r="D57" i="21"/>
  <c r="F57" i="21" s="1"/>
  <c r="D44" i="25"/>
  <c r="D48" i="25" s="1"/>
  <c r="E46" i="25" s="1"/>
  <c r="G12" i="25" s="1"/>
  <c r="N57" i="24"/>
  <c r="D14" i="29"/>
  <c r="T12" i="25"/>
  <c r="W12" i="25" s="1"/>
  <c r="M76" i="12"/>
  <c r="G76" i="12"/>
  <c r="J76" i="12"/>
  <c r="L38" i="13"/>
  <c r="O13" i="12"/>
  <c r="AC14" i="8"/>
  <c r="AC12" i="8" s="1"/>
  <c r="AC42" i="8" s="1"/>
  <c r="D24" i="29"/>
  <c r="E52" i="24"/>
  <c r="F52" i="24" s="1"/>
  <c r="D13" i="13"/>
  <c r="G13" i="13" s="1"/>
  <c r="H14" i="2"/>
  <c r="J14" i="2" s="1"/>
  <c r="F42" i="8"/>
  <c r="F38" i="8" s="1"/>
  <c r="AB12" i="8"/>
  <c r="AB42" i="8" s="1"/>
  <c r="AB38" i="8" s="1"/>
  <c r="E14" i="24"/>
  <c r="E42" i="24" s="1"/>
  <c r="AC72" i="31"/>
  <c r="AA73" i="31" s="1"/>
  <c r="AB86" i="37"/>
  <c r="I11" i="29"/>
  <c r="I12" i="29"/>
  <c r="O26" i="24"/>
  <c r="P26" i="24" s="1"/>
  <c r="F26" i="24"/>
  <c r="E49" i="24"/>
  <c r="O49" i="24" s="1"/>
  <c r="P49" i="24" s="1"/>
  <c r="E46" i="24"/>
  <c r="O46" i="24" s="1"/>
  <c r="P46" i="24" s="1"/>
  <c r="K21" i="2"/>
  <c r="Q27" i="37"/>
  <c r="P70" i="37"/>
  <c r="AA14" i="37"/>
  <c r="I72" i="37"/>
  <c r="G52" i="9" s="1"/>
  <c r="K35" i="25" s="1"/>
  <c r="I70" i="37"/>
  <c r="Y70" i="37"/>
  <c r="Y72" i="37"/>
  <c r="G54" i="9" s="1"/>
  <c r="K37" i="25" s="1"/>
  <c r="F16" i="26"/>
  <c r="F12" i="26" s="1"/>
  <c r="H38" i="8"/>
  <c r="H36" i="8" s="1"/>
  <c r="E14" i="26"/>
  <c r="E12" i="26" s="1"/>
  <c r="J84" i="13"/>
  <c r="G42" i="8"/>
  <c r="G40" i="8" s="1"/>
  <c r="Y38" i="8"/>
  <c r="Y40" i="8"/>
  <c r="I13" i="24"/>
  <c r="G13" i="21" s="1"/>
  <c r="I13" i="21" s="1"/>
  <c r="O28" i="12"/>
  <c r="E68" i="16"/>
  <c r="J70" i="16" s="1"/>
  <c r="E28" i="15"/>
  <c r="S11" i="21" s="1"/>
  <c r="K28" i="16"/>
  <c r="R76" i="31"/>
  <c r="I76" i="31"/>
  <c r="Z40" i="8"/>
  <c r="I53" i="8"/>
  <c r="P74" i="12"/>
  <c r="Q74" i="12" s="1"/>
  <c r="P33" i="2"/>
  <c r="N96" i="24"/>
  <c r="O34" i="24"/>
  <c r="P34" i="24" s="1"/>
  <c r="L45" i="13"/>
  <c r="L29" i="13"/>
  <c r="F13" i="24"/>
  <c r="N27" i="2"/>
  <c r="P27" i="2" s="1"/>
  <c r="L34" i="13"/>
  <c r="E36" i="8"/>
  <c r="H12" i="26"/>
  <c r="O59" i="12"/>
  <c r="D59" i="13"/>
  <c r="D33" i="13"/>
  <c r="O33" i="12"/>
  <c r="P41" i="12"/>
  <c r="Q41" i="12" s="1"/>
  <c r="P70" i="12"/>
  <c r="Q70" i="12" s="1"/>
  <c r="P65" i="12"/>
  <c r="Q65" i="12" s="1"/>
  <c r="F83" i="12"/>
  <c r="F84" i="12"/>
  <c r="P79" i="12"/>
  <c r="Q79" i="12" s="1"/>
  <c r="G79" i="12"/>
  <c r="D49" i="12"/>
  <c r="N49" i="3"/>
  <c r="N41" i="3"/>
  <c r="D41" i="12"/>
  <c r="N39" i="3"/>
  <c r="D39" i="12"/>
  <c r="D30" i="13"/>
  <c r="O30" i="12"/>
  <c r="K43" i="2"/>
  <c r="N98" i="3"/>
  <c r="D98" i="12"/>
  <c r="J28" i="13"/>
  <c r="G28" i="13"/>
  <c r="M79" i="2"/>
  <c r="P101" i="12"/>
  <c r="Q101" i="12" s="1"/>
  <c r="J101" i="12"/>
  <c r="V40" i="8"/>
  <c r="V36" i="8" s="1"/>
  <c r="X14" i="8"/>
  <c r="X16" i="8"/>
  <c r="P69" i="12"/>
  <c r="Q69" i="12" s="1"/>
  <c r="G99" i="13"/>
  <c r="J99" i="13"/>
  <c r="K14" i="15"/>
  <c r="F46" i="3"/>
  <c r="I46" i="3"/>
  <c r="L46" i="3"/>
  <c r="Z53" i="8"/>
  <c r="K40" i="2"/>
  <c r="D39" i="25"/>
  <c r="E37" i="25" s="1"/>
  <c r="G11" i="25" s="1"/>
  <c r="N44" i="3"/>
  <c r="D44" i="12"/>
  <c r="D48" i="13"/>
  <c r="O48" i="12"/>
  <c r="I33" i="24"/>
  <c r="G33" i="21" s="1"/>
  <c r="I33" i="21" s="1"/>
  <c r="F33" i="24"/>
  <c r="L33" i="24"/>
  <c r="J33" i="21" s="1"/>
  <c r="L33" i="21" s="1"/>
  <c r="O29" i="24"/>
  <c r="P29" i="24" s="1"/>
  <c r="G36" i="12"/>
  <c r="J36" i="12"/>
  <c r="M36" i="12"/>
  <c r="G55" i="13"/>
  <c r="J55" i="13"/>
  <c r="L79" i="2"/>
  <c r="I83" i="12"/>
  <c r="I84" i="12"/>
  <c r="M32" i="2"/>
  <c r="D31" i="12"/>
  <c r="N31" i="3"/>
  <c r="D91" i="12"/>
  <c r="N91" i="3"/>
  <c r="J18" i="13"/>
  <c r="G18" i="13"/>
  <c r="P71" i="12"/>
  <c r="Q71" i="12" s="1"/>
  <c r="P67" i="12"/>
  <c r="Q67" i="12" s="1"/>
  <c r="P80" i="12"/>
  <c r="Q80" i="12" s="1"/>
  <c r="G80" i="12"/>
  <c r="P72" i="12"/>
  <c r="Q72" i="12" s="1"/>
  <c r="N63" i="3"/>
  <c r="D63" i="12"/>
  <c r="O54" i="24"/>
  <c r="P54" i="24" s="1"/>
  <c r="E15" i="24"/>
  <c r="D39" i="29"/>
  <c r="J28" i="15"/>
  <c r="C88" i="21"/>
  <c r="C88" i="24" s="1"/>
  <c r="P88" i="2"/>
  <c r="D94" i="12"/>
  <c r="N94" i="3"/>
  <c r="J20" i="13"/>
  <c r="G20" i="13"/>
  <c r="O55" i="24"/>
  <c r="P55" i="24" s="1"/>
  <c r="F55" i="24"/>
  <c r="M29" i="2"/>
  <c r="G50" i="13"/>
  <c r="J50" i="13"/>
  <c r="M21" i="2"/>
  <c r="C5" i="91" s="1"/>
  <c r="N16" i="2"/>
  <c r="D61" i="12"/>
  <c r="N61" i="3"/>
  <c r="J26" i="12"/>
  <c r="M26" i="12"/>
  <c r="D29" i="25"/>
  <c r="E27" i="25" s="1"/>
  <c r="G10" i="25" s="1"/>
  <c r="O14" i="12"/>
  <c r="D14" i="13"/>
  <c r="L84" i="12"/>
  <c r="L83" i="12"/>
  <c r="N31" i="2"/>
  <c r="M47" i="2"/>
  <c r="D93" i="12"/>
  <c r="N93" i="3"/>
  <c r="H15" i="24"/>
  <c r="G16" i="26"/>
  <c r="G14" i="26"/>
  <c r="M62" i="12"/>
  <c r="P44" i="2"/>
  <c r="C44" i="21"/>
  <c r="C44" i="24" s="1"/>
  <c r="I61" i="12"/>
  <c r="I62" i="12"/>
  <c r="J62" i="12" s="1"/>
  <c r="F26" i="12"/>
  <c r="G26" i="12" s="1"/>
  <c r="I39" i="12"/>
  <c r="I98" i="12"/>
  <c r="I63" i="12"/>
  <c r="I91" i="12"/>
  <c r="I31" i="12"/>
  <c r="F31" i="12" s="1"/>
  <c r="P31" i="12" s="1"/>
  <c r="Q31" i="12" s="1"/>
  <c r="F18" i="21"/>
  <c r="O18" i="21"/>
  <c r="W16" i="8"/>
  <c r="W14" i="8"/>
  <c r="J32" i="13"/>
  <c r="G32" i="13"/>
  <c r="O44" i="3"/>
  <c r="P44" i="3" s="1"/>
  <c r="L58" i="2"/>
  <c r="J54" i="12"/>
  <c r="G54" i="12"/>
  <c r="M54" i="12"/>
  <c r="P81" i="12"/>
  <c r="Q81" i="12" s="1"/>
  <c r="G81" i="12"/>
  <c r="P78" i="12"/>
  <c r="Q78" i="12" s="1"/>
  <c r="F67" i="13"/>
  <c r="M66" i="13"/>
  <c r="M100" i="2"/>
  <c r="H25" i="26"/>
  <c r="H29" i="26" s="1"/>
  <c r="E29" i="26"/>
  <c r="AF32" i="31"/>
  <c r="AF74" i="31" s="1"/>
  <c r="AF82" i="31" s="1"/>
  <c r="AG82" i="31" s="1"/>
  <c r="AE72" i="31"/>
  <c r="M78" i="2"/>
  <c r="I18" i="26"/>
  <c r="I42" i="8"/>
  <c r="J87" i="13"/>
  <c r="G87" i="13"/>
  <c r="M58" i="2"/>
  <c r="L78" i="2"/>
  <c r="L80" i="2"/>
  <c r="L32" i="2"/>
  <c r="P66" i="12"/>
  <c r="Q66" i="12" s="1"/>
  <c r="P77" i="12"/>
  <c r="Q77" i="12" s="1"/>
  <c r="P68" i="12"/>
  <c r="Q68" i="12" s="1"/>
  <c r="I46" i="13"/>
  <c r="M46" i="13" s="1"/>
  <c r="N46" i="13" s="1"/>
  <c r="I46" i="12"/>
  <c r="P46" i="12" s="1"/>
  <c r="Q46" i="12" s="1"/>
  <c r="C28" i="21"/>
  <c r="C28" i="24" s="1"/>
  <c r="P28" i="2"/>
  <c r="J17" i="13"/>
  <c r="G17" i="13"/>
  <c r="N15" i="2"/>
  <c r="L29" i="2"/>
  <c r="F96" i="13"/>
  <c r="M96" i="13" s="1"/>
  <c r="N96" i="13" s="1"/>
  <c r="M82" i="13"/>
  <c r="N82" i="13" s="1"/>
  <c r="J46" i="2"/>
  <c r="C47" i="3" s="1"/>
  <c r="N54" i="2"/>
  <c r="M80" i="2"/>
  <c r="N49" i="2"/>
  <c r="L47" i="2"/>
  <c r="L21" i="2"/>
  <c r="N17" i="2"/>
  <c r="F82" i="12"/>
  <c r="P82" i="12" s="1"/>
  <c r="Q82" i="12" s="1"/>
  <c r="P75" i="12"/>
  <c r="Q75" i="12" s="1"/>
  <c r="C34" i="24"/>
  <c r="C36" i="24"/>
  <c r="F85" i="2"/>
  <c r="C192" i="7" s="1"/>
  <c r="D192" i="7" s="1"/>
  <c r="N138" i="7" s="1"/>
  <c r="N146" i="7" s="1"/>
  <c r="D92" i="12"/>
  <c r="N92" i="3"/>
  <c r="C12" i="21" l="1"/>
  <c r="N42" i="3"/>
  <c r="I47" i="3"/>
  <c r="N14" i="2"/>
  <c r="C14" i="21" s="1"/>
  <c r="C14" i="24" s="1"/>
  <c r="C15" i="3"/>
  <c r="L15" i="3" s="1"/>
  <c r="D19" i="13"/>
  <c r="O19" i="12"/>
  <c r="D43" i="12"/>
  <c r="N43" i="3"/>
  <c r="K42" i="2"/>
  <c r="Z25" i="68"/>
  <c r="Y38" i="68"/>
  <c r="Y357" i="68" s="1"/>
  <c r="Z36" i="8"/>
  <c r="D52" i="12"/>
  <c r="N52" i="3"/>
  <c r="K51" i="2"/>
  <c r="I7" i="91"/>
  <c r="O57" i="21"/>
  <c r="O96" i="21"/>
  <c r="D26" i="21"/>
  <c r="F26" i="21" s="1"/>
  <c r="N52" i="24"/>
  <c r="D13" i="21"/>
  <c r="F13" i="21" s="1"/>
  <c r="L75" i="2"/>
  <c r="M75" i="2"/>
  <c r="O76" i="12"/>
  <c r="D39" i="7"/>
  <c r="H35" i="7"/>
  <c r="N35" i="7"/>
  <c r="J13" i="13"/>
  <c r="L13" i="13" s="1"/>
  <c r="O52" i="24"/>
  <c r="P52" i="24" s="1"/>
  <c r="AB40" i="8"/>
  <c r="AB36" i="8" s="1"/>
  <c r="N26" i="24"/>
  <c r="F40" i="8"/>
  <c r="F36" i="8" s="1"/>
  <c r="R73" i="31"/>
  <c r="I73" i="31"/>
  <c r="K14" i="24"/>
  <c r="H42" i="24"/>
  <c r="H14" i="24"/>
  <c r="I14" i="29"/>
  <c r="G38" i="8"/>
  <c r="G36" i="8" s="1"/>
  <c r="F15" i="3"/>
  <c r="I15" i="3"/>
  <c r="AA27" i="37"/>
  <c r="AB30" i="37" s="1"/>
  <c r="Q72" i="37"/>
  <c r="G53" i="9" s="1"/>
  <c r="K36" i="25" s="1"/>
  <c r="K39" i="25" s="1"/>
  <c r="L37" i="25" s="1"/>
  <c r="Q70" i="37"/>
  <c r="AC38" i="8"/>
  <c r="AC40" i="8"/>
  <c r="Y36" i="8"/>
  <c r="W12" i="8"/>
  <c r="W42" i="8" s="1"/>
  <c r="W40" i="8" s="1"/>
  <c r="E68" i="15"/>
  <c r="J2" i="16"/>
  <c r="K2" i="16" s="1"/>
  <c r="K70" i="16"/>
  <c r="K1" i="21" s="1"/>
  <c r="G18" i="25"/>
  <c r="E25" i="25"/>
  <c r="E10" i="25" s="1"/>
  <c r="E44" i="25"/>
  <c r="E12" i="25" s="1"/>
  <c r="E35" i="25"/>
  <c r="E11" i="25" s="1"/>
  <c r="F47" i="3"/>
  <c r="D47" i="12" s="1"/>
  <c r="L47" i="3"/>
  <c r="O15" i="24"/>
  <c r="P15" i="24" s="1"/>
  <c r="N13" i="24"/>
  <c r="C27" i="21"/>
  <c r="C27" i="24" s="1"/>
  <c r="L99" i="13"/>
  <c r="L87" i="13"/>
  <c r="N78" i="2"/>
  <c r="P78" i="2" s="1"/>
  <c r="N80" i="2"/>
  <c r="P80" i="2" s="1"/>
  <c r="D52" i="21"/>
  <c r="F52" i="21" s="1"/>
  <c r="N29" i="2"/>
  <c r="P29" i="2" s="1"/>
  <c r="L18" i="13"/>
  <c r="L17" i="13"/>
  <c r="L28" i="13"/>
  <c r="G12" i="26"/>
  <c r="X12" i="8"/>
  <c r="X42" i="8" s="1"/>
  <c r="X38" i="8" s="1"/>
  <c r="P12" i="25"/>
  <c r="Q12" i="25"/>
  <c r="D54" i="13"/>
  <c r="O54" i="12"/>
  <c r="N55" i="24"/>
  <c r="D55" i="21"/>
  <c r="F88" i="24"/>
  <c r="L88" i="24"/>
  <c r="J88" i="21" s="1"/>
  <c r="L88" i="21" s="1"/>
  <c r="I88" i="24"/>
  <c r="G88" i="21" s="1"/>
  <c r="I88" i="21" s="1"/>
  <c r="J63" i="12"/>
  <c r="M63" i="12"/>
  <c r="M49" i="12"/>
  <c r="J49" i="12"/>
  <c r="G49" i="12"/>
  <c r="P84" i="12"/>
  <c r="Q84" i="12" s="1"/>
  <c r="G59" i="13"/>
  <c r="J59" i="13"/>
  <c r="D79" i="13"/>
  <c r="O81" i="12"/>
  <c r="L53" i="2"/>
  <c r="L61" i="2"/>
  <c r="O26" i="12"/>
  <c r="D26" i="13"/>
  <c r="K28" i="15"/>
  <c r="J68" i="15"/>
  <c r="M31" i="12"/>
  <c r="G31" i="12"/>
  <c r="J31" i="12"/>
  <c r="L55" i="13"/>
  <c r="D36" i="13"/>
  <c r="O36" i="12"/>
  <c r="J48" i="13"/>
  <c r="G48" i="13"/>
  <c r="J98" i="12"/>
  <c r="M98" i="12"/>
  <c r="M41" i="12"/>
  <c r="J41" i="12"/>
  <c r="G41" i="12"/>
  <c r="P83" i="12"/>
  <c r="Q83" i="12" s="1"/>
  <c r="E26" i="25"/>
  <c r="F10" i="25" s="1"/>
  <c r="N32" i="2"/>
  <c r="I40" i="8"/>
  <c r="I38" i="8"/>
  <c r="P26" i="12"/>
  <c r="Q26" i="12" s="1"/>
  <c r="F39" i="12"/>
  <c r="P39" i="12" s="1"/>
  <c r="Q39" i="12" s="1"/>
  <c r="F91" i="12"/>
  <c r="P91" i="12" s="1"/>
  <c r="Q91" i="12" s="1"/>
  <c r="F98" i="12"/>
  <c r="P98" i="12" s="1"/>
  <c r="Q98" i="12" s="1"/>
  <c r="F63" i="12"/>
  <c r="P63" i="12" s="1"/>
  <c r="Q63" i="12" s="1"/>
  <c r="F61" i="12"/>
  <c r="P61" i="12" s="1"/>
  <c r="Q61" i="12" s="1"/>
  <c r="F62" i="12"/>
  <c r="G14" i="13"/>
  <c r="J14" i="13"/>
  <c r="M25" i="2"/>
  <c r="C16" i="21"/>
  <c r="P16" i="2"/>
  <c r="N33" i="24"/>
  <c r="D33" i="21"/>
  <c r="G30" i="13"/>
  <c r="J30" i="13"/>
  <c r="D77" i="13"/>
  <c r="O79" i="12"/>
  <c r="J33" i="13"/>
  <c r="G33" i="13"/>
  <c r="J42" i="12"/>
  <c r="M42" i="12"/>
  <c r="G42" i="12"/>
  <c r="P54" i="2"/>
  <c r="C54" i="21"/>
  <c r="C54" i="24" s="1"/>
  <c r="C12" i="24"/>
  <c r="P31" i="2"/>
  <c r="C31" i="21"/>
  <c r="O80" i="12"/>
  <c r="D78" i="13"/>
  <c r="L35" i="2"/>
  <c r="D46" i="12"/>
  <c r="N46" i="3"/>
  <c r="L28" i="24"/>
  <c r="J28" i="21" s="1"/>
  <c r="L28" i="21" s="1"/>
  <c r="F28" i="24"/>
  <c r="I28" i="24"/>
  <c r="G28" i="21" s="1"/>
  <c r="I28" i="21" s="1"/>
  <c r="F68" i="13"/>
  <c r="M67" i="13"/>
  <c r="N67" i="13" s="1"/>
  <c r="I44" i="24"/>
  <c r="G44" i="21" s="1"/>
  <c r="I44" i="21" s="1"/>
  <c r="F44" i="24"/>
  <c r="L44" i="24"/>
  <c r="J44" i="21" s="1"/>
  <c r="L44" i="21" s="1"/>
  <c r="N47" i="2"/>
  <c r="J61" i="12"/>
  <c r="M61" i="12"/>
  <c r="L50" i="13"/>
  <c r="P17" i="2"/>
  <c r="C17" i="21"/>
  <c r="C49" i="21"/>
  <c r="C49" i="24" s="1"/>
  <c r="P49" i="2"/>
  <c r="O12" i="25"/>
  <c r="C15" i="21"/>
  <c r="C15" i="24" s="1"/>
  <c r="P15" i="2"/>
  <c r="I16" i="26"/>
  <c r="I14" i="26"/>
  <c r="I16" i="3"/>
  <c r="F16" i="3"/>
  <c r="L16" i="3"/>
  <c r="M53" i="2"/>
  <c r="N58" i="2"/>
  <c r="L32" i="13"/>
  <c r="M61" i="2"/>
  <c r="E36" i="25"/>
  <c r="F11" i="25" s="1"/>
  <c r="L25" i="2"/>
  <c r="L20" i="13"/>
  <c r="J91" i="12"/>
  <c r="M91" i="12"/>
  <c r="N79" i="2"/>
  <c r="M35" i="2"/>
  <c r="E45" i="25"/>
  <c r="F12" i="25" s="1"/>
  <c r="J44" i="12"/>
  <c r="M44" i="12"/>
  <c r="G44" i="12"/>
  <c r="K45" i="2"/>
  <c r="L100" i="2"/>
  <c r="N100" i="2" s="1"/>
  <c r="O101" i="12"/>
  <c r="M39" i="12"/>
  <c r="J39" i="12"/>
  <c r="L36" i="24"/>
  <c r="J36" i="21" s="1"/>
  <c r="L36" i="21" s="1"/>
  <c r="F36" i="24"/>
  <c r="I36" i="24"/>
  <c r="G36" i="21" s="1"/>
  <c r="I36" i="21" s="1"/>
  <c r="F34" i="24"/>
  <c r="L34" i="24"/>
  <c r="J34" i="21" s="1"/>
  <c r="L34" i="21" s="1"/>
  <c r="I34" i="24"/>
  <c r="G34" i="21" s="1"/>
  <c r="I34" i="21" s="1"/>
  <c r="F102" i="2"/>
  <c r="F106" i="2" s="1"/>
  <c r="J85" i="2"/>
  <c r="C86" i="3" s="1"/>
  <c r="D42" i="8"/>
  <c r="D36" i="8" s="1"/>
  <c r="D209" i="7"/>
  <c r="F192" i="7"/>
  <c r="F209" i="7" s="1"/>
  <c r="F211" i="7" s="1"/>
  <c r="F224" i="7" s="1"/>
  <c r="F226" i="7" s="1"/>
  <c r="D16" i="26"/>
  <c r="D14" i="26"/>
  <c r="J92" i="12"/>
  <c r="G92" i="12"/>
  <c r="M92" i="12"/>
  <c r="F14" i="24" l="1"/>
  <c r="D14" i="21" s="1"/>
  <c r="R14" i="21" s="1"/>
  <c r="G19" i="13"/>
  <c r="J19" i="13"/>
  <c r="G43" i="12"/>
  <c r="M43" i="12"/>
  <c r="J43" i="12"/>
  <c r="AA25" i="68"/>
  <c r="AA38" i="68" s="1"/>
  <c r="AA357" i="68" s="1"/>
  <c r="Z38" i="68"/>
  <c r="Z357" i="68" s="1"/>
  <c r="AB25" i="68"/>
  <c r="AB38" i="68" s="1"/>
  <c r="AB357" i="68" s="1"/>
  <c r="O13" i="21"/>
  <c r="O26" i="21"/>
  <c r="G52" i="12"/>
  <c r="J52" i="12"/>
  <c r="M52" i="12"/>
  <c r="J19" i="91"/>
  <c r="N25" i="2"/>
  <c r="P25" i="2" s="1"/>
  <c r="L54" i="24"/>
  <c r="J54" i="21" s="1"/>
  <c r="L54" i="21" s="1"/>
  <c r="F27" i="24"/>
  <c r="N39" i="7"/>
  <c r="P39" i="7" s="1"/>
  <c r="P47" i="7" s="1"/>
  <c r="D47" i="7"/>
  <c r="N47" i="7" s="1"/>
  <c r="D211" i="7"/>
  <c r="H211" i="7" s="1"/>
  <c r="I211" i="7" s="1"/>
  <c r="O146" i="7"/>
  <c r="I14" i="24"/>
  <c r="O14" i="24"/>
  <c r="P14" i="24" s="1"/>
  <c r="K42" i="24"/>
  <c r="L14" i="24"/>
  <c r="J14" i="21" s="1"/>
  <c r="V14" i="21" s="1"/>
  <c r="D15" i="12"/>
  <c r="N15" i="3"/>
  <c r="L36" i="25"/>
  <c r="H11" i="24" s="1"/>
  <c r="K11" i="24"/>
  <c r="AB72" i="37"/>
  <c r="AB70" i="37"/>
  <c r="H54" i="9"/>
  <c r="H11" i="2" s="1"/>
  <c r="L35" i="25"/>
  <c r="C29" i="21"/>
  <c r="C29" i="24" s="1"/>
  <c r="AC36" i="8"/>
  <c r="W38" i="8"/>
  <c r="W36" i="8" s="1"/>
  <c r="K72" i="16"/>
  <c r="J70" i="15"/>
  <c r="J2" i="15" s="1"/>
  <c r="K2" i="15" s="1"/>
  <c r="E48" i="25"/>
  <c r="F18" i="25"/>
  <c r="I12" i="26"/>
  <c r="G61" i="12"/>
  <c r="O61" i="12" s="1"/>
  <c r="G98" i="12"/>
  <c r="O98" i="12" s="1"/>
  <c r="I36" i="8"/>
  <c r="G39" i="12"/>
  <c r="D39" i="13" s="1"/>
  <c r="K46" i="2"/>
  <c r="N47" i="3"/>
  <c r="G63" i="12"/>
  <c r="D63" i="13" s="1"/>
  <c r="C78" i="21"/>
  <c r="C78" i="24" s="1"/>
  <c r="I27" i="24"/>
  <c r="G27" i="21" s="1"/>
  <c r="I27" i="21" s="1"/>
  <c r="L27" i="24"/>
  <c r="J27" i="21" s="1"/>
  <c r="L27" i="21" s="1"/>
  <c r="L48" i="13"/>
  <c r="O52" i="21"/>
  <c r="I54" i="24"/>
  <c r="G54" i="21" s="1"/>
  <c r="I54" i="21" s="1"/>
  <c r="L30" i="13"/>
  <c r="C80" i="21"/>
  <c r="C80" i="24" s="1"/>
  <c r="L59" i="13"/>
  <c r="F54" i="24"/>
  <c r="N53" i="2"/>
  <c r="P53" i="2" s="1"/>
  <c r="X40" i="8"/>
  <c r="X36" i="8" s="1"/>
  <c r="P100" i="2"/>
  <c r="C100" i="21"/>
  <c r="O44" i="12"/>
  <c r="D44" i="13"/>
  <c r="L90" i="2"/>
  <c r="O17" i="21"/>
  <c r="C17" i="24"/>
  <c r="N44" i="24"/>
  <c r="D44" i="21"/>
  <c r="N28" i="24"/>
  <c r="D28" i="21"/>
  <c r="C31" i="24"/>
  <c r="P62" i="12"/>
  <c r="Q62" i="12" s="1"/>
  <c r="G62" i="12"/>
  <c r="L40" i="2"/>
  <c r="M30" i="2"/>
  <c r="G47" i="12"/>
  <c r="J47" i="12"/>
  <c r="M47" i="12"/>
  <c r="M38" i="2"/>
  <c r="M43" i="2"/>
  <c r="N16" i="3"/>
  <c r="D16" i="12"/>
  <c r="L60" i="2"/>
  <c r="M41" i="2"/>
  <c r="O33" i="21"/>
  <c r="F33" i="21"/>
  <c r="M40" i="2"/>
  <c r="L43" i="2"/>
  <c r="C79" i="21"/>
  <c r="C79" i="24" s="1"/>
  <c r="P79" i="2"/>
  <c r="P47" i="2"/>
  <c r="C47" i="21"/>
  <c r="N35" i="2"/>
  <c r="E29" i="25"/>
  <c r="F12" i="24"/>
  <c r="I12" i="24"/>
  <c r="G12" i="21" s="1"/>
  <c r="I12" i="21" s="1"/>
  <c r="L12" i="24"/>
  <c r="L41" i="2"/>
  <c r="G77" i="13"/>
  <c r="J77" i="13"/>
  <c r="K14" i="21"/>
  <c r="U11" i="2"/>
  <c r="U14" i="2"/>
  <c r="P32" i="2"/>
  <c r="C32" i="21"/>
  <c r="M97" i="2"/>
  <c r="L30" i="2"/>
  <c r="D49" i="13"/>
  <c r="O49" i="12"/>
  <c r="E39" i="25"/>
  <c r="M62" i="2"/>
  <c r="N88" i="24"/>
  <c r="D88" i="21"/>
  <c r="G54" i="13"/>
  <c r="J54" i="13"/>
  <c r="P58" i="2"/>
  <c r="C58" i="21"/>
  <c r="F69" i="13"/>
  <c r="M68" i="13"/>
  <c r="N68" i="13" s="1"/>
  <c r="G78" i="13"/>
  <c r="J78" i="13"/>
  <c r="D42" i="13"/>
  <c r="O42" i="12"/>
  <c r="O16" i="21"/>
  <c r="C16" i="24"/>
  <c r="J36" i="13"/>
  <c r="G36" i="13"/>
  <c r="M48" i="2"/>
  <c r="G91" i="12"/>
  <c r="J46" i="12"/>
  <c r="G46" i="12"/>
  <c r="M46" i="12"/>
  <c r="L38" i="2"/>
  <c r="M90" i="2"/>
  <c r="F15" i="24"/>
  <c r="I15" i="24"/>
  <c r="G15" i="21" s="1"/>
  <c r="I15" i="21" s="1"/>
  <c r="L15" i="24"/>
  <c r="J15" i="21" s="1"/>
  <c r="L15" i="21" s="1"/>
  <c r="F49" i="24"/>
  <c r="I49" i="24"/>
  <c r="G49" i="21" s="1"/>
  <c r="I49" i="21" s="1"/>
  <c r="L49" i="24"/>
  <c r="J49" i="21" s="1"/>
  <c r="L49" i="21" s="1"/>
  <c r="M60" i="2"/>
  <c r="E18" i="25"/>
  <c r="L33" i="13"/>
  <c r="L14" i="13"/>
  <c r="D41" i="13"/>
  <c r="O41" i="12"/>
  <c r="L97" i="2"/>
  <c r="D31" i="13"/>
  <c r="O31" i="12"/>
  <c r="G26" i="13"/>
  <c r="J26" i="13"/>
  <c r="N61" i="2"/>
  <c r="L48" i="2"/>
  <c r="L62" i="2"/>
  <c r="O55" i="21"/>
  <c r="F55" i="21"/>
  <c r="D36" i="21"/>
  <c r="N36" i="24"/>
  <c r="D34" i="21"/>
  <c r="N34" i="24"/>
  <c r="F104" i="2"/>
  <c r="D12" i="26"/>
  <c r="D90" i="13"/>
  <c r="O92" i="12"/>
  <c r="L91" i="2"/>
  <c r="M91" i="2"/>
  <c r="L19" i="13" l="1"/>
  <c r="L42" i="2"/>
  <c r="M42" i="2"/>
  <c r="D43" i="13"/>
  <c r="O43" i="12"/>
  <c r="U18" i="8"/>
  <c r="D26" i="43"/>
  <c r="M51" i="2"/>
  <c r="L51" i="2"/>
  <c r="O52" i="12"/>
  <c r="D52" i="13"/>
  <c r="D27" i="21"/>
  <c r="F27" i="21" s="1"/>
  <c r="D54" i="21"/>
  <c r="O54" i="21" s="1"/>
  <c r="D224" i="7"/>
  <c r="D226" i="7" s="1"/>
  <c r="L14" i="21"/>
  <c r="O42" i="24"/>
  <c r="P42" i="24" s="1"/>
  <c r="G14" i="21"/>
  <c r="N14" i="24"/>
  <c r="L39" i="25"/>
  <c r="E11" i="24"/>
  <c r="O11" i="24" s="1"/>
  <c r="P11" i="24" s="1"/>
  <c r="M15" i="12"/>
  <c r="J15" i="12"/>
  <c r="G15" i="12"/>
  <c r="J11" i="2"/>
  <c r="H21" i="2"/>
  <c r="H42" i="9" s="1"/>
  <c r="I44" i="9" s="1"/>
  <c r="F73" i="3"/>
  <c r="D73" i="12" s="1"/>
  <c r="K70" i="15"/>
  <c r="D61" i="13"/>
  <c r="J61" i="13" s="1"/>
  <c r="C25" i="21"/>
  <c r="C25" i="24" s="1"/>
  <c r="O63" i="12"/>
  <c r="D96" i="13"/>
  <c r="J96" i="13" s="1"/>
  <c r="O39" i="12"/>
  <c r="N37" i="2"/>
  <c r="N27" i="24"/>
  <c r="N43" i="2"/>
  <c r="P43" i="2" s="1"/>
  <c r="N97" i="2"/>
  <c r="P97" i="2" s="1"/>
  <c r="N54" i="24"/>
  <c r="N30" i="2"/>
  <c r="P30" i="2" s="1"/>
  <c r="L54" i="13"/>
  <c r="L78" i="13"/>
  <c r="L26" i="13"/>
  <c r="L77" i="13"/>
  <c r="C53" i="21"/>
  <c r="C53" i="24" s="1"/>
  <c r="F29" i="24"/>
  <c r="L29" i="24"/>
  <c r="J29" i="21" s="1"/>
  <c r="L29" i="21" s="1"/>
  <c r="I29" i="24"/>
  <c r="G29" i="21" s="1"/>
  <c r="I29" i="21" s="1"/>
  <c r="N15" i="24"/>
  <c r="D15" i="21"/>
  <c r="J42" i="13"/>
  <c r="G42" i="13"/>
  <c r="D49" i="21"/>
  <c r="N49" i="24"/>
  <c r="O46" i="12"/>
  <c r="D46" i="13"/>
  <c r="N62" i="2"/>
  <c r="G49" i="13"/>
  <c r="J49" i="13"/>
  <c r="N60" i="2"/>
  <c r="N40" i="2"/>
  <c r="F31" i="24"/>
  <c r="I31" i="24"/>
  <c r="G31" i="21" s="1"/>
  <c r="I31" i="21" s="1"/>
  <c r="L31" i="24"/>
  <c r="J31" i="21" s="1"/>
  <c r="L31" i="21" s="1"/>
  <c r="C100" i="24"/>
  <c r="O88" i="21"/>
  <c r="F88" i="21"/>
  <c r="C32" i="24"/>
  <c r="C47" i="24"/>
  <c r="M16" i="12"/>
  <c r="G16" i="12"/>
  <c r="J16" i="12"/>
  <c r="L46" i="2"/>
  <c r="P61" i="2"/>
  <c r="C61" i="21"/>
  <c r="G31" i="13"/>
  <c r="J31" i="13"/>
  <c r="J41" i="13"/>
  <c r="G41" i="13"/>
  <c r="H18" i="25"/>
  <c r="M45" i="2"/>
  <c r="F16" i="24"/>
  <c r="L16" i="24"/>
  <c r="I16" i="24"/>
  <c r="F70" i="13"/>
  <c r="M69" i="13"/>
  <c r="N69" i="13" s="1"/>
  <c r="D12" i="21"/>
  <c r="N12" i="24"/>
  <c r="G63" i="13"/>
  <c r="J63" i="13"/>
  <c r="N41" i="2"/>
  <c r="D47" i="13"/>
  <c r="O47" i="12"/>
  <c r="O62" i="12"/>
  <c r="D62" i="13"/>
  <c r="O44" i="21"/>
  <c r="F44" i="21"/>
  <c r="G44" i="13"/>
  <c r="J44" i="13"/>
  <c r="N48" i="2"/>
  <c r="N38" i="2"/>
  <c r="L45" i="2"/>
  <c r="O91" i="12"/>
  <c r="D89" i="13"/>
  <c r="L36" i="13"/>
  <c r="C58" i="24"/>
  <c r="G39" i="13"/>
  <c r="J39" i="13"/>
  <c r="J12" i="21"/>
  <c r="C35" i="21"/>
  <c r="P35" i="2"/>
  <c r="M46" i="2"/>
  <c r="O28" i="21"/>
  <c r="F28" i="21"/>
  <c r="F17" i="24"/>
  <c r="I17" i="24"/>
  <c r="L17" i="24"/>
  <c r="N90" i="2"/>
  <c r="F34" i="21"/>
  <c r="O34" i="21"/>
  <c r="F36" i="21"/>
  <c r="O36" i="21"/>
  <c r="J90" i="13"/>
  <c r="G90" i="13"/>
  <c r="N91" i="2"/>
  <c r="K72" i="15" l="1"/>
  <c r="H1" i="21"/>
  <c r="C12" i="3"/>
  <c r="T11" i="25"/>
  <c r="T10" i="25"/>
  <c r="J43" i="13"/>
  <c r="G43" i="13"/>
  <c r="N42" i="2"/>
  <c r="U16" i="8"/>
  <c r="U14" i="8"/>
  <c r="AD18" i="8"/>
  <c r="C108" i="2" s="1"/>
  <c r="F108" i="2" s="1"/>
  <c r="J108" i="2" s="1"/>
  <c r="O27" i="21"/>
  <c r="N51" i="2"/>
  <c r="C51" i="21" s="1"/>
  <c r="C51" i="24" s="1"/>
  <c r="J52" i="13"/>
  <c r="G52" i="13"/>
  <c r="F54" i="21"/>
  <c r="M73" i="12"/>
  <c r="J73" i="12"/>
  <c r="G73" i="12"/>
  <c r="H224" i="7"/>
  <c r="T14" i="21"/>
  <c r="O14" i="21"/>
  <c r="O15" i="12"/>
  <c r="D15" i="13"/>
  <c r="H95" i="2"/>
  <c r="W10" i="25"/>
  <c r="Q10" i="25" s="1"/>
  <c r="N11" i="2"/>
  <c r="J21" i="2"/>
  <c r="G61" i="13"/>
  <c r="L61" i="13" s="1"/>
  <c r="G96" i="13"/>
  <c r="L96" i="13" s="1"/>
  <c r="L63" i="13"/>
  <c r="C97" i="21"/>
  <c r="C97" i="24" s="1"/>
  <c r="C43" i="21"/>
  <c r="C43" i="24" s="1"/>
  <c r="C37" i="21"/>
  <c r="C37" i="24" s="1"/>
  <c r="P37" i="2"/>
  <c r="C30" i="21"/>
  <c r="C30" i="24" s="1"/>
  <c r="L42" i="13"/>
  <c r="L41" i="13"/>
  <c r="L44" i="13"/>
  <c r="J89" i="13"/>
  <c r="G89" i="13"/>
  <c r="C61" i="24"/>
  <c r="M70" i="13"/>
  <c r="N70" i="13" s="1"/>
  <c r="F71" i="13"/>
  <c r="P62" i="2"/>
  <c r="C62" i="21"/>
  <c r="F15" i="21"/>
  <c r="O15" i="21"/>
  <c r="N29" i="24"/>
  <c r="D29" i="21"/>
  <c r="N17" i="24"/>
  <c r="C35" i="24"/>
  <c r="F12" i="21"/>
  <c r="O12" i="21"/>
  <c r="I25" i="24"/>
  <c r="G25" i="21" s="1"/>
  <c r="I25" i="21" s="1"/>
  <c r="L25" i="24"/>
  <c r="J25" i="21" s="1"/>
  <c r="L25" i="21" s="1"/>
  <c r="F25" i="24"/>
  <c r="N46" i="2"/>
  <c r="L47" i="24"/>
  <c r="J47" i="21" s="1"/>
  <c r="L47" i="21" s="1"/>
  <c r="F47" i="24"/>
  <c r="I47" i="24"/>
  <c r="G47" i="21" s="1"/>
  <c r="I47" i="21" s="1"/>
  <c r="D31" i="21"/>
  <c r="N31" i="24"/>
  <c r="P60" i="2"/>
  <c r="C60" i="21"/>
  <c r="G46" i="13"/>
  <c r="J46" i="13"/>
  <c r="C90" i="21"/>
  <c r="P90" i="2"/>
  <c r="I58" i="24"/>
  <c r="G58" i="21" s="1"/>
  <c r="I58" i="21" s="1"/>
  <c r="F58" i="24"/>
  <c r="L58" i="24"/>
  <c r="J58" i="21" s="1"/>
  <c r="L58" i="21" s="1"/>
  <c r="N45" i="2"/>
  <c r="C38" i="21"/>
  <c r="P38" i="2"/>
  <c r="P48" i="2"/>
  <c r="C48" i="21"/>
  <c r="J47" i="13"/>
  <c r="G47" i="13"/>
  <c r="G20" i="25"/>
  <c r="F20" i="25"/>
  <c r="H72" i="24" s="1"/>
  <c r="P40" i="2"/>
  <c r="C40" i="21"/>
  <c r="L12" i="21"/>
  <c r="L39" i="13"/>
  <c r="I62" i="13"/>
  <c r="F62" i="13" s="1"/>
  <c r="M62" i="13" s="1"/>
  <c r="C41" i="21"/>
  <c r="P41" i="2"/>
  <c r="L53" i="24"/>
  <c r="J53" i="21" s="1"/>
  <c r="L53" i="21" s="1"/>
  <c r="F53" i="24"/>
  <c r="I53" i="24"/>
  <c r="G53" i="21" s="1"/>
  <c r="I53" i="21" s="1"/>
  <c r="N16" i="24"/>
  <c r="E20" i="25"/>
  <c r="E72" i="24" s="1"/>
  <c r="L31" i="13"/>
  <c r="D16" i="13"/>
  <c r="O16" i="12"/>
  <c r="F32" i="24"/>
  <c r="L32" i="24"/>
  <c r="J32" i="21" s="1"/>
  <c r="L32" i="21" s="1"/>
  <c r="I32" i="24"/>
  <c r="G32" i="21" s="1"/>
  <c r="I32" i="21" s="1"/>
  <c r="L49" i="13"/>
  <c r="O49" i="21"/>
  <c r="F49" i="21"/>
  <c r="H226" i="7"/>
  <c r="D98" i="7"/>
  <c r="L90" i="13"/>
  <c r="C91" i="21"/>
  <c r="P91" i="2"/>
  <c r="T14" i="2" l="1"/>
  <c r="H14" i="21"/>
  <c r="I14" i="21" s="1"/>
  <c r="T11" i="2"/>
  <c r="L43" i="13"/>
  <c r="C42" i="21"/>
  <c r="C42" i="24" s="1"/>
  <c r="P42" i="2"/>
  <c r="P51" i="2"/>
  <c r="U12" i="8"/>
  <c r="U42" i="8" s="1"/>
  <c r="U36" i="8" s="1"/>
  <c r="L52" i="13"/>
  <c r="F51" i="24"/>
  <c r="I51" i="24"/>
  <c r="G51" i="21" s="1"/>
  <c r="I51" i="21" s="1"/>
  <c r="L51" i="24"/>
  <c r="J51" i="21" s="1"/>
  <c r="L51" i="21" s="1"/>
  <c r="L43" i="24"/>
  <c r="J43" i="21" s="1"/>
  <c r="L43" i="21" s="1"/>
  <c r="O73" i="12"/>
  <c r="L98" i="7"/>
  <c r="L100" i="7" s="1"/>
  <c r="L102" i="7" s="1"/>
  <c r="L104" i="7" s="1"/>
  <c r="L72" i="2"/>
  <c r="M72" i="2"/>
  <c r="H75" i="24"/>
  <c r="E75" i="24"/>
  <c r="J15" i="13"/>
  <c r="G15" i="13"/>
  <c r="P10" i="25"/>
  <c r="C11" i="21"/>
  <c r="N21" i="2"/>
  <c r="W11" i="25"/>
  <c r="O11" i="25" s="1"/>
  <c r="J95" i="2"/>
  <c r="C96" i="3" s="1"/>
  <c r="L12" i="3"/>
  <c r="L22" i="3" s="1"/>
  <c r="C22" i="3"/>
  <c r="I12" i="3"/>
  <c r="I22" i="3" s="1"/>
  <c r="F12" i="3"/>
  <c r="O10" i="25"/>
  <c r="F43" i="24"/>
  <c r="I43" i="24"/>
  <c r="G43" i="21" s="1"/>
  <c r="I43" i="21" s="1"/>
  <c r="I37" i="24"/>
  <c r="G37" i="21" s="1"/>
  <c r="I37" i="21" s="1"/>
  <c r="F37" i="24"/>
  <c r="L37" i="24"/>
  <c r="J37" i="21" s="1"/>
  <c r="L37" i="21" s="1"/>
  <c r="L89" i="13"/>
  <c r="K64" i="24"/>
  <c r="C38" i="24"/>
  <c r="F29" i="21"/>
  <c r="O29" i="21"/>
  <c r="C41" i="24"/>
  <c r="C48" i="24"/>
  <c r="C90" i="24"/>
  <c r="F31" i="21"/>
  <c r="O31" i="21"/>
  <c r="F97" i="24"/>
  <c r="L97" i="24"/>
  <c r="J97" i="21" s="1"/>
  <c r="L97" i="21" s="1"/>
  <c r="I97" i="24"/>
  <c r="G97" i="21" s="1"/>
  <c r="I97" i="21" s="1"/>
  <c r="N53" i="24"/>
  <c r="D53" i="21"/>
  <c r="G62" i="13"/>
  <c r="L62" i="13" s="1"/>
  <c r="C60" i="24"/>
  <c r="C46" i="21"/>
  <c r="P46" i="2"/>
  <c r="D25" i="21"/>
  <c r="N25" i="24"/>
  <c r="C62" i="24"/>
  <c r="N32" i="24"/>
  <c r="D32" i="21"/>
  <c r="F30" i="24"/>
  <c r="I30" i="24"/>
  <c r="G30" i="21" s="1"/>
  <c r="I30" i="21" s="1"/>
  <c r="L30" i="24"/>
  <c r="J30" i="21" s="1"/>
  <c r="L30" i="21" s="1"/>
  <c r="L35" i="24"/>
  <c r="J35" i="21" s="1"/>
  <c r="L35" i="21" s="1"/>
  <c r="F35" i="24"/>
  <c r="I35" i="24"/>
  <c r="G35" i="21" s="1"/>
  <c r="I35" i="21" s="1"/>
  <c r="E76" i="24"/>
  <c r="E64" i="24"/>
  <c r="E70" i="24"/>
  <c r="E73" i="24"/>
  <c r="E68" i="24"/>
  <c r="E77" i="24"/>
  <c r="E69" i="24"/>
  <c r="H20" i="25"/>
  <c r="E66" i="24"/>
  <c r="E67" i="24"/>
  <c r="E65" i="24"/>
  <c r="E71" i="24"/>
  <c r="E74" i="24"/>
  <c r="C40" i="24"/>
  <c r="P45" i="2"/>
  <c r="C45" i="21"/>
  <c r="L46" i="13"/>
  <c r="J16" i="13"/>
  <c r="G16" i="13"/>
  <c r="H66" i="24"/>
  <c r="H64" i="24"/>
  <c r="J26" i="26" s="1"/>
  <c r="H70" i="24"/>
  <c r="H68" i="24"/>
  <c r="H76" i="24"/>
  <c r="H100" i="24"/>
  <c r="I100" i="24" s="1"/>
  <c r="G100" i="21" s="1"/>
  <c r="I100" i="21" s="1"/>
  <c r="H69" i="24"/>
  <c r="H65" i="24"/>
  <c r="H77" i="24"/>
  <c r="H99" i="24"/>
  <c r="H82" i="24"/>
  <c r="H67" i="24"/>
  <c r="H81" i="24"/>
  <c r="H83" i="24"/>
  <c r="H71" i="24"/>
  <c r="H74" i="24"/>
  <c r="H73" i="24"/>
  <c r="L47" i="13"/>
  <c r="D58" i="21"/>
  <c r="N58" i="24"/>
  <c r="N47" i="24"/>
  <c r="D47" i="21"/>
  <c r="M71" i="13"/>
  <c r="N71" i="13" s="1"/>
  <c r="F72" i="13"/>
  <c r="L61" i="24"/>
  <c r="J61" i="21" s="1"/>
  <c r="L61" i="21" s="1"/>
  <c r="I61" i="24"/>
  <c r="G61" i="21" s="1"/>
  <c r="I61" i="21" s="1"/>
  <c r="F61" i="24"/>
  <c r="D100" i="7"/>
  <c r="D102" i="7" s="1"/>
  <c r="P10" i="7"/>
  <c r="C91" i="24"/>
  <c r="I42" i="24" l="1"/>
  <c r="G42" i="21" s="1"/>
  <c r="I42" i="21" s="1"/>
  <c r="F42" i="24"/>
  <c r="L42" i="24"/>
  <c r="J42" i="21" s="1"/>
  <c r="L42" i="21" s="1"/>
  <c r="D51" i="21"/>
  <c r="F51" i="21" s="1"/>
  <c r="N51" i="24"/>
  <c r="D37" i="21"/>
  <c r="F37" i="21" s="1"/>
  <c r="N98" i="7"/>
  <c r="D43" i="21"/>
  <c r="O43" i="21" s="1"/>
  <c r="K75" i="24"/>
  <c r="O75" i="24" s="1"/>
  <c r="P75" i="24" s="1"/>
  <c r="K72" i="24"/>
  <c r="O72" i="24" s="1"/>
  <c r="P72" i="24" s="1"/>
  <c r="H22" i="3"/>
  <c r="H96" i="3" s="1"/>
  <c r="L15" i="13"/>
  <c r="O18" i="25"/>
  <c r="K22" i="3"/>
  <c r="K96" i="3" s="1"/>
  <c r="Q11" i="25"/>
  <c r="Q18" i="25" s="1"/>
  <c r="P11" i="25"/>
  <c r="P18" i="25" s="1"/>
  <c r="F22" i="3"/>
  <c r="E22" i="3" s="1"/>
  <c r="N12" i="3"/>
  <c r="N22" i="3" s="1"/>
  <c r="D12" i="12"/>
  <c r="C11" i="24"/>
  <c r="C21" i="21"/>
  <c r="I73" i="3"/>
  <c r="O73" i="3"/>
  <c r="P73" i="3" s="1"/>
  <c r="N43" i="24"/>
  <c r="N37" i="24"/>
  <c r="D61" i="21"/>
  <c r="N61" i="24"/>
  <c r="N30" i="24"/>
  <c r="D30" i="21"/>
  <c r="I62" i="24"/>
  <c r="G62" i="21" s="1"/>
  <c r="I62" i="21" s="1"/>
  <c r="F62" i="24"/>
  <c r="L62" i="24"/>
  <c r="J62" i="21" s="1"/>
  <c r="L62" i="21" s="1"/>
  <c r="F25" i="21"/>
  <c r="O25" i="21"/>
  <c r="F73" i="13"/>
  <c r="M72" i="13"/>
  <c r="N72" i="13" s="1"/>
  <c r="L60" i="24"/>
  <c r="J60" i="21" s="1"/>
  <c r="L60" i="21" s="1"/>
  <c r="F60" i="24"/>
  <c r="I60" i="24"/>
  <c r="G60" i="21" s="1"/>
  <c r="I60" i="21" s="1"/>
  <c r="F90" i="24"/>
  <c r="I90" i="24"/>
  <c r="G90" i="21" s="1"/>
  <c r="I90" i="21" s="1"/>
  <c r="L90" i="24"/>
  <c r="J90" i="21" s="1"/>
  <c r="L90" i="21" s="1"/>
  <c r="K68" i="24"/>
  <c r="O68" i="24" s="1"/>
  <c r="P68" i="24" s="1"/>
  <c r="K69" i="24"/>
  <c r="O69" i="24" s="1"/>
  <c r="P69" i="24" s="1"/>
  <c r="K65" i="24"/>
  <c r="K81" i="24"/>
  <c r="K100" i="24"/>
  <c r="L100" i="24" s="1"/>
  <c r="J100" i="21" s="1"/>
  <c r="L100" i="21" s="1"/>
  <c r="K70" i="24"/>
  <c r="O70" i="24" s="1"/>
  <c r="P70" i="24" s="1"/>
  <c r="K82" i="24"/>
  <c r="K76" i="24"/>
  <c r="O76" i="24" s="1"/>
  <c r="P76" i="24" s="1"/>
  <c r="K71" i="24"/>
  <c r="O71" i="24" s="1"/>
  <c r="P71" i="24" s="1"/>
  <c r="K67" i="24"/>
  <c r="O67" i="24" s="1"/>
  <c r="P67" i="24" s="1"/>
  <c r="K77" i="24"/>
  <c r="O77" i="24" s="1"/>
  <c r="P77" i="24" s="1"/>
  <c r="K66" i="24"/>
  <c r="O66" i="24" s="1"/>
  <c r="P66" i="24" s="1"/>
  <c r="K74" i="24"/>
  <c r="O74" i="24" s="1"/>
  <c r="P74" i="24" s="1"/>
  <c r="K73" i="24"/>
  <c r="O73" i="24" s="1"/>
  <c r="P73" i="24" s="1"/>
  <c r="K99" i="24"/>
  <c r="K83" i="24"/>
  <c r="J27" i="26"/>
  <c r="F47" i="21"/>
  <c r="O47" i="21"/>
  <c r="L16" i="13"/>
  <c r="I40" i="24"/>
  <c r="G40" i="21" s="1"/>
  <c r="I40" i="21" s="1"/>
  <c r="L40" i="24"/>
  <c r="J40" i="21" s="1"/>
  <c r="L40" i="21" s="1"/>
  <c r="F40" i="24"/>
  <c r="O64" i="24"/>
  <c r="P64" i="24" s="1"/>
  <c r="E81" i="24"/>
  <c r="J25" i="26"/>
  <c r="E82" i="24"/>
  <c r="E100" i="24"/>
  <c r="E83" i="24"/>
  <c r="E99" i="24"/>
  <c r="F41" i="24"/>
  <c r="I41" i="24"/>
  <c r="G41" i="21" s="1"/>
  <c r="I41" i="21" s="1"/>
  <c r="L41" i="24"/>
  <c r="J41" i="21" s="1"/>
  <c r="L41" i="21" s="1"/>
  <c r="F58" i="21"/>
  <c r="O58" i="21"/>
  <c r="C45" i="24"/>
  <c r="D35" i="21"/>
  <c r="N35" i="24"/>
  <c r="F32" i="21"/>
  <c r="O32" i="21"/>
  <c r="C46" i="24"/>
  <c r="F53" i="21"/>
  <c r="O53" i="21"/>
  <c r="N97" i="24"/>
  <c r="D97" i="21"/>
  <c r="F48" i="24"/>
  <c r="L48" i="24"/>
  <c r="J48" i="21" s="1"/>
  <c r="L48" i="21" s="1"/>
  <c r="I48" i="24"/>
  <c r="G48" i="21" s="1"/>
  <c r="I48" i="21" s="1"/>
  <c r="I38" i="24"/>
  <c r="G38" i="21" s="1"/>
  <c r="I38" i="21" s="1"/>
  <c r="L38" i="24"/>
  <c r="J38" i="21" s="1"/>
  <c r="L38" i="21" s="1"/>
  <c r="F38" i="24"/>
  <c r="N100" i="7"/>
  <c r="F91" i="24"/>
  <c r="L91" i="24"/>
  <c r="J91" i="21" s="1"/>
  <c r="L91" i="21" s="1"/>
  <c r="I91" i="24"/>
  <c r="G91" i="21" s="1"/>
  <c r="I91" i="21" s="1"/>
  <c r="C5" i="73" l="1"/>
  <c r="E11" i="99"/>
  <c r="D42" i="21"/>
  <c r="N42" i="24"/>
  <c r="O51" i="21"/>
  <c r="F43" i="21"/>
  <c r="I7" i="73"/>
  <c r="J19" i="73" s="1"/>
  <c r="O37" i="21"/>
  <c r="R18" i="25"/>
  <c r="O20" i="25" s="1"/>
  <c r="L96" i="3"/>
  <c r="I96" i="3"/>
  <c r="C21" i="24"/>
  <c r="L11" i="24"/>
  <c r="I11" i="24"/>
  <c r="F11" i="24"/>
  <c r="J12" i="12"/>
  <c r="J22" i="12" s="1"/>
  <c r="G12" i="12"/>
  <c r="D22" i="12"/>
  <c r="M12" i="12"/>
  <c r="M22" i="12" s="1"/>
  <c r="O22" i="3"/>
  <c r="E96" i="3"/>
  <c r="O96" i="3" s="1"/>
  <c r="P96" i="3" s="1"/>
  <c r="O82" i="24"/>
  <c r="P82" i="24" s="1"/>
  <c r="O99" i="24"/>
  <c r="P99" i="24" s="1"/>
  <c r="D41" i="21"/>
  <c r="N41" i="24"/>
  <c r="F46" i="24"/>
  <c r="L46" i="24"/>
  <c r="J46" i="21" s="1"/>
  <c r="L46" i="21" s="1"/>
  <c r="I46" i="24"/>
  <c r="G46" i="21" s="1"/>
  <c r="I46" i="21" s="1"/>
  <c r="F30" i="21"/>
  <c r="O30" i="21"/>
  <c r="N48" i="24"/>
  <c r="D48" i="21"/>
  <c r="F35" i="21"/>
  <c r="O35" i="21"/>
  <c r="J29" i="26"/>
  <c r="D40" i="21"/>
  <c r="N40" i="24"/>
  <c r="D90" i="21"/>
  <c r="N90" i="24"/>
  <c r="O65" i="24"/>
  <c r="P65" i="24" s="1"/>
  <c r="D62" i="21"/>
  <c r="N62" i="24"/>
  <c r="O100" i="24"/>
  <c r="P100" i="24" s="1"/>
  <c r="F100" i="24"/>
  <c r="D38" i="21"/>
  <c r="N38" i="24"/>
  <c r="L45" i="24"/>
  <c r="J45" i="21" s="1"/>
  <c r="L45" i="21" s="1"/>
  <c r="I45" i="24"/>
  <c r="G45" i="21" s="1"/>
  <c r="I45" i="21" s="1"/>
  <c r="F45" i="24"/>
  <c r="F97" i="21"/>
  <c r="O97" i="21"/>
  <c r="O83" i="24"/>
  <c r="P83" i="24" s="1"/>
  <c r="O81" i="24"/>
  <c r="P81" i="24" s="1"/>
  <c r="N60" i="24"/>
  <c r="D60" i="21"/>
  <c r="F74" i="13"/>
  <c r="M73" i="13"/>
  <c r="N73" i="13" s="1"/>
  <c r="F61" i="21"/>
  <c r="O61" i="21"/>
  <c r="E105" i="7"/>
  <c r="D104" i="7"/>
  <c r="N104" i="7" s="1"/>
  <c r="N102" i="7"/>
  <c r="D91" i="21"/>
  <c r="N91" i="24"/>
  <c r="F42" i="21" l="1"/>
  <c r="O42" i="21"/>
  <c r="E65" i="3"/>
  <c r="Q20" i="25"/>
  <c r="J49" i="8"/>
  <c r="AA49" i="8" s="1"/>
  <c r="P20" i="25"/>
  <c r="I22" i="12"/>
  <c r="I96" i="12" s="1"/>
  <c r="L22" i="12"/>
  <c r="L96" i="12" s="1"/>
  <c r="N11" i="24"/>
  <c r="N21" i="24" s="1"/>
  <c r="F21" i="24"/>
  <c r="D11" i="21"/>
  <c r="G11" i="21"/>
  <c r="I21" i="24"/>
  <c r="H21" i="24" s="1"/>
  <c r="K95" i="2"/>
  <c r="J11" i="21"/>
  <c r="L21" i="24"/>
  <c r="K21" i="24" s="1"/>
  <c r="G22" i="12"/>
  <c r="F22" i="12" s="1"/>
  <c r="O12" i="12"/>
  <c r="O22" i="12" s="1"/>
  <c r="D12" i="13"/>
  <c r="F96" i="3"/>
  <c r="D45" i="21"/>
  <c r="N45" i="24"/>
  <c r="F90" i="21"/>
  <c r="O90" i="21"/>
  <c r="F41" i="21"/>
  <c r="O41" i="21"/>
  <c r="F80" i="13"/>
  <c r="M80" i="13" s="1"/>
  <c r="N80" i="13" s="1"/>
  <c r="M74" i="13"/>
  <c r="N74" i="13" s="1"/>
  <c r="F38" i="21"/>
  <c r="O38" i="21"/>
  <c r="D100" i="21"/>
  <c r="N100" i="24"/>
  <c r="F40" i="21"/>
  <c r="O40" i="21"/>
  <c r="N46" i="24"/>
  <c r="D46" i="21"/>
  <c r="F62" i="21"/>
  <c r="O62" i="21"/>
  <c r="F48" i="21"/>
  <c r="O48" i="21"/>
  <c r="F60" i="21"/>
  <c r="O60" i="21"/>
  <c r="F91" i="21"/>
  <c r="O91" i="21"/>
  <c r="E82" i="3" l="1"/>
  <c r="F82" i="3" s="1"/>
  <c r="E69" i="3"/>
  <c r="F69" i="3" s="1"/>
  <c r="J25" i="8"/>
  <c r="AA25" i="8" s="1"/>
  <c r="E84" i="3"/>
  <c r="F84" i="3" s="1"/>
  <c r="D84" i="12" s="1"/>
  <c r="F65" i="3"/>
  <c r="D65" i="12" s="1"/>
  <c r="M65" i="12" s="1"/>
  <c r="E83" i="3"/>
  <c r="F83" i="3" s="1"/>
  <c r="E72" i="3"/>
  <c r="F72" i="3" s="1"/>
  <c r="D72" i="12" s="1"/>
  <c r="E75" i="3"/>
  <c r="F75" i="3" s="1"/>
  <c r="E74" i="3"/>
  <c r="F74" i="3" s="1"/>
  <c r="E78" i="3"/>
  <c r="F78" i="3" s="1"/>
  <c r="D78" i="12" s="1"/>
  <c r="E67" i="3"/>
  <c r="E68" i="3"/>
  <c r="F68" i="3" s="1"/>
  <c r="D68" i="12" s="1"/>
  <c r="E70" i="3"/>
  <c r="F70" i="3" s="1"/>
  <c r="D70" i="12" s="1"/>
  <c r="E71" i="3"/>
  <c r="F71" i="3" s="1"/>
  <c r="E77" i="3"/>
  <c r="F77" i="3" s="1"/>
  <c r="D77" i="12" s="1"/>
  <c r="E100" i="3"/>
  <c r="F100" i="3" s="1"/>
  <c r="K65" i="3"/>
  <c r="H65" i="3"/>
  <c r="H74" i="3" s="1"/>
  <c r="I74" i="3" s="1"/>
  <c r="E21" i="24"/>
  <c r="E80" i="24" s="1"/>
  <c r="J51" i="8"/>
  <c r="AA51" i="8" s="1"/>
  <c r="R20" i="25"/>
  <c r="J50" i="8"/>
  <c r="AA50" i="8" s="1"/>
  <c r="K79" i="24"/>
  <c r="L79" i="24" s="1"/>
  <c r="J79" i="21" s="1"/>
  <c r="L79" i="21" s="1"/>
  <c r="K80" i="24"/>
  <c r="L80" i="24" s="1"/>
  <c r="J80" i="21" s="1"/>
  <c r="L80" i="21" s="1"/>
  <c r="K78" i="24"/>
  <c r="L78" i="24" s="1"/>
  <c r="J78" i="21" s="1"/>
  <c r="L78" i="21" s="1"/>
  <c r="K95" i="24"/>
  <c r="J21" i="21"/>
  <c r="V11" i="21"/>
  <c r="O11" i="21"/>
  <c r="R11" i="21"/>
  <c r="D21" i="21"/>
  <c r="T11" i="21"/>
  <c r="G21" i="21"/>
  <c r="D22" i="13"/>
  <c r="I98" i="13"/>
  <c r="G12" i="13"/>
  <c r="J12" i="13"/>
  <c r="J22" i="13" s="1"/>
  <c r="F98" i="13"/>
  <c r="F96" i="12"/>
  <c r="P96" i="12" s="1"/>
  <c r="Q96" i="12" s="1"/>
  <c r="P22" i="12"/>
  <c r="H78" i="24"/>
  <c r="I78" i="24" s="1"/>
  <c r="G78" i="21" s="1"/>
  <c r="I78" i="21" s="1"/>
  <c r="H95" i="24"/>
  <c r="H79" i="24"/>
  <c r="I79" i="24" s="1"/>
  <c r="G79" i="21" s="1"/>
  <c r="I79" i="21" s="1"/>
  <c r="H80" i="24"/>
  <c r="I80" i="24" s="1"/>
  <c r="G80" i="21" s="1"/>
  <c r="I80" i="21" s="1"/>
  <c r="D96" i="12"/>
  <c r="N96" i="3"/>
  <c r="L73" i="3"/>
  <c r="F46" i="21"/>
  <c r="O46" i="21"/>
  <c r="F45" i="21"/>
  <c r="O45" i="21"/>
  <c r="F100" i="21"/>
  <c r="O100" i="21"/>
  <c r="C5" i="78" l="1"/>
  <c r="I7" i="78" s="1"/>
  <c r="J19" i="78" s="1"/>
  <c r="E11" i="18"/>
  <c r="E11" i="20"/>
  <c r="C5" i="80"/>
  <c r="I7" i="80" s="1"/>
  <c r="J19" i="80" s="1"/>
  <c r="E11" i="19"/>
  <c r="C5" i="79"/>
  <c r="I7" i="79" s="1"/>
  <c r="J19" i="79" s="1"/>
  <c r="E95" i="24"/>
  <c r="O95" i="24" s="1"/>
  <c r="P95" i="24" s="1"/>
  <c r="J26" i="8"/>
  <c r="AA26" i="8" s="1"/>
  <c r="AA14" i="8" s="1"/>
  <c r="AD14" i="8" s="1"/>
  <c r="O21" i="24"/>
  <c r="J65" i="12"/>
  <c r="L64" i="2" s="1"/>
  <c r="G65" i="12"/>
  <c r="D65" i="13" s="1"/>
  <c r="K72" i="3"/>
  <c r="L72" i="3" s="1"/>
  <c r="K67" i="3"/>
  <c r="K83" i="3"/>
  <c r="L83" i="3" s="1"/>
  <c r="K84" i="3"/>
  <c r="L84" i="3" s="1"/>
  <c r="K68" i="3"/>
  <c r="L68" i="3" s="1"/>
  <c r="K69" i="3"/>
  <c r="L69" i="3" s="1"/>
  <c r="K77" i="3"/>
  <c r="L77" i="3" s="1"/>
  <c r="K100" i="3"/>
  <c r="L100" i="3" s="1"/>
  <c r="H67" i="3"/>
  <c r="H69" i="3"/>
  <c r="I69" i="3" s="1"/>
  <c r="H68" i="3"/>
  <c r="I68" i="3" s="1"/>
  <c r="O65" i="3"/>
  <c r="P65" i="3" s="1"/>
  <c r="H84" i="3"/>
  <c r="I84" i="3" s="1"/>
  <c r="I65" i="3"/>
  <c r="H77" i="3"/>
  <c r="I77" i="3" s="1"/>
  <c r="H72" i="3"/>
  <c r="I72" i="3" s="1"/>
  <c r="J27" i="8"/>
  <c r="AA27" i="8" s="1"/>
  <c r="AA16" i="8" s="1"/>
  <c r="AD16" i="8" s="1"/>
  <c r="AE16" i="8" s="1"/>
  <c r="K75" i="3"/>
  <c r="L75" i="3" s="1"/>
  <c r="K78" i="3"/>
  <c r="L78" i="3" s="1"/>
  <c r="K74" i="3"/>
  <c r="L74" i="3" s="1"/>
  <c r="E79" i="24"/>
  <c r="F79" i="24" s="1"/>
  <c r="E78" i="24"/>
  <c r="F78" i="24" s="1"/>
  <c r="H82" i="3"/>
  <c r="I82" i="3" s="1"/>
  <c r="H83" i="3"/>
  <c r="I83" i="3" s="1"/>
  <c r="H75" i="3"/>
  <c r="I75" i="3" s="1"/>
  <c r="K70" i="3"/>
  <c r="L70" i="3" s="1"/>
  <c r="L65" i="3"/>
  <c r="K82" i="3"/>
  <c r="L82" i="3" s="1"/>
  <c r="K71" i="3"/>
  <c r="L71" i="3" s="1"/>
  <c r="H70" i="3"/>
  <c r="I70" i="3" s="1"/>
  <c r="H100" i="3"/>
  <c r="I100" i="3" s="1"/>
  <c r="H71" i="3"/>
  <c r="I71" i="3" s="1"/>
  <c r="H78" i="3"/>
  <c r="I78" i="3" s="1"/>
  <c r="K72" i="2"/>
  <c r="N73" i="3"/>
  <c r="AA53" i="8"/>
  <c r="J53" i="8"/>
  <c r="M98" i="13"/>
  <c r="O80" i="24"/>
  <c r="P80" i="24" s="1"/>
  <c r="F80" i="24"/>
  <c r="G22" i="13"/>
  <c r="F22" i="13" s="1"/>
  <c r="L12" i="13"/>
  <c r="L22" i="13" s="1"/>
  <c r="G96" i="12"/>
  <c r="M96" i="12"/>
  <c r="J96" i="12"/>
  <c r="I22" i="13"/>
  <c r="I94" i="13" s="1"/>
  <c r="J79" i="13"/>
  <c r="I79" i="13" s="1"/>
  <c r="F79" i="13" s="1"/>
  <c r="O21" i="21"/>
  <c r="D83" i="12"/>
  <c r="D71" i="12"/>
  <c r="D82" i="12"/>
  <c r="D100" i="12"/>
  <c r="M68" i="12"/>
  <c r="J68" i="12"/>
  <c r="G68" i="12"/>
  <c r="J72" i="12"/>
  <c r="M72" i="12"/>
  <c r="G72" i="12"/>
  <c r="D74" i="12"/>
  <c r="M70" i="12"/>
  <c r="G70" i="12"/>
  <c r="J70" i="12"/>
  <c r="G78" i="12"/>
  <c r="J78" i="12"/>
  <c r="M78" i="12"/>
  <c r="D75" i="12"/>
  <c r="G77" i="12"/>
  <c r="J77" i="12"/>
  <c r="M77" i="12"/>
  <c r="M64" i="2"/>
  <c r="G84" i="12"/>
  <c r="M84" i="12"/>
  <c r="J84" i="12"/>
  <c r="D69" i="12"/>
  <c r="J14" i="8" l="1"/>
  <c r="M14" i="8" s="1"/>
  <c r="N14" i="8" s="1"/>
  <c r="H86" i="3" s="1"/>
  <c r="N69" i="3"/>
  <c r="K82" i="2"/>
  <c r="O78" i="24"/>
  <c r="P78" i="24" s="1"/>
  <c r="N84" i="3"/>
  <c r="O79" i="24"/>
  <c r="P79" i="24" s="1"/>
  <c r="O65" i="12"/>
  <c r="O67" i="3"/>
  <c r="P67" i="3" s="1"/>
  <c r="O84" i="3"/>
  <c r="P84" i="3" s="1"/>
  <c r="K71" i="2"/>
  <c r="O69" i="3"/>
  <c r="P69" i="3" s="1"/>
  <c r="K99" i="2"/>
  <c r="K68" i="2"/>
  <c r="O100" i="3"/>
  <c r="N68" i="3"/>
  <c r="K67" i="2"/>
  <c r="O83" i="3"/>
  <c r="P83" i="3" s="1"/>
  <c r="J16" i="8"/>
  <c r="M16" i="8" s="1"/>
  <c r="N16" i="8" s="1"/>
  <c r="K86" i="3" s="1"/>
  <c r="K87" i="3" s="1"/>
  <c r="L87" i="3" s="1"/>
  <c r="N83" i="3"/>
  <c r="N75" i="3"/>
  <c r="N100" i="3"/>
  <c r="O68" i="3"/>
  <c r="P68" i="3" s="1"/>
  <c r="O77" i="3"/>
  <c r="P77" i="3" s="1"/>
  <c r="K76" i="2"/>
  <c r="N77" i="3"/>
  <c r="N74" i="3"/>
  <c r="J29" i="8"/>
  <c r="K73" i="2"/>
  <c r="K74" i="2"/>
  <c r="N65" i="3"/>
  <c r="O74" i="3"/>
  <c r="P74" i="3" s="1"/>
  <c r="N70" i="3"/>
  <c r="O70" i="3"/>
  <c r="P70" i="3" s="1"/>
  <c r="K70" i="2"/>
  <c r="N71" i="3"/>
  <c r="O71" i="3"/>
  <c r="P71" i="3" s="1"/>
  <c r="O72" i="3"/>
  <c r="P72" i="3" s="1"/>
  <c r="O75" i="3"/>
  <c r="P75" i="3" s="1"/>
  <c r="N72" i="3"/>
  <c r="N82" i="3"/>
  <c r="K83" i="2"/>
  <c r="K69" i="2"/>
  <c r="K81" i="2"/>
  <c r="K64" i="2"/>
  <c r="N64" i="2" s="1"/>
  <c r="N78" i="3"/>
  <c r="K77" i="2"/>
  <c r="O82" i="3"/>
  <c r="P82" i="3" s="1"/>
  <c r="O78" i="3"/>
  <c r="P78" i="3" s="1"/>
  <c r="AE14" i="8"/>
  <c r="K108" i="2"/>
  <c r="N75" i="2"/>
  <c r="O96" i="12"/>
  <c r="D94" i="13"/>
  <c r="F94" i="13"/>
  <c r="M94" i="13" s="1"/>
  <c r="N94" i="13" s="1"/>
  <c r="M22" i="13"/>
  <c r="N80" i="24"/>
  <c r="D80" i="21"/>
  <c r="AA12" i="8"/>
  <c r="AD12" i="8" s="1"/>
  <c r="N78" i="24"/>
  <c r="D78" i="21"/>
  <c r="AA29" i="8"/>
  <c r="L95" i="2"/>
  <c r="G79" i="13"/>
  <c r="L79" i="13" s="1"/>
  <c r="M79" i="13"/>
  <c r="N79" i="13" s="1"/>
  <c r="M95" i="2"/>
  <c r="N79" i="24"/>
  <c r="D79" i="21"/>
  <c r="G71" i="12"/>
  <c r="J71" i="12"/>
  <c r="M71" i="12"/>
  <c r="D76" i="13"/>
  <c r="O78" i="12"/>
  <c r="M71" i="2"/>
  <c r="M76" i="2"/>
  <c r="O70" i="12"/>
  <c r="D70" i="13"/>
  <c r="D68" i="13"/>
  <c r="O68" i="12"/>
  <c r="L76" i="2"/>
  <c r="M69" i="2"/>
  <c r="L67" i="2"/>
  <c r="G65" i="13"/>
  <c r="J65" i="13"/>
  <c r="O77" i="12"/>
  <c r="D75" i="13"/>
  <c r="M67" i="2"/>
  <c r="L83" i="2"/>
  <c r="J75" i="12"/>
  <c r="G75" i="12"/>
  <c r="M75" i="12"/>
  <c r="M83" i="2"/>
  <c r="M77" i="2"/>
  <c r="G74" i="12"/>
  <c r="J74" i="12"/>
  <c r="M74" i="12"/>
  <c r="J100" i="12"/>
  <c r="M100" i="12"/>
  <c r="G100" i="12"/>
  <c r="O84" i="12"/>
  <c r="D82" i="13"/>
  <c r="L77" i="2"/>
  <c r="D72" i="13"/>
  <c r="O72" i="12"/>
  <c r="J69" i="12"/>
  <c r="M69" i="12"/>
  <c r="G69" i="12"/>
  <c r="L69" i="2"/>
  <c r="L71" i="2"/>
  <c r="J82" i="12"/>
  <c r="G82" i="12"/>
  <c r="M82" i="12"/>
  <c r="J83" i="12"/>
  <c r="G83" i="12"/>
  <c r="M83" i="12"/>
  <c r="J12" i="8" l="1"/>
  <c r="J42" i="8" s="1"/>
  <c r="N77" i="2"/>
  <c r="C77" i="21" s="1"/>
  <c r="C77" i="24" s="1"/>
  <c r="P75" i="2"/>
  <c r="C75" i="21"/>
  <c r="C75" i="24" s="1"/>
  <c r="N76" i="2"/>
  <c r="N71" i="2"/>
  <c r="C71" i="21" s="1"/>
  <c r="C71" i="24" s="1"/>
  <c r="AA42" i="8"/>
  <c r="AA40" i="8" s="1"/>
  <c r="AD40" i="8" s="1"/>
  <c r="O80" i="21"/>
  <c r="F80" i="21"/>
  <c r="N95" i="2"/>
  <c r="N69" i="2"/>
  <c r="C69" i="21" s="1"/>
  <c r="C69" i="24" s="1"/>
  <c r="F79" i="21"/>
  <c r="O79" i="21"/>
  <c r="J94" i="13"/>
  <c r="G94" i="13"/>
  <c r="O78" i="21"/>
  <c r="F78" i="21"/>
  <c r="D98" i="13"/>
  <c r="O100" i="12"/>
  <c r="D74" i="13"/>
  <c r="O75" i="12"/>
  <c r="J82" i="13"/>
  <c r="G82" i="13"/>
  <c r="M99" i="2"/>
  <c r="L74" i="2"/>
  <c r="L99" i="2"/>
  <c r="D81" i="13"/>
  <c r="O83" i="12"/>
  <c r="H87" i="3"/>
  <c r="I87" i="3" s="1"/>
  <c r="AE12" i="8"/>
  <c r="AE18" i="8" s="1"/>
  <c r="AF18" i="8"/>
  <c r="M81" i="2"/>
  <c r="O74" i="12"/>
  <c r="D73" i="13"/>
  <c r="N67" i="2"/>
  <c r="L70" i="2"/>
  <c r="L82" i="2"/>
  <c r="L73" i="2"/>
  <c r="M70" i="2"/>
  <c r="D69" i="13"/>
  <c r="O69" i="12"/>
  <c r="D71" i="13"/>
  <c r="O71" i="12"/>
  <c r="L68" i="2"/>
  <c r="J68" i="13"/>
  <c r="G68" i="13"/>
  <c r="J70" i="13"/>
  <c r="G70" i="13"/>
  <c r="M82" i="2"/>
  <c r="N83" i="2"/>
  <c r="G76" i="13"/>
  <c r="J76" i="13"/>
  <c r="J72" i="13"/>
  <c r="G72" i="13"/>
  <c r="M73" i="2"/>
  <c r="L65" i="13"/>
  <c r="D80" i="13"/>
  <c r="O82" i="12"/>
  <c r="L81" i="2"/>
  <c r="M68" i="2"/>
  <c r="M74" i="2"/>
  <c r="G75" i="13"/>
  <c r="J75" i="13"/>
  <c r="P64" i="2"/>
  <c r="C64" i="21"/>
  <c r="M12" i="8" l="1"/>
  <c r="N12" i="8" s="1"/>
  <c r="J18" i="26"/>
  <c r="K18" i="26" s="1"/>
  <c r="P77" i="2"/>
  <c r="F75" i="24"/>
  <c r="L75" i="24"/>
  <c r="J75" i="21" s="1"/>
  <c r="I75" i="24"/>
  <c r="G75" i="21" s="1"/>
  <c r="P76" i="2"/>
  <c r="P71" i="2"/>
  <c r="L94" i="13"/>
  <c r="C76" i="21"/>
  <c r="C76" i="24" s="1"/>
  <c r="L70" i="13"/>
  <c r="AA38" i="8"/>
  <c r="AD38" i="8" s="1"/>
  <c r="AD42" i="8"/>
  <c r="AE40" i="8" s="1"/>
  <c r="N70" i="2"/>
  <c r="P70" i="2" s="1"/>
  <c r="L68" i="13"/>
  <c r="N72" i="2"/>
  <c r="L82" i="13"/>
  <c r="P69" i="2"/>
  <c r="C95" i="21"/>
  <c r="C95" i="24" s="1"/>
  <c r="N82" i="2"/>
  <c r="P82" i="2" s="1"/>
  <c r="L69" i="24"/>
  <c r="J69" i="21" s="1"/>
  <c r="L69" i="21" s="1"/>
  <c r="F69" i="24"/>
  <c r="I69" i="24"/>
  <c r="G69" i="21" s="1"/>
  <c r="I69" i="21" s="1"/>
  <c r="J71" i="13"/>
  <c r="G71" i="13"/>
  <c r="G81" i="13"/>
  <c r="J81" i="13"/>
  <c r="N99" i="2"/>
  <c r="L75" i="13"/>
  <c r="C83" i="21"/>
  <c r="C83" i="24" s="1"/>
  <c r="P83" i="2"/>
  <c r="J74" i="13"/>
  <c r="G74" i="13"/>
  <c r="J80" i="13"/>
  <c r="G80" i="13"/>
  <c r="N81" i="2"/>
  <c r="N74" i="2"/>
  <c r="L77" i="24"/>
  <c r="J77" i="21" s="1"/>
  <c r="L77" i="21" s="1"/>
  <c r="F77" i="24"/>
  <c r="I77" i="24"/>
  <c r="G77" i="21" s="1"/>
  <c r="I77" i="21" s="1"/>
  <c r="J73" i="13"/>
  <c r="G73" i="13"/>
  <c r="C64" i="24"/>
  <c r="G69" i="13"/>
  <c r="J69" i="13"/>
  <c r="L76" i="13"/>
  <c r="K86" i="2"/>
  <c r="L72" i="13"/>
  <c r="N68" i="2"/>
  <c r="N73" i="2"/>
  <c r="I71" i="24"/>
  <c r="G71" i="21" s="1"/>
  <c r="I71" i="21" s="1"/>
  <c r="F71" i="24"/>
  <c r="L71" i="24"/>
  <c r="J71" i="21" s="1"/>
  <c r="L71" i="21" s="1"/>
  <c r="P67" i="2"/>
  <c r="C67" i="21"/>
  <c r="C67" i="24" s="1"/>
  <c r="M42" i="8"/>
  <c r="J38" i="8"/>
  <c r="M38" i="8" s="1"/>
  <c r="J40" i="8"/>
  <c r="M40" i="8" s="1"/>
  <c r="G98" i="13"/>
  <c r="J98" i="13"/>
  <c r="O18" i="8" l="1"/>
  <c r="J14" i="26"/>
  <c r="K14" i="26" s="1"/>
  <c r="L14" i="26" s="1"/>
  <c r="J16" i="26"/>
  <c r="K16" i="26" s="1"/>
  <c r="L16" i="26" s="1"/>
  <c r="K85" i="24" s="1"/>
  <c r="K86" i="24" s="1"/>
  <c r="D75" i="21"/>
  <c r="C70" i="21"/>
  <c r="C70" i="24" s="1"/>
  <c r="P72" i="2"/>
  <c r="C72" i="21"/>
  <c r="C72" i="24" s="1"/>
  <c r="N75" i="24"/>
  <c r="AE38" i="8"/>
  <c r="AA36" i="8"/>
  <c r="AD36" i="8" s="1"/>
  <c r="AF42" i="8" s="1"/>
  <c r="L74" i="13"/>
  <c r="N38" i="8"/>
  <c r="L71" i="13"/>
  <c r="N40" i="8"/>
  <c r="I86" i="12" s="1"/>
  <c r="I87" i="12" s="1"/>
  <c r="J36" i="8"/>
  <c r="M36" i="8" s="1"/>
  <c r="N36" i="8" s="1"/>
  <c r="L73" i="13"/>
  <c r="L80" i="13"/>
  <c r="C82" i="21"/>
  <c r="C82" i="24" s="1"/>
  <c r="L95" i="24"/>
  <c r="J95" i="21" s="1"/>
  <c r="I95" i="24"/>
  <c r="G95" i="21" s="1"/>
  <c r="F95" i="24"/>
  <c r="N71" i="24"/>
  <c r="D71" i="21"/>
  <c r="L81" i="13"/>
  <c r="D77" i="21"/>
  <c r="N77" i="24"/>
  <c r="C99" i="21"/>
  <c r="P99" i="2"/>
  <c r="I64" i="24"/>
  <c r="G64" i="21" s="1"/>
  <c r="I64" i="21" s="1"/>
  <c r="L64" i="24"/>
  <c r="J64" i="21" s="1"/>
  <c r="L64" i="21" s="1"/>
  <c r="F64" i="24"/>
  <c r="L83" i="24"/>
  <c r="J83" i="21" s="1"/>
  <c r="L83" i="21" s="1"/>
  <c r="F83" i="24"/>
  <c r="I83" i="24"/>
  <c r="G83" i="21" s="1"/>
  <c r="I83" i="21" s="1"/>
  <c r="P74" i="2"/>
  <c r="C74" i="21"/>
  <c r="D69" i="21"/>
  <c r="N69" i="24"/>
  <c r="N18" i="8"/>
  <c r="E86" i="3"/>
  <c r="C81" i="21"/>
  <c r="P81" i="2"/>
  <c r="C73" i="21"/>
  <c r="P73" i="2"/>
  <c r="L69" i="13"/>
  <c r="L76" i="24"/>
  <c r="I76" i="24"/>
  <c r="F76" i="24"/>
  <c r="P68" i="2"/>
  <c r="C68" i="21"/>
  <c r="I67" i="24"/>
  <c r="G67" i="21" s="1"/>
  <c r="I67" i="21" s="1"/>
  <c r="L67" i="24"/>
  <c r="J67" i="21" s="1"/>
  <c r="L67" i="21" s="1"/>
  <c r="F67" i="24"/>
  <c r="L98" i="13"/>
  <c r="J12" i="26" l="1"/>
  <c r="K12" i="26" s="1"/>
  <c r="L12" i="26" s="1"/>
  <c r="L86" i="12"/>
  <c r="L87" i="12" s="1"/>
  <c r="F70" i="24"/>
  <c r="I70" i="24"/>
  <c r="G70" i="21" s="1"/>
  <c r="I70" i="21" s="1"/>
  <c r="L70" i="24"/>
  <c r="J70" i="21" s="1"/>
  <c r="L70" i="21" s="1"/>
  <c r="F82" i="24"/>
  <c r="F75" i="21"/>
  <c r="F72" i="24"/>
  <c r="I72" i="24"/>
  <c r="G72" i="21" s="1"/>
  <c r="L72" i="24"/>
  <c r="J72" i="21" s="1"/>
  <c r="G76" i="21"/>
  <c r="I76" i="21" s="1"/>
  <c r="I75" i="21"/>
  <c r="J76" i="21"/>
  <c r="L76" i="21" s="1"/>
  <c r="L75" i="21"/>
  <c r="M109" i="2"/>
  <c r="M108" i="2" s="1"/>
  <c r="C7" i="91" s="1"/>
  <c r="J28" i="91" s="1"/>
  <c r="AE36" i="8"/>
  <c r="AE42" i="8" s="1"/>
  <c r="N42" i="8"/>
  <c r="F87" i="12"/>
  <c r="L109" i="2"/>
  <c r="L108" i="2" s="1"/>
  <c r="O42" i="8"/>
  <c r="F86" i="12"/>
  <c r="H85" i="24"/>
  <c r="H86" i="24" s="1"/>
  <c r="I82" i="24"/>
  <c r="G82" i="21" s="1"/>
  <c r="I82" i="21" s="1"/>
  <c r="L82" i="24"/>
  <c r="J82" i="21" s="1"/>
  <c r="L82" i="21" s="1"/>
  <c r="N95" i="24"/>
  <c r="D95" i="21"/>
  <c r="O95" i="21" s="1"/>
  <c r="D76" i="21"/>
  <c r="N76" i="24"/>
  <c r="F69" i="21"/>
  <c r="O69" i="21"/>
  <c r="C73" i="24"/>
  <c r="N64" i="24"/>
  <c r="D64" i="21"/>
  <c r="C81" i="24"/>
  <c r="N67" i="24"/>
  <c r="D67" i="21"/>
  <c r="C74" i="24"/>
  <c r="F71" i="21"/>
  <c r="O71" i="21"/>
  <c r="C99" i="24"/>
  <c r="F77" i="21"/>
  <c r="O77" i="21"/>
  <c r="C68" i="24"/>
  <c r="E87" i="3"/>
  <c r="O86" i="3"/>
  <c r="P86" i="3" s="1"/>
  <c r="D83" i="21"/>
  <c r="N83" i="24"/>
  <c r="J27" i="91" l="1"/>
  <c r="M27" i="91" s="1"/>
  <c r="K11" i="91" s="1"/>
  <c r="J26" i="91"/>
  <c r="S8" i="91"/>
  <c r="T8" i="91" s="1"/>
  <c r="U8" i="91" s="1"/>
  <c r="W8" i="91" s="1"/>
  <c r="X8" i="91" s="1"/>
  <c r="Y8" i="91" s="1"/>
  <c r="Z8" i="91" s="1"/>
  <c r="AB8" i="91" s="1"/>
  <c r="AC8" i="91" s="1"/>
  <c r="AD8" i="91" s="1"/>
  <c r="S6" i="91"/>
  <c r="T6" i="91" s="1"/>
  <c r="U6" i="91" s="1"/>
  <c r="W6" i="91" s="1"/>
  <c r="X6" i="91" s="1"/>
  <c r="Y6" i="91" s="1"/>
  <c r="Z6" i="91" s="1"/>
  <c r="AB6" i="91" s="1"/>
  <c r="AC6" i="91" s="1"/>
  <c r="AD6" i="91" s="1"/>
  <c r="S7" i="91"/>
  <c r="T7" i="91" s="1"/>
  <c r="U7" i="91" s="1"/>
  <c r="W7" i="91" s="1"/>
  <c r="X7" i="91" s="1"/>
  <c r="Y7" i="91" s="1"/>
  <c r="Z7" i="91" s="1"/>
  <c r="AB7" i="91" s="1"/>
  <c r="AC7" i="91" s="1"/>
  <c r="AD7" i="91" s="1"/>
  <c r="S9" i="91"/>
  <c r="T9" i="91" s="1"/>
  <c r="U9" i="91" s="1"/>
  <c r="W9" i="91" s="1"/>
  <c r="X9" i="91" s="1"/>
  <c r="Y9" i="91" s="1"/>
  <c r="Z9" i="91" s="1"/>
  <c r="AB9" i="91" s="1"/>
  <c r="AC9" i="91" s="1"/>
  <c r="AD9" i="91" s="1"/>
  <c r="M18" i="26"/>
  <c r="D70" i="21"/>
  <c r="O70" i="21" s="1"/>
  <c r="P86" i="12"/>
  <c r="Q86" i="12" s="1"/>
  <c r="P87" i="12"/>
  <c r="Q87" i="12" s="1"/>
  <c r="N70" i="24"/>
  <c r="D82" i="21"/>
  <c r="O82" i="21" s="1"/>
  <c r="D72" i="21"/>
  <c r="N72" i="24"/>
  <c r="O75" i="21"/>
  <c r="N108" i="2"/>
  <c r="L18" i="26"/>
  <c r="E85" i="24"/>
  <c r="N82" i="24"/>
  <c r="L68" i="24"/>
  <c r="J68" i="21" s="1"/>
  <c r="L68" i="21" s="1"/>
  <c r="F68" i="24"/>
  <c r="I68" i="24"/>
  <c r="G68" i="21" s="1"/>
  <c r="I68" i="21" s="1"/>
  <c r="F99" i="24"/>
  <c r="L99" i="24"/>
  <c r="J99" i="21" s="1"/>
  <c r="L99" i="21" s="1"/>
  <c r="I99" i="24"/>
  <c r="G99" i="21" s="1"/>
  <c r="I99" i="21" s="1"/>
  <c r="F83" i="21"/>
  <c r="O83" i="21"/>
  <c r="F64" i="21"/>
  <c r="O64" i="21"/>
  <c r="F76" i="21"/>
  <c r="O76" i="21"/>
  <c r="F87" i="3"/>
  <c r="O87" i="3"/>
  <c r="P87" i="3" s="1"/>
  <c r="F74" i="24"/>
  <c r="L74" i="24"/>
  <c r="J74" i="21" s="1"/>
  <c r="L74" i="21" s="1"/>
  <c r="I74" i="24"/>
  <c r="G74" i="21" s="1"/>
  <c r="I74" i="21" s="1"/>
  <c r="F67" i="21"/>
  <c r="O67" i="21"/>
  <c r="F73" i="24"/>
  <c r="L73" i="24"/>
  <c r="I73" i="24"/>
  <c r="F81" i="24"/>
  <c r="L81" i="24"/>
  <c r="J81" i="21" s="1"/>
  <c r="L81" i="21" s="1"/>
  <c r="I81" i="24"/>
  <c r="G81" i="21" s="1"/>
  <c r="I81" i="21" s="1"/>
  <c r="I11" i="91" l="1"/>
  <c r="M11" i="91"/>
  <c r="F70" i="21"/>
  <c r="F82" i="21"/>
  <c r="G73" i="21"/>
  <c r="I73" i="21" s="1"/>
  <c r="I72" i="21"/>
  <c r="J73" i="21"/>
  <c r="L73" i="21" s="1"/>
  <c r="L72" i="21"/>
  <c r="F72" i="21"/>
  <c r="O72" i="21"/>
  <c r="P108" i="2"/>
  <c r="C108" i="21"/>
  <c r="N109" i="2"/>
  <c r="E86" i="24"/>
  <c r="O86" i="24" s="1"/>
  <c r="P86" i="24" s="1"/>
  <c r="O85" i="24"/>
  <c r="P85" i="24" s="1"/>
  <c r="N73" i="24"/>
  <c r="D73" i="21"/>
  <c r="D99" i="21"/>
  <c r="N99" i="24"/>
  <c r="N87" i="3"/>
  <c r="D87" i="12"/>
  <c r="D74" i="21"/>
  <c r="N74" i="24"/>
  <c r="D81" i="21"/>
  <c r="N81" i="24"/>
  <c r="D68" i="21"/>
  <c r="N68" i="24"/>
  <c r="D108" i="21" l="1"/>
  <c r="D109" i="21" s="1"/>
  <c r="C7" i="73"/>
  <c r="J28" i="73" s="1"/>
  <c r="J27" i="73" s="1"/>
  <c r="M27" i="73" s="1"/>
  <c r="K11" i="73" s="1"/>
  <c r="I11" i="73" s="1"/>
  <c r="E13" i="99"/>
  <c r="L86" i="3"/>
  <c r="I86" i="3"/>
  <c r="F86" i="3"/>
  <c r="J108" i="21"/>
  <c r="C7" i="80" s="1"/>
  <c r="G108" i="21"/>
  <c r="C109" i="21"/>
  <c r="F99" i="21"/>
  <c r="O99" i="21"/>
  <c r="F81" i="21"/>
  <c r="O81" i="21"/>
  <c r="M87" i="12"/>
  <c r="J87" i="12"/>
  <c r="G87" i="12"/>
  <c r="F73" i="21"/>
  <c r="O73" i="21"/>
  <c r="F68" i="21"/>
  <c r="O68" i="21"/>
  <c r="F74" i="21"/>
  <c r="O74" i="21"/>
  <c r="S8" i="73" l="1"/>
  <c r="T8" i="73" s="1"/>
  <c r="U8" i="73" s="1"/>
  <c r="W8" i="73" s="1"/>
  <c r="X8" i="73" s="1"/>
  <c r="Y8" i="73" s="1"/>
  <c r="Z8" i="73" s="1"/>
  <c r="AB8" i="73" s="1"/>
  <c r="AC8" i="73" s="1"/>
  <c r="AD8" i="73" s="1"/>
  <c r="S9" i="73"/>
  <c r="T9" i="73" s="1"/>
  <c r="U9" i="73" s="1"/>
  <c r="W9" i="73" s="1"/>
  <c r="X9" i="73" s="1"/>
  <c r="Y9" i="73" s="1"/>
  <c r="Z9" i="73" s="1"/>
  <c r="AB9" i="73" s="1"/>
  <c r="AC9" i="73" s="1"/>
  <c r="AD9" i="73" s="1"/>
  <c r="J26" i="73"/>
  <c r="M11" i="73"/>
  <c r="S7" i="73"/>
  <c r="T7" i="73" s="1"/>
  <c r="U7" i="73" s="1"/>
  <c r="W7" i="73" s="1"/>
  <c r="X7" i="73" s="1"/>
  <c r="Y7" i="73" s="1"/>
  <c r="Z7" i="73" s="1"/>
  <c r="AB7" i="73" s="1"/>
  <c r="AC7" i="73" s="1"/>
  <c r="AD7" i="73" s="1"/>
  <c r="C7" i="78"/>
  <c r="E13" i="18"/>
  <c r="C7" i="79"/>
  <c r="S6" i="73"/>
  <c r="T6" i="73" s="1"/>
  <c r="U6" i="73" s="1"/>
  <c r="W6" i="73" s="1"/>
  <c r="X6" i="73" s="1"/>
  <c r="Y6" i="73" s="1"/>
  <c r="Z6" i="73" s="1"/>
  <c r="AB6" i="73" s="1"/>
  <c r="AC6" i="73" s="1"/>
  <c r="AD6" i="73" s="1"/>
  <c r="N86" i="3"/>
  <c r="D86" i="12"/>
  <c r="K85" i="2"/>
  <c r="E13" i="20"/>
  <c r="O108" i="21"/>
  <c r="J109" i="21"/>
  <c r="E13" i="19"/>
  <c r="G109" i="21"/>
  <c r="M86" i="2"/>
  <c r="D85" i="13"/>
  <c r="O87" i="12"/>
  <c r="L86" i="2"/>
  <c r="J28" i="79" l="1"/>
  <c r="J28" i="78"/>
  <c r="M86" i="12"/>
  <c r="J86" i="12"/>
  <c r="G86" i="12"/>
  <c r="N86" i="2"/>
  <c r="P86" i="2" s="1"/>
  <c r="J85" i="13"/>
  <c r="G85" i="13"/>
  <c r="T6" i="78" l="1"/>
  <c r="U6" i="78" s="1"/>
  <c r="V6" i="78" s="1"/>
  <c r="X6" i="78" s="1"/>
  <c r="Y6" i="78" s="1"/>
  <c r="Z6" i="78" s="1"/>
  <c r="AA6" i="78" s="1"/>
  <c r="AC6" i="78" s="1"/>
  <c r="AD6" i="78" s="1"/>
  <c r="AE6" i="78" s="1"/>
  <c r="J27" i="78"/>
  <c r="M27" i="78" s="1"/>
  <c r="K11" i="78" s="1"/>
  <c r="J26" i="78"/>
  <c r="T7" i="78"/>
  <c r="U7" i="78" s="1"/>
  <c r="V7" i="78" s="1"/>
  <c r="X7" i="78" s="1"/>
  <c r="Y7" i="78" s="1"/>
  <c r="Z7" i="78" s="1"/>
  <c r="AA7" i="78" s="1"/>
  <c r="AC7" i="78" s="1"/>
  <c r="AD7" i="78" s="1"/>
  <c r="AE7" i="78" s="1"/>
  <c r="T9" i="78"/>
  <c r="U9" i="78" s="1"/>
  <c r="V9" i="78" s="1"/>
  <c r="X9" i="78" s="1"/>
  <c r="Y9" i="78" s="1"/>
  <c r="Z9" i="78" s="1"/>
  <c r="AA9" i="78" s="1"/>
  <c r="AC9" i="78" s="1"/>
  <c r="AD9" i="78" s="1"/>
  <c r="AE9" i="78" s="1"/>
  <c r="T8" i="78"/>
  <c r="U8" i="78" s="1"/>
  <c r="V8" i="78" s="1"/>
  <c r="X8" i="78" s="1"/>
  <c r="Y8" i="78" s="1"/>
  <c r="Z8" i="78" s="1"/>
  <c r="AA8" i="78" s="1"/>
  <c r="AC8" i="78" s="1"/>
  <c r="AD8" i="78" s="1"/>
  <c r="AE8" i="78" s="1"/>
  <c r="S8" i="79"/>
  <c r="T8" i="79" s="1"/>
  <c r="U8" i="79" s="1"/>
  <c r="W8" i="79" s="1"/>
  <c r="X8" i="79" s="1"/>
  <c r="Y8" i="79" s="1"/>
  <c r="Z8" i="79" s="1"/>
  <c r="AB8" i="79" s="1"/>
  <c r="AC8" i="79" s="1"/>
  <c r="AD8" i="79" s="1"/>
  <c r="S9" i="79"/>
  <c r="T9" i="79" s="1"/>
  <c r="U9" i="79" s="1"/>
  <c r="W9" i="79" s="1"/>
  <c r="X9" i="79" s="1"/>
  <c r="Y9" i="79" s="1"/>
  <c r="Z9" i="79" s="1"/>
  <c r="AB9" i="79" s="1"/>
  <c r="AC9" i="79" s="1"/>
  <c r="AD9" i="79" s="1"/>
  <c r="S7" i="79"/>
  <c r="T7" i="79" s="1"/>
  <c r="U7" i="79" s="1"/>
  <c r="W7" i="79" s="1"/>
  <c r="X7" i="79" s="1"/>
  <c r="Y7" i="79" s="1"/>
  <c r="Z7" i="79" s="1"/>
  <c r="AB7" i="79" s="1"/>
  <c r="AC7" i="79" s="1"/>
  <c r="AD7" i="79" s="1"/>
  <c r="J27" i="79"/>
  <c r="M27" i="79" s="1"/>
  <c r="K11" i="79" s="1"/>
  <c r="S6" i="79"/>
  <c r="T6" i="79" s="1"/>
  <c r="U6" i="79" s="1"/>
  <c r="W6" i="79" s="1"/>
  <c r="X6" i="79" s="1"/>
  <c r="Y6" i="79" s="1"/>
  <c r="Z6" i="79" s="1"/>
  <c r="AB6" i="79" s="1"/>
  <c r="AC6" i="79" s="1"/>
  <c r="AD6" i="79" s="1"/>
  <c r="J26" i="79"/>
  <c r="D84" i="13"/>
  <c r="G84" i="13" s="1"/>
  <c r="O86" i="12"/>
  <c r="L85" i="2"/>
  <c r="M85" i="2"/>
  <c r="C86" i="21"/>
  <c r="C86" i="24" s="1"/>
  <c r="L85" i="13"/>
  <c r="I11" i="79" l="1"/>
  <c r="M11" i="79"/>
  <c r="I11" i="78"/>
  <c r="M11" i="78"/>
  <c r="F84" i="13"/>
  <c r="I84" i="13"/>
  <c r="L84" i="13"/>
  <c r="N85" i="2"/>
  <c r="I86" i="24"/>
  <c r="G86" i="21" s="1"/>
  <c r="I86" i="21" s="1"/>
  <c r="F86" i="24"/>
  <c r="L86" i="24"/>
  <c r="J86" i="21" s="1"/>
  <c r="L86" i="21" s="1"/>
  <c r="M84" i="13" l="1"/>
  <c r="N84" i="13" s="1"/>
  <c r="P85" i="2"/>
  <c r="C85" i="21"/>
  <c r="C85" i="24" s="1"/>
  <c r="D86" i="21"/>
  <c r="F86" i="21" s="1"/>
  <c r="N86" i="24"/>
  <c r="O86" i="21" l="1"/>
  <c r="L85" i="24"/>
  <c r="J85" i="21" s="1"/>
  <c r="L85" i="21" s="1"/>
  <c r="I85" i="24"/>
  <c r="G85" i="21" s="1"/>
  <c r="I85" i="21" s="1"/>
  <c r="F85" i="24"/>
  <c r="H23" i="15"/>
  <c r="H24" i="15"/>
  <c r="K39" i="32"/>
  <c r="R14" i="32" s="1"/>
  <c r="C17" i="40" s="1"/>
  <c r="D17" i="40" s="1"/>
  <c r="N85" i="24" l="1"/>
  <c r="D85" i="21"/>
  <c r="P13" i="32"/>
  <c r="Q13" i="32" s="1"/>
  <c r="Q39" i="32" s="1"/>
  <c r="F85" i="21" l="1"/>
  <c r="O85" i="21"/>
  <c r="Q32" i="32"/>
  <c r="Q42" i="32"/>
  <c r="R13" i="32"/>
  <c r="R32" i="32" s="1"/>
  <c r="C16" i="40" l="1"/>
  <c r="C34" i="40" s="1"/>
  <c r="H14" i="9"/>
  <c r="D16" i="40" l="1"/>
  <c r="D34" i="40" s="1"/>
  <c r="D38" i="40" s="1"/>
  <c r="D42" i="40" s="1"/>
  <c r="H71" i="9" s="1"/>
  <c r="H16" i="9"/>
  <c r="H65" i="2"/>
  <c r="J65" i="2" s="1"/>
  <c r="C66" i="3" s="1"/>
  <c r="H94" i="2" l="1"/>
  <c r="J94" i="2" s="1"/>
  <c r="C95" i="3" s="1"/>
  <c r="J102" i="2" l="1"/>
  <c r="J106" i="2" s="1"/>
  <c r="H102" i="2"/>
  <c r="H104" i="2" s="1"/>
  <c r="F67" i="3"/>
  <c r="I67" i="3"/>
  <c r="L67" i="3"/>
  <c r="C103" i="3"/>
  <c r="I66" i="3"/>
  <c r="L66" i="3"/>
  <c r="F66" i="3"/>
  <c r="I95" i="3"/>
  <c r="L95" i="3"/>
  <c r="F95" i="3"/>
  <c r="J104" i="2" l="1"/>
  <c r="K66" i="2"/>
  <c r="D67" i="12"/>
  <c r="N67" i="3"/>
  <c r="L103" i="3"/>
  <c r="K103" i="3" s="1"/>
  <c r="N66" i="3"/>
  <c r="F103" i="3"/>
  <c r="D66" i="12"/>
  <c r="C107" i="3"/>
  <c r="C105" i="3"/>
  <c r="N95" i="3"/>
  <c r="D95" i="12"/>
  <c r="I103" i="3"/>
  <c r="K65" i="2"/>
  <c r="K94" i="2"/>
  <c r="G67" i="12" l="1"/>
  <c r="M67" i="12"/>
  <c r="J67" i="12"/>
  <c r="L105" i="3"/>
  <c r="K105" i="3" s="1"/>
  <c r="L107" i="3"/>
  <c r="I105" i="3"/>
  <c r="H105" i="3" s="1"/>
  <c r="H103" i="3"/>
  <c r="I107" i="3"/>
  <c r="K102" i="2"/>
  <c r="D118" i="12"/>
  <c r="M66" i="12"/>
  <c r="G66" i="12"/>
  <c r="J66" i="12"/>
  <c r="D103" i="12"/>
  <c r="F107" i="3"/>
  <c r="F105" i="3"/>
  <c r="E105" i="3" s="1"/>
  <c r="E103" i="3"/>
  <c r="N103" i="3"/>
  <c r="L66" i="2" l="1"/>
  <c r="M66" i="2"/>
  <c r="O67" i="12"/>
  <c r="D67" i="13"/>
  <c r="O103" i="3"/>
  <c r="O105" i="3"/>
  <c r="K104" i="2"/>
  <c r="K106" i="2"/>
  <c r="L65" i="2"/>
  <c r="J118" i="12"/>
  <c r="M65" i="2"/>
  <c r="M118" i="12"/>
  <c r="D107" i="12"/>
  <c r="D105" i="12"/>
  <c r="O66" i="12"/>
  <c r="G118" i="12"/>
  <c r="D66" i="13"/>
  <c r="N105" i="3"/>
  <c r="N107" i="3"/>
  <c r="G67" i="13" l="1"/>
  <c r="J67" i="13"/>
  <c r="N66" i="2"/>
  <c r="M93" i="12"/>
  <c r="M94" i="12"/>
  <c r="M95" i="12"/>
  <c r="D116" i="13"/>
  <c r="G66" i="13"/>
  <c r="J66" i="13"/>
  <c r="R118" i="12"/>
  <c r="J94" i="12"/>
  <c r="J95" i="12"/>
  <c r="J93" i="12"/>
  <c r="N65" i="2"/>
  <c r="L67" i="13" l="1"/>
  <c r="P66" i="2"/>
  <c r="C66" i="21"/>
  <c r="J116" i="13"/>
  <c r="G116" i="13"/>
  <c r="L66" i="13"/>
  <c r="I93" i="12"/>
  <c r="L92" i="2"/>
  <c r="G93" i="12"/>
  <c r="J103" i="12"/>
  <c r="L95" i="12"/>
  <c r="M94" i="2"/>
  <c r="L94" i="2"/>
  <c r="I95" i="12"/>
  <c r="G95" i="12"/>
  <c r="M93" i="2"/>
  <c r="L94" i="12"/>
  <c r="P65" i="2"/>
  <c r="C65" i="21"/>
  <c r="I94" i="12"/>
  <c r="G94" i="12"/>
  <c r="L93" i="2"/>
  <c r="M92" i="2"/>
  <c r="L93" i="12"/>
  <c r="M103" i="12"/>
  <c r="C66" i="24" l="1"/>
  <c r="N93" i="2"/>
  <c r="C93" i="21" s="1"/>
  <c r="J107" i="12"/>
  <c r="J105" i="12"/>
  <c r="I105" i="12" s="1"/>
  <c r="I103" i="12"/>
  <c r="O94" i="12"/>
  <c r="F94" i="12"/>
  <c r="P94" i="12" s="1"/>
  <c r="Q94" i="12" s="1"/>
  <c r="D92" i="13"/>
  <c r="O95" i="12"/>
  <c r="F95" i="12"/>
  <c r="P95" i="12" s="1"/>
  <c r="Q95" i="12" s="1"/>
  <c r="D93" i="13"/>
  <c r="O93" i="12"/>
  <c r="F93" i="12"/>
  <c r="P93" i="12" s="1"/>
  <c r="Q93" i="12" s="1"/>
  <c r="D91" i="13"/>
  <c r="G103" i="12"/>
  <c r="N92" i="2"/>
  <c r="L102" i="2"/>
  <c r="L103" i="12"/>
  <c r="M105" i="12"/>
  <c r="L105" i="12" s="1"/>
  <c r="M107" i="12"/>
  <c r="C65" i="24"/>
  <c r="J92" i="13"/>
  <c r="J91" i="13"/>
  <c r="J93" i="13"/>
  <c r="N94" i="2"/>
  <c r="M102" i="2"/>
  <c r="C6" i="91" s="1"/>
  <c r="L66" i="24" l="1"/>
  <c r="J66" i="21" s="1"/>
  <c r="L66" i="21" s="1"/>
  <c r="F66" i="24"/>
  <c r="I66" i="24"/>
  <c r="G66" i="21" s="1"/>
  <c r="I66" i="21" s="1"/>
  <c r="I8" i="91"/>
  <c r="P93" i="2"/>
  <c r="G93" i="13"/>
  <c r="L93" i="13" s="1"/>
  <c r="G92" i="13"/>
  <c r="F92" i="13" s="1"/>
  <c r="L104" i="2"/>
  <c r="L106" i="2"/>
  <c r="M104" i="2"/>
  <c r="M106" i="2"/>
  <c r="C94" i="21"/>
  <c r="P94" i="2"/>
  <c r="C92" i="21"/>
  <c r="P92" i="2"/>
  <c r="N102" i="2"/>
  <c r="I93" i="13"/>
  <c r="I65" i="24"/>
  <c r="F65" i="24"/>
  <c r="L65" i="24"/>
  <c r="I91" i="13"/>
  <c r="J101" i="13"/>
  <c r="F103" i="12"/>
  <c r="P103" i="12" s="1"/>
  <c r="G107" i="12"/>
  <c r="G105" i="12"/>
  <c r="F105" i="12" s="1"/>
  <c r="P105" i="12" s="1"/>
  <c r="I92" i="13"/>
  <c r="G91" i="13"/>
  <c r="D101" i="13"/>
  <c r="C93" i="24"/>
  <c r="O103" i="12"/>
  <c r="N66" i="24" l="1"/>
  <c r="D66" i="21"/>
  <c r="K8" i="91"/>
  <c r="I9" i="91"/>
  <c r="I16" i="91"/>
  <c r="AE9" i="91"/>
  <c r="AF9" i="91" s="1"/>
  <c r="AE8" i="91"/>
  <c r="AF8" i="91" s="1"/>
  <c r="AE6" i="91"/>
  <c r="AF6" i="91" s="1"/>
  <c r="AE7" i="91"/>
  <c r="AF7" i="91" s="1"/>
  <c r="L92" i="13"/>
  <c r="M92" i="13"/>
  <c r="N92" i="13" s="1"/>
  <c r="F93" i="13"/>
  <c r="M93" i="13" s="1"/>
  <c r="N93" i="13" s="1"/>
  <c r="O105" i="12"/>
  <c r="O107" i="12"/>
  <c r="D103" i="13"/>
  <c r="D105" i="13"/>
  <c r="N106" i="2"/>
  <c r="N104" i="2"/>
  <c r="L93" i="24"/>
  <c r="J93" i="21" s="1"/>
  <c r="L93" i="21" s="1"/>
  <c r="F93" i="24"/>
  <c r="I93" i="24"/>
  <c r="G93" i="21" s="1"/>
  <c r="I93" i="21" s="1"/>
  <c r="I101" i="13"/>
  <c r="J103" i="13"/>
  <c r="J105" i="13"/>
  <c r="C94" i="24"/>
  <c r="F91" i="13"/>
  <c r="M91" i="13" s="1"/>
  <c r="N91" i="13" s="1"/>
  <c r="L91" i="13"/>
  <c r="G101" i="13"/>
  <c r="J65" i="21"/>
  <c r="N65" i="24"/>
  <c r="D65" i="21"/>
  <c r="G65" i="21"/>
  <c r="C92" i="24"/>
  <c r="C102" i="21"/>
  <c r="C6" i="73" l="1"/>
  <c r="I8" i="73" s="1"/>
  <c r="I9" i="73" s="1"/>
  <c r="E12" i="99"/>
  <c r="F66" i="21"/>
  <c r="O66" i="21"/>
  <c r="L101" i="13"/>
  <c r="L103" i="13" s="1"/>
  <c r="I103" i="13"/>
  <c r="L65" i="21"/>
  <c r="G105" i="13"/>
  <c r="G103" i="13"/>
  <c r="F103" i="13" s="1"/>
  <c r="F101" i="13"/>
  <c r="M101" i="13" s="1"/>
  <c r="C104" i="21"/>
  <c r="C106" i="21"/>
  <c r="N93" i="24"/>
  <c r="D93" i="21"/>
  <c r="I65" i="21"/>
  <c r="F65" i="21"/>
  <c r="O65" i="21"/>
  <c r="L92" i="24"/>
  <c r="I92" i="24"/>
  <c r="F92" i="24"/>
  <c r="C102" i="24"/>
  <c r="L94" i="24"/>
  <c r="J94" i="21" s="1"/>
  <c r="L94" i="21" s="1"/>
  <c r="I94" i="24"/>
  <c r="G94" i="21" s="1"/>
  <c r="I94" i="21" s="1"/>
  <c r="F94" i="24"/>
  <c r="T11" i="99" l="1"/>
  <c r="U11" i="99" s="1"/>
  <c r="T9" i="99"/>
  <c r="U9" i="99" s="1"/>
  <c r="T10" i="99"/>
  <c r="U10" i="99" s="1"/>
  <c r="T12" i="99"/>
  <c r="U12" i="99" s="1"/>
  <c r="AE8" i="73"/>
  <c r="AF8" i="73" s="1"/>
  <c r="AE7" i="73"/>
  <c r="AF7" i="73" s="1"/>
  <c r="I16" i="73"/>
  <c r="AE6" i="73"/>
  <c r="AF6" i="73" s="1"/>
  <c r="K8" i="73"/>
  <c r="AE9" i="73"/>
  <c r="AF9" i="73" s="1"/>
  <c r="L105" i="13"/>
  <c r="M103" i="13"/>
  <c r="N92" i="24"/>
  <c r="D92" i="21"/>
  <c r="F102" i="24"/>
  <c r="J92" i="21"/>
  <c r="L102" i="24"/>
  <c r="F93" i="21"/>
  <c r="O93" i="21"/>
  <c r="N94" i="24"/>
  <c r="D94" i="21"/>
  <c r="G92" i="21"/>
  <c r="I102" i="24"/>
  <c r="C104" i="24"/>
  <c r="C106" i="24"/>
  <c r="AI36" i="99" l="1"/>
  <c r="V12" i="99"/>
  <c r="W12" i="99" s="1"/>
  <c r="X12" i="99" s="1"/>
  <c r="Z12" i="99" s="1"/>
  <c r="AA12" i="99" s="1"/>
  <c r="AB12" i="99" s="1"/>
  <c r="V10" i="99"/>
  <c r="W10" i="99" s="1"/>
  <c r="X10" i="99" s="1"/>
  <c r="Z10" i="99" s="1"/>
  <c r="AA10" i="99" s="1"/>
  <c r="AB10" i="99" s="1"/>
  <c r="AI34" i="99"/>
  <c r="E14" i="99"/>
  <c r="E16" i="99" s="1"/>
  <c r="AI33" i="99"/>
  <c r="V9" i="99"/>
  <c r="W9" i="99" s="1"/>
  <c r="X9" i="99" s="1"/>
  <c r="Z9" i="99" s="1"/>
  <c r="AA9" i="99" s="1"/>
  <c r="AB9" i="99" s="1"/>
  <c r="V11" i="99"/>
  <c r="W11" i="99" s="1"/>
  <c r="X11" i="99" s="1"/>
  <c r="Z11" i="99" s="1"/>
  <c r="AA11" i="99" s="1"/>
  <c r="AB11" i="99" s="1"/>
  <c r="AI35" i="99"/>
  <c r="L92" i="21"/>
  <c r="J102" i="21"/>
  <c r="C6" i="80" s="1"/>
  <c r="I8" i="80" s="1"/>
  <c r="F104" i="24"/>
  <c r="E102" i="24"/>
  <c r="F106" i="24"/>
  <c r="F92" i="21"/>
  <c r="O92" i="21"/>
  <c r="D102" i="21"/>
  <c r="I106" i="24"/>
  <c r="I104" i="24"/>
  <c r="H104" i="24" s="1"/>
  <c r="H102" i="24"/>
  <c r="I92" i="21"/>
  <c r="G102" i="21"/>
  <c r="C6" i="79" s="1"/>
  <c r="I8" i="79" s="1"/>
  <c r="F94" i="21"/>
  <c r="O94" i="21"/>
  <c r="K102" i="24"/>
  <c r="L104" i="24"/>
  <c r="K104" i="24" s="1"/>
  <c r="L106" i="24"/>
  <c r="N102" i="24"/>
  <c r="AE11" i="99" l="1"/>
  <c r="AI26" i="99" s="1"/>
  <c r="AC11" i="99"/>
  <c r="AE9" i="99"/>
  <c r="AI24" i="99" s="1"/>
  <c r="AC9" i="99"/>
  <c r="I16" i="80"/>
  <c r="K8" i="80"/>
  <c r="I9" i="80"/>
  <c r="AE10" i="99"/>
  <c r="AI25" i="99" s="1"/>
  <c r="AC10" i="99"/>
  <c r="C6" i="78"/>
  <c r="I8" i="78" s="1"/>
  <c r="E12" i="18"/>
  <c r="AE12" i="99"/>
  <c r="AI27" i="99" s="1"/>
  <c r="AC12" i="99"/>
  <c r="AE7" i="79"/>
  <c r="AF7" i="79" s="1"/>
  <c r="AE9" i="79"/>
  <c r="AF9" i="79" s="1"/>
  <c r="AE6" i="79"/>
  <c r="AF6" i="79" s="1"/>
  <c r="AE8" i="79"/>
  <c r="AF8" i="79" s="1"/>
  <c r="I9" i="79"/>
  <c r="I16" i="79"/>
  <c r="K8" i="79"/>
  <c r="E104" i="24"/>
  <c r="O104" i="24" s="1"/>
  <c r="O102" i="24"/>
  <c r="N104" i="24"/>
  <c r="N106" i="24"/>
  <c r="G106" i="21"/>
  <c r="G104" i="21"/>
  <c r="E12" i="19"/>
  <c r="D106" i="21"/>
  <c r="D104" i="21"/>
  <c r="O102" i="21"/>
  <c r="J104" i="21"/>
  <c r="E12" i="20"/>
  <c r="J106" i="21"/>
  <c r="U18" i="99" l="1"/>
  <c r="AI45" i="99"/>
  <c r="AD12" i="99"/>
  <c r="AI21" i="99" s="1"/>
  <c r="AI42" i="99"/>
  <c r="AD9" i="99"/>
  <c r="AI18" i="99" s="1"/>
  <c r="U15" i="99"/>
  <c r="AF8" i="78"/>
  <c r="AG8" i="78" s="1"/>
  <c r="I16" i="78"/>
  <c r="AF7" i="78"/>
  <c r="AG7" i="78" s="1"/>
  <c r="I9" i="78"/>
  <c r="AF6" i="78"/>
  <c r="AG6" i="78" s="1"/>
  <c r="K8" i="78"/>
  <c r="AF9" i="78"/>
  <c r="AG9" i="78" s="1"/>
  <c r="AI44" i="99"/>
  <c r="U17" i="99"/>
  <c r="AD11" i="99"/>
  <c r="AI20" i="99" s="1"/>
  <c r="AI43" i="99"/>
  <c r="AD10" i="99"/>
  <c r="AI19" i="99" s="1"/>
  <c r="U16" i="99"/>
  <c r="O104" i="21"/>
  <c r="T12" i="20"/>
  <c r="U12" i="20" s="1"/>
  <c r="T9" i="20"/>
  <c r="U9" i="20" s="1"/>
  <c r="T11" i="20"/>
  <c r="U11" i="20" s="1"/>
  <c r="T10" i="20"/>
  <c r="U10" i="20" s="1"/>
  <c r="T9" i="19"/>
  <c r="U9" i="19" s="1"/>
  <c r="T10" i="19"/>
  <c r="U10" i="19" s="1"/>
  <c r="T11" i="19"/>
  <c r="U11" i="19" s="1"/>
  <c r="T12" i="19"/>
  <c r="U12" i="19" s="1"/>
  <c r="T10" i="18"/>
  <c r="U10" i="18" s="1"/>
  <c r="T9" i="18"/>
  <c r="U9" i="18" s="1"/>
  <c r="T12" i="18"/>
  <c r="U12" i="18" s="1"/>
  <c r="T11" i="18"/>
  <c r="U11" i="18" s="1"/>
  <c r="V17" i="99" l="1"/>
  <c r="W17" i="99" s="1"/>
  <c r="X17" i="99" s="1"/>
  <c r="Z17" i="99" s="1"/>
  <c r="AA17" i="99" s="1"/>
  <c r="AB17" i="99" s="1"/>
  <c r="AJ35" i="99"/>
  <c r="V15" i="99"/>
  <c r="W15" i="99" s="1"/>
  <c r="X15" i="99" s="1"/>
  <c r="Z15" i="99" s="1"/>
  <c r="AA15" i="99" s="1"/>
  <c r="AB15" i="99" s="1"/>
  <c r="AJ33" i="99"/>
  <c r="V16" i="99"/>
  <c r="W16" i="99" s="1"/>
  <c r="X16" i="99" s="1"/>
  <c r="Z16" i="99" s="1"/>
  <c r="AA16" i="99" s="1"/>
  <c r="AB16" i="99" s="1"/>
  <c r="AJ34" i="99"/>
  <c r="AI23" i="99"/>
  <c r="AI41" i="99"/>
  <c r="AI32" i="99"/>
  <c r="AJ36" i="99"/>
  <c r="V18" i="99"/>
  <c r="W18" i="99" s="1"/>
  <c r="X18" i="99" s="1"/>
  <c r="Z18" i="99" s="1"/>
  <c r="AA18" i="99" s="1"/>
  <c r="AB18" i="99" s="1"/>
  <c r="AI35" i="18"/>
  <c r="V11" i="18"/>
  <c r="W11" i="18" s="1"/>
  <c r="X11" i="18" s="1"/>
  <c r="Z11" i="18" s="1"/>
  <c r="AA11" i="18" s="1"/>
  <c r="AB11" i="18" s="1"/>
  <c r="AI34" i="19"/>
  <c r="V10" i="19"/>
  <c r="W10" i="19" s="1"/>
  <c r="X10" i="19" s="1"/>
  <c r="Z10" i="19" s="1"/>
  <c r="AA10" i="19" s="1"/>
  <c r="AB10" i="19" s="1"/>
  <c r="AI36" i="18"/>
  <c r="V12" i="18"/>
  <c r="W12" i="18" s="1"/>
  <c r="X12" i="18" s="1"/>
  <c r="Z12" i="18" s="1"/>
  <c r="AA12" i="18" s="1"/>
  <c r="AB12" i="18" s="1"/>
  <c r="AI35" i="19"/>
  <c r="V11" i="19"/>
  <c r="W11" i="19" s="1"/>
  <c r="X11" i="19" s="1"/>
  <c r="Z11" i="19" s="1"/>
  <c r="AA11" i="19" s="1"/>
  <c r="AB11" i="19" s="1"/>
  <c r="AI34" i="20"/>
  <c r="V10" i="20"/>
  <c r="W10" i="20" s="1"/>
  <c r="X10" i="20" s="1"/>
  <c r="Z10" i="20" s="1"/>
  <c r="AA10" i="20" s="1"/>
  <c r="AB10" i="20" s="1"/>
  <c r="AI34" i="18"/>
  <c r="V10" i="18"/>
  <c r="W10" i="18" s="1"/>
  <c r="X10" i="18" s="1"/>
  <c r="Z10" i="18" s="1"/>
  <c r="AA10" i="18" s="1"/>
  <c r="AB10" i="18" s="1"/>
  <c r="AI35" i="20"/>
  <c r="V11" i="20"/>
  <c r="W11" i="20" s="1"/>
  <c r="X11" i="20" s="1"/>
  <c r="Z11" i="20" s="1"/>
  <c r="AA11" i="20" s="1"/>
  <c r="AB11" i="20" s="1"/>
  <c r="AI33" i="19"/>
  <c r="E14" i="19"/>
  <c r="E16" i="19" s="1"/>
  <c r="V9" i="19"/>
  <c r="W9" i="19" s="1"/>
  <c r="X9" i="19" s="1"/>
  <c r="Z9" i="19" s="1"/>
  <c r="AA9" i="19" s="1"/>
  <c r="AB9" i="19" s="1"/>
  <c r="V12" i="19"/>
  <c r="W12" i="19" s="1"/>
  <c r="X12" i="19" s="1"/>
  <c r="Z12" i="19" s="1"/>
  <c r="AA12" i="19" s="1"/>
  <c r="AB12" i="19" s="1"/>
  <c r="AI36" i="19"/>
  <c r="AI33" i="20"/>
  <c r="E14" i="20"/>
  <c r="E16" i="20" s="1"/>
  <c r="V9" i="20"/>
  <c r="W9" i="20" s="1"/>
  <c r="X9" i="20" s="1"/>
  <c r="Z9" i="20" s="1"/>
  <c r="AA9" i="20" s="1"/>
  <c r="AB9" i="20" s="1"/>
  <c r="AI33" i="18"/>
  <c r="E14" i="18"/>
  <c r="E16" i="18" s="1"/>
  <c r="V9" i="18"/>
  <c r="W9" i="18" s="1"/>
  <c r="X9" i="18" s="1"/>
  <c r="Z9" i="18" s="1"/>
  <c r="AA9" i="18" s="1"/>
  <c r="AB9" i="18" s="1"/>
  <c r="AI36" i="20"/>
  <c r="V12" i="20"/>
  <c r="W12" i="20" s="1"/>
  <c r="X12" i="20" s="1"/>
  <c r="Z12" i="20" s="1"/>
  <c r="AA12" i="20" s="1"/>
  <c r="AB12" i="20" s="1"/>
  <c r="AE16" i="99" l="1"/>
  <c r="AJ25" i="99" s="1"/>
  <c r="AC16" i="99"/>
  <c r="AE18" i="99"/>
  <c r="AJ27" i="99" s="1"/>
  <c r="AC18" i="99"/>
  <c r="AE15" i="99"/>
  <c r="AJ24" i="99" s="1"/>
  <c r="AC15" i="99"/>
  <c r="AE17" i="99"/>
  <c r="AJ26" i="99" s="1"/>
  <c r="AC17" i="99"/>
  <c r="AE12" i="19"/>
  <c r="AI27" i="19" s="1"/>
  <c r="AC12" i="19"/>
  <c r="AE12" i="18"/>
  <c r="AI27" i="18" s="1"/>
  <c r="AC12" i="18"/>
  <c r="AE9" i="19"/>
  <c r="AI24" i="19" s="1"/>
  <c r="AC9" i="19"/>
  <c r="AE9" i="20"/>
  <c r="AI24" i="20" s="1"/>
  <c r="AC9" i="20"/>
  <c r="AE10" i="20"/>
  <c r="AI25" i="20" s="1"/>
  <c r="AC10" i="20"/>
  <c r="AE10" i="19"/>
  <c r="AI25" i="19" s="1"/>
  <c r="AC10" i="19"/>
  <c r="AE10" i="18"/>
  <c r="AI25" i="18" s="1"/>
  <c r="AC10" i="18"/>
  <c r="AE9" i="18"/>
  <c r="AI24" i="18" s="1"/>
  <c r="AC9" i="18"/>
  <c r="AE12" i="20"/>
  <c r="AI27" i="20" s="1"/>
  <c r="AC12" i="20"/>
  <c r="AE11" i="20"/>
  <c r="AI26" i="20" s="1"/>
  <c r="AC11" i="20"/>
  <c r="AE11" i="19"/>
  <c r="AI26" i="19" s="1"/>
  <c r="AC11" i="19"/>
  <c r="AE11" i="18"/>
  <c r="AI26" i="18" s="1"/>
  <c r="AC11" i="18"/>
  <c r="U23" i="99" l="1"/>
  <c r="AD17" i="99"/>
  <c r="AJ20" i="99" s="1"/>
  <c r="AJ44" i="99"/>
  <c r="AJ42" i="99"/>
  <c r="U21" i="99"/>
  <c r="AD15" i="99"/>
  <c r="AJ18" i="99" s="1"/>
  <c r="U22" i="99"/>
  <c r="AD16" i="99"/>
  <c r="AJ19" i="99" s="1"/>
  <c r="AJ43" i="99"/>
  <c r="AD18" i="99"/>
  <c r="AJ21" i="99" s="1"/>
  <c r="AJ45" i="99"/>
  <c r="U24" i="99"/>
  <c r="AI42" i="20"/>
  <c r="U15" i="20"/>
  <c r="AD9" i="20"/>
  <c r="AI18" i="20" s="1"/>
  <c r="AD11" i="19"/>
  <c r="AI20" i="19" s="1"/>
  <c r="AI44" i="19"/>
  <c r="U17" i="19"/>
  <c r="AD9" i="19"/>
  <c r="AI18" i="19" s="1"/>
  <c r="AI42" i="19"/>
  <c r="U15" i="19"/>
  <c r="AI45" i="20"/>
  <c r="AD12" i="20"/>
  <c r="AI21" i="20" s="1"/>
  <c r="U18" i="20"/>
  <c r="AI43" i="20"/>
  <c r="U16" i="20"/>
  <c r="AD10" i="20"/>
  <c r="AI19" i="20" s="1"/>
  <c r="AI45" i="18"/>
  <c r="AD12" i="18"/>
  <c r="AI21" i="18" s="1"/>
  <c r="U18" i="18"/>
  <c r="AI43" i="19"/>
  <c r="AD10" i="19"/>
  <c r="AI19" i="19" s="1"/>
  <c r="U16" i="19"/>
  <c r="AI44" i="20"/>
  <c r="AD11" i="20"/>
  <c r="AI20" i="20" s="1"/>
  <c r="U17" i="20"/>
  <c r="AI45" i="19"/>
  <c r="AD12" i="19"/>
  <c r="AI21" i="19" s="1"/>
  <c r="U18" i="19"/>
  <c r="U17" i="18"/>
  <c r="AD11" i="18"/>
  <c r="AI20" i="18" s="1"/>
  <c r="AI44" i="18"/>
  <c r="AD9" i="18"/>
  <c r="AI18" i="18" s="1"/>
  <c r="AI42" i="18"/>
  <c r="U15" i="18"/>
  <c r="AI43" i="18"/>
  <c r="U16" i="18"/>
  <c r="AD10" i="18"/>
  <c r="AI19" i="18" s="1"/>
  <c r="AK34" i="99" l="1"/>
  <c r="V22" i="99"/>
  <c r="W22" i="99" s="1"/>
  <c r="X22" i="99" s="1"/>
  <c r="Z22" i="99" s="1"/>
  <c r="AA22" i="99" s="1"/>
  <c r="AB22" i="99" s="1"/>
  <c r="V24" i="99"/>
  <c r="W24" i="99" s="1"/>
  <c r="X24" i="99" s="1"/>
  <c r="Z24" i="99" s="1"/>
  <c r="AA24" i="99" s="1"/>
  <c r="AB24" i="99" s="1"/>
  <c r="AK36" i="99"/>
  <c r="AJ32" i="99"/>
  <c r="AJ41" i="99"/>
  <c r="AJ23" i="99"/>
  <c r="V21" i="99"/>
  <c r="W21" i="99" s="1"/>
  <c r="X21" i="99" s="1"/>
  <c r="Z21" i="99" s="1"/>
  <c r="AA21" i="99" s="1"/>
  <c r="AB21" i="99" s="1"/>
  <c r="AK33" i="99"/>
  <c r="AK35" i="99"/>
  <c r="V23" i="99"/>
  <c r="W23" i="99" s="1"/>
  <c r="X23" i="99" s="1"/>
  <c r="Z23" i="99" s="1"/>
  <c r="AA23" i="99" s="1"/>
  <c r="AB23" i="99" s="1"/>
  <c r="AI23" i="19"/>
  <c r="AI41" i="19"/>
  <c r="AI32" i="19"/>
  <c r="AI23" i="18"/>
  <c r="AI41" i="18"/>
  <c r="AI32" i="18"/>
  <c r="AI41" i="20"/>
  <c r="AI23" i="20"/>
  <c r="AI32" i="20"/>
  <c r="AJ33" i="18"/>
  <c r="V15" i="18"/>
  <c r="W15" i="18" s="1"/>
  <c r="X15" i="18" s="1"/>
  <c r="Z15" i="18" s="1"/>
  <c r="AA15" i="18" s="1"/>
  <c r="AB15" i="18" s="1"/>
  <c r="AJ35" i="18"/>
  <c r="V17" i="18"/>
  <c r="W17" i="18" s="1"/>
  <c r="X17" i="18" s="1"/>
  <c r="Z17" i="18" s="1"/>
  <c r="AA17" i="18" s="1"/>
  <c r="AB17" i="18" s="1"/>
  <c r="AJ36" i="19"/>
  <c r="V18" i="19"/>
  <c r="W18" i="19" s="1"/>
  <c r="X18" i="19" s="1"/>
  <c r="Z18" i="19" s="1"/>
  <c r="AA18" i="19" s="1"/>
  <c r="AB18" i="19" s="1"/>
  <c r="AJ34" i="19"/>
  <c r="V16" i="19"/>
  <c r="W16" i="19" s="1"/>
  <c r="X16" i="19" s="1"/>
  <c r="Z16" i="19" s="1"/>
  <c r="AA16" i="19" s="1"/>
  <c r="AB16" i="19" s="1"/>
  <c r="AJ33" i="19"/>
  <c r="V15" i="19"/>
  <c r="W15" i="19" s="1"/>
  <c r="X15" i="19" s="1"/>
  <c r="Z15" i="19" s="1"/>
  <c r="AA15" i="19" s="1"/>
  <c r="AB15" i="19" s="1"/>
  <c r="AJ34" i="20"/>
  <c r="V16" i="20"/>
  <c r="W16" i="20" s="1"/>
  <c r="X16" i="20" s="1"/>
  <c r="Z16" i="20" s="1"/>
  <c r="AA16" i="20" s="1"/>
  <c r="AB16" i="20" s="1"/>
  <c r="AJ35" i="19"/>
  <c r="V17" i="19"/>
  <c r="W17" i="19" s="1"/>
  <c r="X17" i="19" s="1"/>
  <c r="Z17" i="19" s="1"/>
  <c r="AA17" i="19" s="1"/>
  <c r="AB17" i="19" s="1"/>
  <c r="AJ33" i="20"/>
  <c r="V15" i="20"/>
  <c r="W15" i="20" s="1"/>
  <c r="X15" i="20" s="1"/>
  <c r="Z15" i="20" s="1"/>
  <c r="AA15" i="20" s="1"/>
  <c r="AB15" i="20" s="1"/>
  <c r="AJ35" i="20"/>
  <c r="V17" i="20"/>
  <c r="W17" i="20" s="1"/>
  <c r="X17" i="20" s="1"/>
  <c r="Z17" i="20" s="1"/>
  <c r="AA17" i="20" s="1"/>
  <c r="AB17" i="20" s="1"/>
  <c r="AJ36" i="20"/>
  <c r="V18" i="20"/>
  <c r="W18" i="20" s="1"/>
  <c r="X18" i="20" s="1"/>
  <c r="Z18" i="20" s="1"/>
  <c r="AA18" i="20" s="1"/>
  <c r="AB18" i="20" s="1"/>
  <c r="AJ36" i="18"/>
  <c r="V18" i="18"/>
  <c r="W18" i="18" s="1"/>
  <c r="X18" i="18" s="1"/>
  <c r="Z18" i="18" s="1"/>
  <c r="AA18" i="18" s="1"/>
  <c r="AB18" i="18" s="1"/>
  <c r="AJ34" i="18"/>
  <c r="V16" i="18"/>
  <c r="W16" i="18" s="1"/>
  <c r="X16" i="18" s="1"/>
  <c r="Z16" i="18" s="1"/>
  <c r="AA16" i="18" s="1"/>
  <c r="AB16" i="18" s="1"/>
  <c r="AE21" i="99" l="1"/>
  <c r="AK24" i="99" s="1"/>
  <c r="AC21" i="99"/>
  <c r="AE23" i="99"/>
  <c r="AK26" i="99" s="1"/>
  <c r="AC23" i="99"/>
  <c r="AE24" i="99"/>
  <c r="AK27" i="99" s="1"/>
  <c r="AC24" i="99"/>
  <c r="AE22" i="99"/>
  <c r="AK25" i="99" s="1"/>
  <c r="AC22" i="99"/>
  <c r="AE16" i="20"/>
  <c r="AJ25" i="20" s="1"/>
  <c r="AC16" i="20"/>
  <c r="AE16" i="18"/>
  <c r="AJ25" i="18" s="1"/>
  <c r="AC16" i="18"/>
  <c r="AE17" i="20"/>
  <c r="AJ26" i="20" s="1"/>
  <c r="AC17" i="20"/>
  <c r="AE15" i="20"/>
  <c r="AJ24" i="20" s="1"/>
  <c r="AC15" i="20"/>
  <c r="AE15" i="18"/>
  <c r="AJ24" i="18" s="1"/>
  <c r="AC15" i="18"/>
  <c r="AE18" i="18"/>
  <c r="AJ27" i="18" s="1"/>
  <c r="AC18" i="18"/>
  <c r="AE17" i="19"/>
  <c r="AJ26" i="19" s="1"/>
  <c r="AC17" i="19"/>
  <c r="AE18" i="20"/>
  <c r="AJ27" i="20" s="1"/>
  <c r="AC18" i="20"/>
  <c r="AE15" i="19"/>
  <c r="AJ24" i="19" s="1"/>
  <c r="AC15" i="19"/>
  <c r="AE16" i="19"/>
  <c r="AJ25" i="19" s="1"/>
  <c r="AC16" i="19"/>
  <c r="AE18" i="19"/>
  <c r="AJ27" i="19" s="1"/>
  <c r="AC18" i="19"/>
  <c r="AE17" i="18"/>
  <c r="AJ26" i="18" s="1"/>
  <c r="AC17" i="18"/>
  <c r="AK45" i="99" l="1"/>
  <c r="AD24" i="99"/>
  <c r="AK21" i="99" s="1"/>
  <c r="U30" i="99"/>
  <c r="U28" i="99"/>
  <c r="AD22" i="99"/>
  <c r="AK19" i="99" s="1"/>
  <c r="AK43" i="99"/>
  <c r="AD23" i="99"/>
  <c r="AK20" i="99" s="1"/>
  <c r="AK44" i="99"/>
  <c r="U29" i="99"/>
  <c r="U27" i="99"/>
  <c r="AK42" i="99"/>
  <c r="AD21" i="99"/>
  <c r="AK18" i="99" s="1"/>
  <c r="AJ44" i="18"/>
  <c r="U23" i="18"/>
  <c r="AD17" i="18"/>
  <c r="AJ20" i="18" s="1"/>
  <c r="U21" i="18"/>
  <c r="AD15" i="18"/>
  <c r="AJ18" i="18" s="1"/>
  <c r="AJ42" i="18"/>
  <c r="AJ43" i="19"/>
  <c r="AD16" i="19"/>
  <c r="AJ19" i="19" s="1"/>
  <c r="U22" i="19"/>
  <c r="AJ44" i="19"/>
  <c r="U23" i="19"/>
  <c r="AD17" i="19"/>
  <c r="AJ20" i="19" s="1"/>
  <c r="AD15" i="19"/>
  <c r="AJ18" i="19" s="1"/>
  <c r="AJ42" i="19"/>
  <c r="U21" i="19"/>
  <c r="AD15" i="20"/>
  <c r="AJ18" i="20" s="1"/>
  <c r="AJ42" i="20"/>
  <c r="U21" i="20"/>
  <c r="U22" i="20"/>
  <c r="AD16" i="20"/>
  <c r="AJ19" i="20" s="1"/>
  <c r="AJ43" i="20"/>
  <c r="AJ43" i="18"/>
  <c r="U22" i="18"/>
  <c r="AD16" i="18"/>
  <c r="AJ19" i="18" s="1"/>
  <c r="AJ45" i="18"/>
  <c r="AD18" i="18"/>
  <c r="AJ21" i="18" s="1"/>
  <c r="U24" i="18"/>
  <c r="AJ44" i="20"/>
  <c r="AD17" i="20"/>
  <c r="AJ20" i="20" s="1"/>
  <c r="U23" i="20"/>
  <c r="AJ45" i="19"/>
  <c r="AD18" i="19"/>
  <c r="AJ21" i="19" s="1"/>
  <c r="U24" i="19"/>
  <c r="AJ45" i="20"/>
  <c r="AD18" i="20"/>
  <c r="AJ21" i="20" s="1"/>
  <c r="U24" i="20"/>
  <c r="AK32" i="99" l="1"/>
  <c r="AK41" i="99"/>
  <c r="AK23" i="99"/>
  <c r="V28" i="99"/>
  <c r="W28" i="99" s="1"/>
  <c r="X28" i="99" s="1"/>
  <c r="Z28" i="99" s="1"/>
  <c r="AA28" i="99" s="1"/>
  <c r="AB28" i="99" s="1"/>
  <c r="AL34" i="99"/>
  <c r="V30" i="99"/>
  <c r="W30" i="99" s="1"/>
  <c r="X30" i="99" s="1"/>
  <c r="Z30" i="99" s="1"/>
  <c r="AA30" i="99" s="1"/>
  <c r="AB30" i="99" s="1"/>
  <c r="AL36" i="99"/>
  <c r="V27" i="99"/>
  <c r="W27" i="99" s="1"/>
  <c r="X27" i="99" s="1"/>
  <c r="Z27" i="99" s="1"/>
  <c r="AA27" i="99" s="1"/>
  <c r="AB27" i="99" s="1"/>
  <c r="AL33" i="99"/>
  <c r="AL35" i="99"/>
  <c r="V29" i="99"/>
  <c r="W29" i="99" s="1"/>
  <c r="X29" i="99" s="1"/>
  <c r="Z29" i="99" s="1"/>
  <c r="AA29" i="99" s="1"/>
  <c r="AB29" i="99" s="1"/>
  <c r="AJ23" i="18"/>
  <c r="AJ41" i="18"/>
  <c r="AJ32" i="18"/>
  <c r="AJ23" i="20"/>
  <c r="AJ41" i="20"/>
  <c r="AJ32" i="20"/>
  <c r="AJ23" i="19"/>
  <c r="AJ32" i="19"/>
  <c r="AJ41" i="19"/>
  <c r="AK34" i="19"/>
  <c r="V22" i="19"/>
  <c r="W22" i="19" s="1"/>
  <c r="X22" i="19" s="1"/>
  <c r="Z22" i="19" s="1"/>
  <c r="AA22" i="19" s="1"/>
  <c r="AB22" i="19" s="1"/>
  <c r="AK36" i="18"/>
  <c r="V24" i="18"/>
  <c r="W24" i="18" s="1"/>
  <c r="X24" i="18" s="1"/>
  <c r="Z24" i="18" s="1"/>
  <c r="AA24" i="18" s="1"/>
  <c r="AB24" i="18" s="1"/>
  <c r="AK33" i="19"/>
  <c r="V21" i="19"/>
  <c r="W21" i="19" s="1"/>
  <c r="X21" i="19" s="1"/>
  <c r="Z21" i="19" s="1"/>
  <c r="AA21" i="19" s="1"/>
  <c r="AB21" i="19" s="1"/>
  <c r="AK33" i="18"/>
  <c r="V21" i="18"/>
  <c r="W21" i="18" s="1"/>
  <c r="X21" i="18" s="1"/>
  <c r="Z21" i="18" s="1"/>
  <c r="AA21" i="18" s="1"/>
  <c r="AB21" i="18" s="1"/>
  <c r="AK35" i="19"/>
  <c r="V23" i="19"/>
  <c r="W23" i="19" s="1"/>
  <c r="X23" i="19" s="1"/>
  <c r="Z23" i="19" s="1"/>
  <c r="AA23" i="19" s="1"/>
  <c r="AB23" i="19" s="1"/>
  <c r="AK34" i="20"/>
  <c r="V22" i="20"/>
  <c r="W22" i="20" s="1"/>
  <c r="X22" i="20" s="1"/>
  <c r="Z22" i="20" s="1"/>
  <c r="AA22" i="20" s="1"/>
  <c r="AB22" i="20" s="1"/>
  <c r="AK33" i="20"/>
  <c r="V21" i="20"/>
  <c r="W21" i="20" s="1"/>
  <c r="X21" i="20" s="1"/>
  <c r="Z21" i="20" s="1"/>
  <c r="AA21" i="20" s="1"/>
  <c r="AB21" i="20" s="1"/>
  <c r="AK36" i="19"/>
  <c r="V24" i="19"/>
  <c r="W24" i="19" s="1"/>
  <c r="X24" i="19" s="1"/>
  <c r="Z24" i="19" s="1"/>
  <c r="AA24" i="19" s="1"/>
  <c r="AB24" i="19" s="1"/>
  <c r="AK35" i="18"/>
  <c r="V23" i="18"/>
  <c r="W23" i="18" s="1"/>
  <c r="X23" i="18" s="1"/>
  <c r="Z23" i="18" s="1"/>
  <c r="AA23" i="18" s="1"/>
  <c r="AB23" i="18" s="1"/>
  <c r="AK35" i="20"/>
  <c r="V23" i="20"/>
  <c r="W23" i="20" s="1"/>
  <c r="X23" i="20" s="1"/>
  <c r="Z23" i="20" s="1"/>
  <c r="AA23" i="20" s="1"/>
  <c r="AB23" i="20" s="1"/>
  <c r="AK36" i="20"/>
  <c r="V24" i="20"/>
  <c r="W24" i="20" s="1"/>
  <c r="X24" i="20" s="1"/>
  <c r="Z24" i="20" s="1"/>
  <c r="AA24" i="20" s="1"/>
  <c r="AB24" i="20" s="1"/>
  <c r="AK34" i="18"/>
  <c r="V22" i="18"/>
  <c r="W22" i="18" s="1"/>
  <c r="X22" i="18" s="1"/>
  <c r="Z22" i="18" s="1"/>
  <c r="AA22" i="18" s="1"/>
  <c r="AB22" i="18" s="1"/>
  <c r="AE30" i="99" l="1"/>
  <c r="AL27" i="99" s="1"/>
  <c r="AC30" i="99"/>
  <c r="AE27" i="99"/>
  <c r="AL24" i="99" s="1"/>
  <c r="AC27" i="99"/>
  <c r="AE28" i="99"/>
  <c r="AL25" i="99" s="1"/>
  <c r="AC28" i="99"/>
  <c r="AE29" i="99"/>
  <c r="AL26" i="99" s="1"/>
  <c r="AC29" i="99"/>
  <c r="AE22" i="20"/>
  <c r="AK25" i="20" s="1"/>
  <c r="AC22" i="20"/>
  <c r="AE24" i="20"/>
  <c r="AK27" i="20" s="1"/>
  <c r="AC24" i="20"/>
  <c r="AE23" i="20"/>
  <c r="AK26" i="20" s="1"/>
  <c r="AC23" i="20"/>
  <c r="AE24" i="19"/>
  <c r="AK27" i="19" s="1"/>
  <c r="AC24" i="19"/>
  <c r="AE23" i="19"/>
  <c r="AK26" i="19" s="1"/>
  <c r="AC23" i="19"/>
  <c r="AE22" i="19"/>
  <c r="AK25" i="19" s="1"/>
  <c r="AC22" i="19"/>
  <c r="AE23" i="18"/>
  <c r="AK26" i="18" s="1"/>
  <c r="AC23" i="18"/>
  <c r="AE21" i="18"/>
  <c r="AK24" i="18" s="1"/>
  <c r="AC21" i="18"/>
  <c r="AE24" i="18"/>
  <c r="AK27" i="18" s="1"/>
  <c r="AC24" i="18"/>
  <c r="AE22" i="18"/>
  <c r="AK25" i="18" s="1"/>
  <c r="AC22" i="18"/>
  <c r="AE21" i="20"/>
  <c r="AK24" i="20" s="1"/>
  <c r="AC21" i="20"/>
  <c r="AE21" i="19"/>
  <c r="AK24" i="19" s="1"/>
  <c r="AC21" i="19"/>
  <c r="AD28" i="99" l="1"/>
  <c r="AL19" i="99" s="1"/>
  <c r="U34" i="99"/>
  <c r="AL43" i="99"/>
  <c r="U33" i="99"/>
  <c r="AD27" i="99"/>
  <c r="AL18" i="99" s="1"/>
  <c r="AL42" i="99"/>
  <c r="AD29" i="99"/>
  <c r="AL20" i="99" s="1"/>
  <c r="AL44" i="99"/>
  <c r="U35" i="99"/>
  <c r="AD30" i="99"/>
  <c r="AL21" i="99" s="1"/>
  <c r="U36" i="99"/>
  <c r="AL45" i="99"/>
  <c r="AK42" i="18"/>
  <c r="AD21" i="18"/>
  <c r="AK18" i="18" s="1"/>
  <c r="U27" i="18"/>
  <c r="AK43" i="18"/>
  <c r="AD22" i="18"/>
  <c r="AK19" i="18" s="1"/>
  <c r="U28" i="18"/>
  <c r="AK44" i="20"/>
  <c r="AD23" i="20"/>
  <c r="AK20" i="20" s="1"/>
  <c r="U29" i="20"/>
  <c r="AK45" i="20"/>
  <c r="U30" i="20"/>
  <c r="AD24" i="20"/>
  <c r="AK21" i="20" s="1"/>
  <c r="AK45" i="19"/>
  <c r="AD24" i="19"/>
  <c r="AK21" i="19" s="1"/>
  <c r="U30" i="19"/>
  <c r="AK42" i="19"/>
  <c r="U27" i="19"/>
  <c r="AD21" i="19"/>
  <c r="AK18" i="19" s="1"/>
  <c r="AK44" i="18"/>
  <c r="AD23" i="18"/>
  <c r="AK20" i="18" s="1"/>
  <c r="U29" i="18"/>
  <c r="U30" i="18"/>
  <c r="AD24" i="18"/>
  <c r="AK21" i="18" s="1"/>
  <c r="AK45" i="18"/>
  <c r="AK43" i="19"/>
  <c r="AD22" i="19"/>
  <c r="AK19" i="19" s="1"/>
  <c r="U28" i="19"/>
  <c r="AK42" i="20"/>
  <c r="AD21" i="20"/>
  <c r="AK18" i="20" s="1"/>
  <c r="U27" i="20"/>
  <c r="AK44" i="19"/>
  <c r="U29" i="19"/>
  <c r="AD23" i="19"/>
  <c r="AK20" i="19" s="1"/>
  <c r="AK43" i="20"/>
  <c r="AD22" i="20"/>
  <c r="AK19" i="20" s="1"/>
  <c r="U28" i="20"/>
  <c r="AL41" i="99" l="1"/>
  <c r="AL23" i="99"/>
  <c r="AL32" i="99"/>
  <c r="AM33" i="99"/>
  <c r="V33" i="99"/>
  <c r="W33" i="99" s="1"/>
  <c r="X33" i="99" s="1"/>
  <c r="Z33" i="99" s="1"/>
  <c r="AA33" i="99" s="1"/>
  <c r="AB33" i="99" s="1"/>
  <c r="V36" i="99"/>
  <c r="W36" i="99" s="1"/>
  <c r="X36" i="99" s="1"/>
  <c r="Z36" i="99" s="1"/>
  <c r="AA36" i="99" s="1"/>
  <c r="AB36" i="99" s="1"/>
  <c r="AM36" i="99"/>
  <c r="V34" i="99"/>
  <c r="W34" i="99" s="1"/>
  <c r="X34" i="99" s="1"/>
  <c r="Z34" i="99" s="1"/>
  <c r="AA34" i="99" s="1"/>
  <c r="AB34" i="99" s="1"/>
  <c r="AM34" i="99"/>
  <c r="AM35" i="99"/>
  <c r="V35" i="99"/>
  <c r="W35" i="99" s="1"/>
  <c r="X35" i="99" s="1"/>
  <c r="Z35" i="99" s="1"/>
  <c r="AA35" i="99" s="1"/>
  <c r="AB35" i="99" s="1"/>
  <c r="AK32" i="20"/>
  <c r="AK23" i="20"/>
  <c r="AK41" i="20"/>
  <c r="AK32" i="18"/>
  <c r="AK23" i="18"/>
  <c r="AK41" i="18"/>
  <c r="AK41" i="19"/>
  <c r="AK32" i="19"/>
  <c r="AK23" i="19"/>
  <c r="AL34" i="20"/>
  <c r="V28" i="20"/>
  <c r="W28" i="20" s="1"/>
  <c r="X28" i="20" s="1"/>
  <c r="Z28" i="20" s="1"/>
  <c r="AA28" i="20" s="1"/>
  <c r="AB28" i="20" s="1"/>
  <c r="AL35" i="18"/>
  <c r="V29" i="18"/>
  <c r="W29" i="18" s="1"/>
  <c r="X29" i="18" s="1"/>
  <c r="Z29" i="18" s="1"/>
  <c r="AA29" i="18" s="1"/>
  <c r="AB29" i="18" s="1"/>
  <c r="AL34" i="18"/>
  <c r="V28" i="18"/>
  <c r="W28" i="18" s="1"/>
  <c r="X28" i="18" s="1"/>
  <c r="Z28" i="18" s="1"/>
  <c r="AA28" i="18" s="1"/>
  <c r="AB28" i="18" s="1"/>
  <c r="V29" i="19"/>
  <c r="W29" i="19" s="1"/>
  <c r="X29" i="19" s="1"/>
  <c r="Z29" i="19" s="1"/>
  <c r="AA29" i="19" s="1"/>
  <c r="AB29" i="19" s="1"/>
  <c r="AL35" i="19"/>
  <c r="V27" i="19"/>
  <c r="W27" i="19" s="1"/>
  <c r="X27" i="19" s="1"/>
  <c r="Z27" i="19" s="1"/>
  <c r="AA27" i="19" s="1"/>
  <c r="AB27" i="19" s="1"/>
  <c r="AL33" i="19"/>
  <c r="V27" i="18"/>
  <c r="W27" i="18" s="1"/>
  <c r="X27" i="18" s="1"/>
  <c r="Z27" i="18" s="1"/>
  <c r="AA27" i="18" s="1"/>
  <c r="AB27" i="18" s="1"/>
  <c r="AL33" i="18"/>
  <c r="V27" i="20"/>
  <c r="W27" i="20" s="1"/>
  <c r="X27" i="20" s="1"/>
  <c r="Z27" i="20" s="1"/>
  <c r="AA27" i="20" s="1"/>
  <c r="AB27" i="20" s="1"/>
  <c r="AL33" i="20"/>
  <c r="AL36" i="18"/>
  <c r="V30" i="18"/>
  <c r="W30" i="18" s="1"/>
  <c r="X30" i="18" s="1"/>
  <c r="Z30" i="18" s="1"/>
  <c r="AA30" i="18" s="1"/>
  <c r="AB30" i="18" s="1"/>
  <c r="AL36" i="19"/>
  <c r="V30" i="19"/>
  <c r="W30" i="19" s="1"/>
  <c r="X30" i="19" s="1"/>
  <c r="Z30" i="19" s="1"/>
  <c r="AA30" i="19" s="1"/>
  <c r="AB30" i="19" s="1"/>
  <c r="V28" i="19"/>
  <c r="W28" i="19" s="1"/>
  <c r="X28" i="19" s="1"/>
  <c r="Z28" i="19" s="1"/>
  <c r="AA28" i="19" s="1"/>
  <c r="AB28" i="19" s="1"/>
  <c r="AL34" i="19"/>
  <c r="AL36" i="20"/>
  <c r="V30" i="20"/>
  <c r="W30" i="20" s="1"/>
  <c r="X30" i="20" s="1"/>
  <c r="Z30" i="20" s="1"/>
  <c r="AA30" i="20" s="1"/>
  <c r="AB30" i="20" s="1"/>
  <c r="AL35" i="20"/>
  <c r="V29" i="20"/>
  <c r="W29" i="20" s="1"/>
  <c r="X29" i="20" s="1"/>
  <c r="Z29" i="20" s="1"/>
  <c r="AA29" i="20" s="1"/>
  <c r="AB29" i="20" s="1"/>
  <c r="AE36" i="99" l="1"/>
  <c r="AM27" i="99" s="1"/>
  <c r="AC36" i="99"/>
  <c r="AE33" i="99"/>
  <c r="AM24" i="99" s="1"/>
  <c r="AC33" i="99"/>
  <c r="AE34" i="99"/>
  <c r="AM25" i="99" s="1"/>
  <c r="AC34" i="99"/>
  <c r="AE35" i="99"/>
  <c r="AM26" i="99" s="1"/>
  <c r="AC35" i="99"/>
  <c r="AE28" i="19"/>
  <c r="AL25" i="19" s="1"/>
  <c r="AC28" i="19"/>
  <c r="AE28" i="18"/>
  <c r="AL25" i="18" s="1"/>
  <c r="AC28" i="18"/>
  <c r="AE30" i="18"/>
  <c r="AL27" i="18" s="1"/>
  <c r="AC30" i="18"/>
  <c r="AE27" i="19"/>
  <c r="AL24" i="19" s="1"/>
  <c r="AC27" i="19"/>
  <c r="AE28" i="20"/>
  <c r="AL25" i="20" s="1"/>
  <c r="AC28" i="20"/>
  <c r="AE29" i="20"/>
  <c r="AL26" i="20" s="1"/>
  <c r="AC29" i="20"/>
  <c r="AE30" i="19"/>
  <c r="AL27" i="19" s="1"/>
  <c r="AC30" i="19"/>
  <c r="AE27" i="18"/>
  <c r="AL24" i="18" s="1"/>
  <c r="AC27" i="18"/>
  <c r="AE29" i="18"/>
  <c r="AL26" i="18" s="1"/>
  <c r="AC29" i="18"/>
  <c r="AE30" i="20"/>
  <c r="AL27" i="20" s="1"/>
  <c r="AC30" i="20"/>
  <c r="AE27" i="20"/>
  <c r="AL24" i="20" s="1"/>
  <c r="AC27" i="20"/>
  <c r="AE29" i="19"/>
  <c r="AL26" i="19" s="1"/>
  <c r="AC29" i="19"/>
  <c r="U41" i="99" l="1"/>
  <c r="V41" i="99" s="1"/>
  <c r="W41" i="99" s="1"/>
  <c r="X41" i="99" s="1"/>
  <c r="Z41" i="99" s="1"/>
  <c r="AA41" i="99" s="1"/>
  <c r="AB41" i="99" s="1"/>
  <c r="AM44" i="99"/>
  <c r="AD35" i="99"/>
  <c r="AM20" i="99" s="1"/>
  <c r="AM43" i="99"/>
  <c r="AD34" i="99"/>
  <c r="AM19" i="99" s="1"/>
  <c r="U40" i="99"/>
  <c r="V40" i="99" s="1"/>
  <c r="W40" i="99" s="1"/>
  <c r="X40" i="99" s="1"/>
  <c r="Z40" i="99" s="1"/>
  <c r="AA40" i="99" s="1"/>
  <c r="AB40" i="99" s="1"/>
  <c r="U39" i="99"/>
  <c r="V39" i="99" s="1"/>
  <c r="W39" i="99" s="1"/>
  <c r="X39" i="99" s="1"/>
  <c r="Z39" i="99" s="1"/>
  <c r="AA39" i="99" s="1"/>
  <c r="AB39" i="99" s="1"/>
  <c r="AD33" i="99"/>
  <c r="AM18" i="99" s="1"/>
  <c r="AM42" i="99"/>
  <c r="U42" i="99"/>
  <c r="V42" i="99" s="1"/>
  <c r="W42" i="99" s="1"/>
  <c r="X42" i="99" s="1"/>
  <c r="Z42" i="99" s="1"/>
  <c r="AA42" i="99" s="1"/>
  <c r="AB42" i="99" s="1"/>
  <c r="AD36" i="99"/>
  <c r="AM21" i="99" s="1"/>
  <c r="AM45" i="99"/>
  <c r="AL45" i="20"/>
  <c r="AD30" i="20"/>
  <c r="AL21" i="20" s="1"/>
  <c r="U36" i="20"/>
  <c r="AD30" i="19"/>
  <c r="AL21" i="19" s="1"/>
  <c r="AL45" i="19"/>
  <c r="U36" i="19"/>
  <c r="AL43" i="18"/>
  <c r="AD28" i="18"/>
  <c r="AL19" i="18" s="1"/>
  <c r="U34" i="18"/>
  <c r="AD28" i="20"/>
  <c r="AL19" i="20" s="1"/>
  <c r="AL43" i="20"/>
  <c r="U34" i="20"/>
  <c r="AL44" i="19"/>
  <c r="AD29" i="19"/>
  <c r="AL20" i="19" s="1"/>
  <c r="U35" i="19"/>
  <c r="AL44" i="20"/>
  <c r="U35" i="20"/>
  <c r="AD29" i="20"/>
  <c r="AL20" i="20" s="1"/>
  <c r="AL44" i="18"/>
  <c r="U35" i="18"/>
  <c r="AD29" i="18"/>
  <c r="AL20" i="18" s="1"/>
  <c r="AL42" i="19"/>
  <c r="AD27" i="19"/>
  <c r="AL18" i="19" s="1"/>
  <c r="U33" i="19"/>
  <c r="AL42" i="20"/>
  <c r="AD27" i="20"/>
  <c r="AL18" i="20" s="1"/>
  <c r="U33" i="20"/>
  <c r="AL43" i="19"/>
  <c r="AD28" i="19"/>
  <c r="AL19" i="19" s="1"/>
  <c r="U34" i="19"/>
  <c r="AD27" i="18"/>
  <c r="AL18" i="18" s="1"/>
  <c r="U33" i="18"/>
  <c r="AL42" i="18"/>
  <c r="AL45" i="18"/>
  <c r="AD30" i="18"/>
  <c r="AL21" i="18" s="1"/>
  <c r="U36" i="18"/>
  <c r="AE40" i="99" l="1"/>
  <c r="AC40" i="99"/>
  <c r="AE39" i="99"/>
  <c r="AC39" i="99"/>
  <c r="AM41" i="99"/>
  <c r="AM23" i="99"/>
  <c r="AM32" i="99"/>
  <c r="AE42" i="99"/>
  <c r="AC42" i="99"/>
  <c r="AE41" i="99"/>
  <c r="AC41" i="99"/>
  <c r="AL41" i="20"/>
  <c r="AL32" i="20"/>
  <c r="AL23" i="20"/>
  <c r="AL41" i="19"/>
  <c r="AL32" i="19"/>
  <c r="AL23" i="19"/>
  <c r="AL32" i="18"/>
  <c r="AL23" i="18"/>
  <c r="AL41" i="18"/>
  <c r="AM33" i="18"/>
  <c r="V33" i="18"/>
  <c r="W33" i="18" s="1"/>
  <c r="X33" i="18" s="1"/>
  <c r="Z33" i="18" s="1"/>
  <c r="AA33" i="18" s="1"/>
  <c r="AB33" i="18" s="1"/>
  <c r="AM33" i="19"/>
  <c r="V33" i="19"/>
  <c r="W33" i="19" s="1"/>
  <c r="X33" i="19" s="1"/>
  <c r="Z33" i="19" s="1"/>
  <c r="AA33" i="19" s="1"/>
  <c r="AB33" i="19" s="1"/>
  <c r="AM35" i="20"/>
  <c r="V35" i="20"/>
  <c r="W35" i="20" s="1"/>
  <c r="X35" i="20" s="1"/>
  <c r="Z35" i="20" s="1"/>
  <c r="AA35" i="20" s="1"/>
  <c r="AB35" i="20" s="1"/>
  <c r="AM35" i="18"/>
  <c r="V35" i="18"/>
  <c r="W35" i="18" s="1"/>
  <c r="X35" i="18" s="1"/>
  <c r="Z35" i="18" s="1"/>
  <c r="AA35" i="18" s="1"/>
  <c r="AB35" i="18" s="1"/>
  <c r="AM36" i="19"/>
  <c r="V36" i="19"/>
  <c r="W36" i="19" s="1"/>
  <c r="X36" i="19" s="1"/>
  <c r="Z36" i="19" s="1"/>
  <c r="AA36" i="19" s="1"/>
  <c r="AB36" i="19" s="1"/>
  <c r="AM36" i="18"/>
  <c r="V36" i="18"/>
  <c r="W36" i="18" s="1"/>
  <c r="X36" i="18" s="1"/>
  <c r="Z36" i="18" s="1"/>
  <c r="AA36" i="18" s="1"/>
  <c r="AB36" i="18" s="1"/>
  <c r="AM34" i="19"/>
  <c r="V34" i="19"/>
  <c r="W34" i="19" s="1"/>
  <c r="X34" i="19" s="1"/>
  <c r="Z34" i="19" s="1"/>
  <c r="AA34" i="19" s="1"/>
  <c r="AB34" i="19" s="1"/>
  <c r="AM34" i="20"/>
  <c r="V34" i="20"/>
  <c r="W34" i="20" s="1"/>
  <c r="X34" i="20" s="1"/>
  <c r="Z34" i="20" s="1"/>
  <c r="AA34" i="20" s="1"/>
  <c r="AB34" i="20" s="1"/>
  <c r="AM36" i="20"/>
  <c r="V36" i="20"/>
  <c r="W36" i="20" s="1"/>
  <c r="X36" i="20" s="1"/>
  <c r="Z36" i="20" s="1"/>
  <c r="AA36" i="20" s="1"/>
  <c r="AB36" i="20" s="1"/>
  <c r="AM33" i="20"/>
  <c r="V33" i="20"/>
  <c r="W33" i="20" s="1"/>
  <c r="X33" i="20" s="1"/>
  <c r="Z33" i="20" s="1"/>
  <c r="AA33" i="20" s="1"/>
  <c r="AB33" i="20" s="1"/>
  <c r="V35" i="19"/>
  <c r="W35" i="19" s="1"/>
  <c r="X35" i="19" s="1"/>
  <c r="Z35" i="19" s="1"/>
  <c r="AA35" i="19" s="1"/>
  <c r="AB35" i="19" s="1"/>
  <c r="AM35" i="19"/>
  <c r="AM34" i="18"/>
  <c r="V34" i="18"/>
  <c r="W34" i="18" s="1"/>
  <c r="X34" i="18" s="1"/>
  <c r="Z34" i="18" s="1"/>
  <c r="AA34" i="18" s="1"/>
  <c r="AB34" i="18" s="1"/>
  <c r="U45" i="99" l="1"/>
  <c r="V45" i="99" s="1"/>
  <c r="W45" i="99" s="1"/>
  <c r="X45" i="99" s="1"/>
  <c r="Z45" i="99" s="1"/>
  <c r="AA45" i="99" s="1"/>
  <c r="AB45" i="99" s="1"/>
  <c r="AD39" i="99"/>
  <c r="U47" i="99"/>
  <c r="V47" i="99" s="1"/>
  <c r="W47" i="99" s="1"/>
  <c r="X47" i="99" s="1"/>
  <c r="Z47" i="99" s="1"/>
  <c r="AA47" i="99" s="1"/>
  <c r="AB47" i="99" s="1"/>
  <c r="AD41" i="99"/>
  <c r="U46" i="99"/>
  <c r="V46" i="99" s="1"/>
  <c r="W46" i="99" s="1"/>
  <c r="X46" i="99" s="1"/>
  <c r="Z46" i="99" s="1"/>
  <c r="AA46" i="99" s="1"/>
  <c r="AB46" i="99" s="1"/>
  <c r="AD40" i="99"/>
  <c r="U48" i="99"/>
  <c r="V48" i="99" s="1"/>
  <c r="W48" i="99" s="1"/>
  <c r="X48" i="99" s="1"/>
  <c r="Z48" i="99" s="1"/>
  <c r="AA48" i="99" s="1"/>
  <c r="AB48" i="99" s="1"/>
  <c r="AD42" i="99"/>
  <c r="AE34" i="18"/>
  <c r="AM25" i="18" s="1"/>
  <c r="AC34" i="18"/>
  <c r="AE36" i="20"/>
  <c r="AM27" i="20" s="1"/>
  <c r="AC36" i="20"/>
  <c r="AE34" i="19"/>
  <c r="AM25" i="19" s="1"/>
  <c r="AC34" i="19"/>
  <c r="AE35" i="20"/>
  <c r="AM26" i="20" s="1"/>
  <c r="AC35" i="20"/>
  <c r="AE36" i="18"/>
  <c r="AM27" i="18" s="1"/>
  <c r="AC36" i="18"/>
  <c r="AE35" i="19"/>
  <c r="AM26" i="19" s="1"/>
  <c r="AC35" i="19"/>
  <c r="AE33" i="20"/>
  <c r="AM24" i="20" s="1"/>
  <c r="AC33" i="20"/>
  <c r="AE36" i="19"/>
  <c r="AM27" i="19" s="1"/>
  <c r="AC36" i="19"/>
  <c r="AE33" i="19"/>
  <c r="AM24" i="19" s="1"/>
  <c r="AC33" i="19"/>
  <c r="AE34" i="20"/>
  <c r="AM25" i="20" s="1"/>
  <c r="AC34" i="20"/>
  <c r="AE35" i="18"/>
  <c r="AM26" i="18" s="1"/>
  <c r="AC35" i="18"/>
  <c r="AE33" i="18"/>
  <c r="AM24" i="18" s="1"/>
  <c r="AC33" i="18"/>
  <c r="AE47" i="99" l="1"/>
  <c r="AN44" i="99"/>
  <c r="AC47" i="99"/>
  <c r="AN42" i="99"/>
  <c r="AE45" i="99"/>
  <c r="AC45" i="99"/>
  <c r="AE48" i="99"/>
  <c r="AN45" i="99"/>
  <c r="AC48" i="99"/>
  <c r="AN43" i="99"/>
  <c r="AE46" i="99"/>
  <c r="AC46" i="99"/>
  <c r="AD34" i="20"/>
  <c r="AM19" i="20" s="1"/>
  <c r="AM43" i="20"/>
  <c r="U40" i="20"/>
  <c r="V40" i="20" s="1"/>
  <c r="W40" i="20" s="1"/>
  <c r="X40" i="20" s="1"/>
  <c r="Z40" i="20" s="1"/>
  <c r="AA40" i="20" s="1"/>
  <c r="AB40" i="20" s="1"/>
  <c r="AM44" i="20"/>
  <c r="U41" i="20"/>
  <c r="V41" i="20" s="1"/>
  <c r="W41" i="20" s="1"/>
  <c r="X41" i="20" s="1"/>
  <c r="Z41" i="20" s="1"/>
  <c r="AA41" i="20" s="1"/>
  <c r="AB41" i="20" s="1"/>
  <c r="AD35" i="20"/>
  <c r="AM20" i="20" s="1"/>
  <c r="AD35" i="19"/>
  <c r="AM20" i="19" s="1"/>
  <c r="AM44" i="19"/>
  <c r="U41" i="19"/>
  <c r="V41" i="19" s="1"/>
  <c r="W41" i="19" s="1"/>
  <c r="X41" i="19" s="1"/>
  <c r="Z41" i="19" s="1"/>
  <c r="AA41" i="19" s="1"/>
  <c r="AB41" i="19" s="1"/>
  <c r="AM42" i="18"/>
  <c r="U39" i="18"/>
  <c r="V39" i="18" s="1"/>
  <c r="W39" i="18" s="1"/>
  <c r="X39" i="18" s="1"/>
  <c r="Z39" i="18" s="1"/>
  <c r="AA39" i="18" s="1"/>
  <c r="AB39" i="18" s="1"/>
  <c r="AD33" i="18"/>
  <c r="AM18" i="18" s="1"/>
  <c r="AD33" i="20"/>
  <c r="AM18" i="20" s="1"/>
  <c r="AM42" i="20"/>
  <c r="U39" i="20"/>
  <c r="V39" i="20" s="1"/>
  <c r="W39" i="20" s="1"/>
  <c r="X39" i="20" s="1"/>
  <c r="Z39" i="20" s="1"/>
  <c r="AA39" i="20" s="1"/>
  <c r="AB39" i="20" s="1"/>
  <c r="AD36" i="20"/>
  <c r="AM21" i="20" s="1"/>
  <c r="U42" i="20"/>
  <c r="V42" i="20" s="1"/>
  <c r="W42" i="20" s="1"/>
  <c r="X42" i="20" s="1"/>
  <c r="Z42" i="20" s="1"/>
  <c r="AA42" i="20" s="1"/>
  <c r="AB42" i="20" s="1"/>
  <c r="AM45" i="20"/>
  <c r="AM42" i="19"/>
  <c r="U39" i="19"/>
  <c r="V39" i="19" s="1"/>
  <c r="W39" i="19" s="1"/>
  <c r="X39" i="19" s="1"/>
  <c r="Z39" i="19" s="1"/>
  <c r="AA39" i="19" s="1"/>
  <c r="AB39" i="19" s="1"/>
  <c r="AD33" i="19"/>
  <c r="AM18" i="19" s="1"/>
  <c r="AM45" i="18"/>
  <c r="AD36" i="18"/>
  <c r="AM21" i="18" s="1"/>
  <c r="U42" i="18"/>
  <c r="V42" i="18" s="1"/>
  <c r="W42" i="18" s="1"/>
  <c r="X42" i="18" s="1"/>
  <c r="Z42" i="18" s="1"/>
  <c r="AA42" i="18" s="1"/>
  <c r="AB42" i="18" s="1"/>
  <c r="AD34" i="19"/>
  <c r="AM19" i="19" s="1"/>
  <c r="AM43" i="19"/>
  <c r="U40" i="19"/>
  <c r="V40" i="19" s="1"/>
  <c r="W40" i="19" s="1"/>
  <c r="X40" i="19" s="1"/>
  <c r="Z40" i="19" s="1"/>
  <c r="AA40" i="19" s="1"/>
  <c r="AB40" i="19" s="1"/>
  <c r="U41" i="18"/>
  <c r="V41" i="18" s="1"/>
  <c r="W41" i="18" s="1"/>
  <c r="X41" i="18" s="1"/>
  <c r="Z41" i="18" s="1"/>
  <c r="AA41" i="18" s="1"/>
  <c r="AB41" i="18" s="1"/>
  <c r="AM44" i="18"/>
  <c r="AD35" i="18"/>
  <c r="AM20" i="18" s="1"/>
  <c r="AM43" i="18"/>
  <c r="AD34" i="18"/>
  <c r="AM19" i="18" s="1"/>
  <c r="U40" i="18"/>
  <c r="V40" i="18" s="1"/>
  <c r="W40" i="18" s="1"/>
  <c r="X40" i="18" s="1"/>
  <c r="Z40" i="18" s="1"/>
  <c r="AA40" i="18" s="1"/>
  <c r="AB40" i="18" s="1"/>
  <c r="U42" i="19"/>
  <c r="V42" i="19" s="1"/>
  <c r="W42" i="19" s="1"/>
  <c r="X42" i="19" s="1"/>
  <c r="Z42" i="19" s="1"/>
  <c r="AA42" i="19" s="1"/>
  <c r="AB42" i="19" s="1"/>
  <c r="AM45" i="19"/>
  <c r="AD36" i="19"/>
  <c r="AM21" i="19" s="1"/>
  <c r="AD45" i="99" l="1"/>
  <c r="AN24" i="99" s="1"/>
  <c r="AN18" i="99"/>
  <c r="U51" i="99"/>
  <c r="V51" i="99" s="1"/>
  <c r="W51" i="99" s="1"/>
  <c r="X51" i="99" s="1"/>
  <c r="Z51" i="99" s="1"/>
  <c r="AA51" i="99" s="1"/>
  <c r="AB51" i="99" s="1"/>
  <c r="U52" i="99"/>
  <c r="V52" i="99" s="1"/>
  <c r="W52" i="99" s="1"/>
  <c r="X52" i="99" s="1"/>
  <c r="Z52" i="99" s="1"/>
  <c r="AA52" i="99" s="1"/>
  <c r="AB52" i="99" s="1"/>
  <c r="AN19" i="99"/>
  <c r="AD46" i="99"/>
  <c r="AN25" i="99" s="1"/>
  <c r="U53" i="99"/>
  <c r="V53" i="99" s="1"/>
  <c r="W53" i="99" s="1"/>
  <c r="X53" i="99" s="1"/>
  <c r="Z53" i="99" s="1"/>
  <c r="AA53" i="99" s="1"/>
  <c r="AB53" i="99" s="1"/>
  <c r="AD47" i="99"/>
  <c r="AN26" i="99" s="1"/>
  <c r="AN20" i="99"/>
  <c r="AN21" i="99"/>
  <c r="U54" i="99"/>
  <c r="V54" i="99" s="1"/>
  <c r="W54" i="99" s="1"/>
  <c r="X54" i="99" s="1"/>
  <c r="Z54" i="99" s="1"/>
  <c r="AA54" i="99" s="1"/>
  <c r="AB54" i="99" s="1"/>
  <c r="AD48" i="99"/>
  <c r="AN27" i="99" s="1"/>
  <c r="AM23" i="20"/>
  <c r="AM41" i="20"/>
  <c r="AM32" i="20"/>
  <c r="AM32" i="19"/>
  <c r="AM41" i="19"/>
  <c r="AM23" i="19"/>
  <c r="AM32" i="18"/>
  <c r="AM23" i="18"/>
  <c r="AM41" i="18"/>
  <c r="AE39" i="19"/>
  <c r="AC39" i="19"/>
  <c r="AE40" i="19"/>
  <c r="AC40" i="19"/>
  <c r="AE40" i="20"/>
  <c r="AC40" i="20"/>
  <c r="AE39" i="20"/>
  <c r="AC39" i="20"/>
  <c r="AE42" i="19"/>
  <c r="AC42" i="19"/>
  <c r="AE39" i="18"/>
  <c r="AC39" i="18"/>
  <c r="AE40" i="18"/>
  <c r="AC40" i="18"/>
  <c r="AE41" i="18"/>
  <c r="AC41" i="18"/>
  <c r="AE41" i="20"/>
  <c r="AC41" i="20"/>
  <c r="AE42" i="20"/>
  <c r="AC42" i="20"/>
  <c r="AE42" i="18"/>
  <c r="AC42" i="18"/>
  <c r="AE41" i="19"/>
  <c r="AC41" i="19"/>
  <c r="AE53" i="99" l="1"/>
  <c r="AO44" i="99"/>
  <c r="AC53" i="99"/>
  <c r="AO43" i="99"/>
  <c r="AE52" i="99"/>
  <c r="AC52" i="99"/>
  <c r="AO42" i="99"/>
  <c r="AE51" i="99"/>
  <c r="AC51" i="99"/>
  <c r="AE54" i="99"/>
  <c r="AO45" i="99"/>
  <c r="AC54" i="99"/>
  <c r="AN32" i="99"/>
  <c r="AN41" i="99"/>
  <c r="AN23" i="99"/>
  <c r="AD41" i="20"/>
  <c r="U47" i="20"/>
  <c r="V47" i="20" s="1"/>
  <c r="W47" i="20" s="1"/>
  <c r="X47" i="20" s="1"/>
  <c r="Z47" i="20" s="1"/>
  <c r="AA47" i="20" s="1"/>
  <c r="AB47" i="20" s="1"/>
  <c r="AD42" i="19"/>
  <c r="U48" i="19"/>
  <c r="V48" i="19" s="1"/>
  <c r="W48" i="19" s="1"/>
  <c r="X48" i="19" s="1"/>
  <c r="Z48" i="19" s="1"/>
  <c r="AA48" i="19" s="1"/>
  <c r="AB48" i="19" s="1"/>
  <c r="AD41" i="19"/>
  <c r="U47" i="19"/>
  <c r="V47" i="19" s="1"/>
  <c r="W47" i="19" s="1"/>
  <c r="X47" i="19" s="1"/>
  <c r="Z47" i="19" s="1"/>
  <c r="AA47" i="19" s="1"/>
  <c r="AB47" i="19" s="1"/>
  <c r="AD40" i="18"/>
  <c r="U46" i="18"/>
  <c r="V46" i="18" s="1"/>
  <c r="W46" i="18" s="1"/>
  <c r="X46" i="18" s="1"/>
  <c r="Z46" i="18" s="1"/>
  <c r="AA46" i="18" s="1"/>
  <c r="AB46" i="18" s="1"/>
  <c r="AD39" i="20"/>
  <c r="U45" i="20"/>
  <c r="V45" i="20" s="1"/>
  <c r="W45" i="20" s="1"/>
  <c r="X45" i="20" s="1"/>
  <c r="Z45" i="20" s="1"/>
  <c r="AA45" i="20" s="1"/>
  <c r="AB45" i="20" s="1"/>
  <c r="U48" i="20"/>
  <c r="V48" i="20" s="1"/>
  <c r="W48" i="20" s="1"/>
  <c r="X48" i="20" s="1"/>
  <c r="Z48" i="20" s="1"/>
  <c r="AA48" i="20" s="1"/>
  <c r="AB48" i="20" s="1"/>
  <c r="AD42" i="20"/>
  <c r="U46" i="19"/>
  <c r="V46" i="19" s="1"/>
  <c r="W46" i="19" s="1"/>
  <c r="X46" i="19" s="1"/>
  <c r="Z46" i="19" s="1"/>
  <c r="AA46" i="19" s="1"/>
  <c r="AB46" i="19" s="1"/>
  <c r="AD40" i="19"/>
  <c r="AD41" i="18"/>
  <c r="U47" i="18"/>
  <c r="V47" i="18" s="1"/>
  <c r="W47" i="18" s="1"/>
  <c r="X47" i="18" s="1"/>
  <c r="Z47" i="18" s="1"/>
  <c r="AA47" i="18" s="1"/>
  <c r="AB47" i="18" s="1"/>
  <c r="AD42" i="18"/>
  <c r="U48" i="18"/>
  <c r="V48" i="18" s="1"/>
  <c r="W48" i="18" s="1"/>
  <c r="X48" i="18" s="1"/>
  <c r="Z48" i="18" s="1"/>
  <c r="AA48" i="18" s="1"/>
  <c r="AB48" i="18" s="1"/>
  <c r="AD39" i="18"/>
  <c r="U45" i="18"/>
  <c r="V45" i="18" s="1"/>
  <c r="W45" i="18" s="1"/>
  <c r="X45" i="18" s="1"/>
  <c r="Z45" i="18" s="1"/>
  <c r="AA45" i="18" s="1"/>
  <c r="AB45" i="18" s="1"/>
  <c r="AD39" i="19"/>
  <c r="U45" i="19"/>
  <c r="V45" i="19" s="1"/>
  <c r="W45" i="19" s="1"/>
  <c r="X45" i="19" s="1"/>
  <c r="Z45" i="19" s="1"/>
  <c r="AA45" i="19" s="1"/>
  <c r="AB45" i="19" s="1"/>
  <c r="AD40" i="20"/>
  <c r="U46" i="20"/>
  <c r="V46" i="20" s="1"/>
  <c r="W46" i="20" s="1"/>
  <c r="X46" i="20" s="1"/>
  <c r="Z46" i="20" s="1"/>
  <c r="AA46" i="20" s="1"/>
  <c r="AB46" i="20" s="1"/>
  <c r="U60" i="99" l="1"/>
  <c r="V60" i="99" s="1"/>
  <c r="W60" i="99" s="1"/>
  <c r="X60" i="99" s="1"/>
  <c r="Z60" i="99" s="1"/>
  <c r="AA60" i="99" s="1"/>
  <c r="AB60" i="99" s="1"/>
  <c r="AD54" i="99"/>
  <c r="AO27" i="99" s="1"/>
  <c r="AO21" i="99"/>
  <c r="U59" i="99"/>
  <c r="V59" i="99" s="1"/>
  <c r="W59" i="99" s="1"/>
  <c r="X59" i="99" s="1"/>
  <c r="Z59" i="99" s="1"/>
  <c r="AA59" i="99" s="1"/>
  <c r="AB59" i="99" s="1"/>
  <c r="AD53" i="99"/>
  <c r="AO26" i="99" s="1"/>
  <c r="AO20" i="99"/>
  <c r="AO19" i="99"/>
  <c r="AD52" i="99"/>
  <c r="AO25" i="99" s="1"/>
  <c r="U58" i="99"/>
  <c r="V58" i="99" s="1"/>
  <c r="W58" i="99" s="1"/>
  <c r="X58" i="99" s="1"/>
  <c r="Z58" i="99" s="1"/>
  <c r="AA58" i="99" s="1"/>
  <c r="AB58" i="99" s="1"/>
  <c r="AO18" i="99"/>
  <c r="AD51" i="99"/>
  <c r="AO24" i="99" s="1"/>
  <c r="U57" i="99"/>
  <c r="V57" i="99" s="1"/>
  <c r="W57" i="99" s="1"/>
  <c r="X57" i="99" s="1"/>
  <c r="Z57" i="99" s="1"/>
  <c r="AA57" i="99" s="1"/>
  <c r="AB57" i="99" s="1"/>
  <c r="AN42" i="18"/>
  <c r="AE45" i="18"/>
  <c r="AC45" i="18"/>
  <c r="AE46" i="19"/>
  <c r="AN43" i="19"/>
  <c r="AC46" i="19"/>
  <c r="AN43" i="20"/>
  <c r="AE46" i="20"/>
  <c r="AC46" i="20"/>
  <c r="AE45" i="20"/>
  <c r="AN42" i="20"/>
  <c r="AC45" i="20"/>
  <c r="AE47" i="20"/>
  <c r="AN44" i="20"/>
  <c r="AC47" i="20"/>
  <c r="AN44" i="19"/>
  <c r="AE47" i="19"/>
  <c r="AC47" i="19"/>
  <c r="AE48" i="20"/>
  <c r="AN45" i="20"/>
  <c r="AC48" i="20"/>
  <c r="AE48" i="19"/>
  <c r="AN45" i="19"/>
  <c r="AC48" i="19"/>
  <c r="AE48" i="18"/>
  <c r="AN45" i="18"/>
  <c r="AC48" i="18"/>
  <c r="AE45" i="19"/>
  <c r="AN42" i="19"/>
  <c r="AC45" i="19"/>
  <c r="AN44" i="18"/>
  <c r="AE47" i="18"/>
  <c r="AC47" i="18"/>
  <c r="AE46" i="18"/>
  <c r="AN43" i="18"/>
  <c r="AC46" i="18"/>
  <c r="AO32" i="99" l="1"/>
  <c r="AO41" i="99"/>
  <c r="AO23" i="99"/>
  <c r="AP42" i="99"/>
  <c r="AE57" i="99"/>
  <c r="AC57" i="99"/>
  <c r="AE59" i="99"/>
  <c r="AP44" i="99"/>
  <c r="AC59" i="99"/>
  <c r="AP43" i="99"/>
  <c r="AE58" i="99"/>
  <c r="AC58" i="99"/>
  <c r="AE60" i="99"/>
  <c r="AP45" i="99"/>
  <c r="AC60" i="99"/>
  <c r="AD46" i="18"/>
  <c r="AN25" i="18" s="1"/>
  <c r="AN19" i="18"/>
  <c r="U52" i="18"/>
  <c r="V52" i="18" s="1"/>
  <c r="W52" i="18" s="1"/>
  <c r="X52" i="18" s="1"/>
  <c r="Z52" i="18" s="1"/>
  <c r="AA52" i="18" s="1"/>
  <c r="AB52" i="18" s="1"/>
  <c r="AN19" i="19"/>
  <c r="AD46" i="19"/>
  <c r="AN25" i="19" s="1"/>
  <c r="U52" i="19"/>
  <c r="V52" i="19" s="1"/>
  <c r="W52" i="19" s="1"/>
  <c r="X52" i="19" s="1"/>
  <c r="Z52" i="19" s="1"/>
  <c r="AA52" i="19" s="1"/>
  <c r="AB52" i="19" s="1"/>
  <c r="AN18" i="19"/>
  <c r="AD45" i="19"/>
  <c r="AN24" i="19" s="1"/>
  <c r="U51" i="19"/>
  <c r="V51" i="19" s="1"/>
  <c r="W51" i="19" s="1"/>
  <c r="X51" i="19" s="1"/>
  <c r="Z51" i="19" s="1"/>
  <c r="AA51" i="19" s="1"/>
  <c r="AB51" i="19" s="1"/>
  <c r="AN20" i="20"/>
  <c r="AD47" i="20"/>
  <c r="AN26" i="20" s="1"/>
  <c r="U53" i="20"/>
  <c r="V53" i="20" s="1"/>
  <c r="W53" i="20" s="1"/>
  <c r="X53" i="20" s="1"/>
  <c r="Z53" i="20" s="1"/>
  <c r="AA53" i="20" s="1"/>
  <c r="AB53" i="20" s="1"/>
  <c r="AN21" i="20"/>
  <c r="U54" i="20"/>
  <c r="V54" i="20" s="1"/>
  <c r="W54" i="20" s="1"/>
  <c r="X54" i="20" s="1"/>
  <c r="Z54" i="20" s="1"/>
  <c r="AA54" i="20" s="1"/>
  <c r="AB54" i="20" s="1"/>
  <c r="AD48" i="20"/>
  <c r="AN27" i="20" s="1"/>
  <c r="AN20" i="18"/>
  <c r="AD47" i="18"/>
  <c r="AN26" i="18" s="1"/>
  <c r="U53" i="18"/>
  <c r="V53" i="18" s="1"/>
  <c r="W53" i="18" s="1"/>
  <c r="X53" i="18" s="1"/>
  <c r="Z53" i="18" s="1"/>
  <c r="AA53" i="18" s="1"/>
  <c r="AB53" i="18" s="1"/>
  <c r="AN21" i="18"/>
  <c r="AD48" i="18"/>
  <c r="AN27" i="18" s="1"/>
  <c r="U54" i="18"/>
  <c r="V54" i="18" s="1"/>
  <c r="W54" i="18" s="1"/>
  <c r="X54" i="18" s="1"/>
  <c r="Z54" i="18" s="1"/>
  <c r="AA54" i="18" s="1"/>
  <c r="AB54" i="18" s="1"/>
  <c r="AN18" i="20"/>
  <c r="AD45" i="20"/>
  <c r="AN24" i="20" s="1"/>
  <c r="U51" i="20"/>
  <c r="V51" i="20" s="1"/>
  <c r="W51" i="20" s="1"/>
  <c r="X51" i="20" s="1"/>
  <c r="Z51" i="20" s="1"/>
  <c r="AA51" i="20" s="1"/>
  <c r="AB51" i="20" s="1"/>
  <c r="AN18" i="18"/>
  <c r="AD45" i="18"/>
  <c r="AN24" i="18" s="1"/>
  <c r="U51" i="18"/>
  <c r="V51" i="18" s="1"/>
  <c r="W51" i="18" s="1"/>
  <c r="X51" i="18" s="1"/>
  <c r="Z51" i="18" s="1"/>
  <c r="AA51" i="18" s="1"/>
  <c r="AB51" i="18" s="1"/>
  <c r="AN20" i="19"/>
  <c r="AD47" i="19"/>
  <c r="AN26" i="19" s="1"/>
  <c r="U53" i="19"/>
  <c r="V53" i="19" s="1"/>
  <c r="W53" i="19" s="1"/>
  <c r="X53" i="19" s="1"/>
  <c r="Z53" i="19" s="1"/>
  <c r="AA53" i="19" s="1"/>
  <c r="AB53" i="19" s="1"/>
  <c r="AN21" i="19"/>
  <c r="AD48" i="19"/>
  <c r="AN27" i="19" s="1"/>
  <c r="U54" i="19"/>
  <c r="V54" i="19" s="1"/>
  <c r="W54" i="19" s="1"/>
  <c r="X54" i="19" s="1"/>
  <c r="Z54" i="19" s="1"/>
  <c r="AA54" i="19" s="1"/>
  <c r="AB54" i="19" s="1"/>
  <c r="AN19" i="20"/>
  <c r="AD46" i="20"/>
  <c r="AN25" i="20" s="1"/>
  <c r="U52" i="20"/>
  <c r="V52" i="20" s="1"/>
  <c r="W52" i="20" s="1"/>
  <c r="X52" i="20" s="1"/>
  <c r="Z52" i="20" s="1"/>
  <c r="AA52" i="20" s="1"/>
  <c r="AB52" i="20" s="1"/>
  <c r="AP21" i="99" l="1"/>
  <c r="AD60" i="99"/>
  <c r="AP27" i="99" s="1"/>
  <c r="AD57" i="99"/>
  <c r="AP24" i="99" s="1"/>
  <c r="AP18" i="99"/>
  <c r="AD58" i="99"/>
  <c r="AP25" i="99" s="1"/>
  <c r="AP19" i="99"/>
  <c r="AP20" i="99"/>
  <c r="AD59" i="99"/>
  <c r="AP26" i="99" s="1"/>
  <c r="AN41" i="18"/>
  <c r="AN32" i="18"/>
  <c r="AN23" i="18"/>
  <c r="AN32" i="20"/>
  <c r="AN41" i="20"/>
  <c r="AN23" i="20"/>
  <c r="AN23" i="19"/>
  <c r="AN32" i="19"/>
  <c r="AN41" i="19"/>
  <c r="AE53" i="18"/>
  <c r="AO44" i="18"/>
  <c r="AC53" i="18"/>
  <c r="AO42" i="19"/>
  <c r="AE51" i="19"/>
  <c r="AC51" i="19"/>
  <c r="AO42" i="20"/>
  <c r="AE51" i="20"/>
  <c r="AC51" i="20"/>
  <c r="AE52" i="19"/>
  <c r="AO43" i="19"/>
  <c r="AC52" i="19"/>
  <c r="AE52" i="20"/>
  <c r="AO43" i="20"/>
  <c r="AC52" i="20"/>
  <c r="AO42" i="18"/>
  <c r="AE51" i="18"/>
  <c r="AC51" i="18"/>
  <c r="AE54" i="18"/>
  <c r="AO45" i="18"/>
  <c r="AC54" i="18"/>
  <c r="AO44" i="20"/>
  <c r="AE53" i="20"/>
  <c r="AC53" i="20"/>
  <c r="AO44" i="19"/>
  <c r="AE53" i="19"/>
  <c r="AC53" i="19"/>
  <c r="AO45" i="20"/>
  <c r="AE54" i="20"/>
  <c r="AC54" i="20"/>
  <c r="AO43" i="18"/>
  <c r="AE52" i="18"/>
  <c r="AC52" i="18"/>
  <c r="AO45" i="19"/>
  <c r="AE54" i="19"/>
  <c r="AC54" i="19"/>
  <c r="AP23" i="99" l="1"/>
  <c r="AP32" i="99"/>
  <c r="AP41" i="99"/>
  <c r="AI48" i="99" s="1"/>
  <c r="AO20" i="20"/>
  <c r="U59" i="20"/>
  <c r="V59" i="20" s="1"/>
  <c r="W59" i="20" s="1"/>
  <c r="X59" i="20" s="1"/>
  <c r="Z59" i="20" s="1"/>
  <c r="AA59" i="20" s="1"/>
  <c r="AB59" i="20" s="1"/>
  <c r="AD53" i="20"/>
  <c r="AO26" i="20" s="1"/>
  <c r="AO21" i="20"/>
  <c r="AD54" i="20"/>
  <c r="AO27" i="20" s="1"/>
  <c r="U60" i="20"/>
  <c r="V60" i="20" s="1"/>
  <c r="W60" i="20" s="1"/>
  <c r="X60" i="20" s="1"/>
  <c r="Z60" i="20" s="1"/>
  <c r="AA60" i="20" s="1"/>
  <c r="AB60" i="20" s="1"/>
  <c r="AD51" i="19"/>
  <c r="AO24" i="19" s="1"/>
  <c r="U57" i="19"/>
  <c r="V57" i="19" s="1"/>
  <c r="W57" i="19" s="1"/>
  <c r="X57" i="19" s="1"/>
  <c r="Z57" i="19" s="1"/>
  <c r="AA57" i="19" s="1"/>
  <c r="AB57" i="19" s="1"/>
  <c r="AO18" i="19"/>
  <c r="AO21" i="18"/>
  <c r="AD54" i="18"/>
  <c r="AO27" i="18" s="1"/>
  <c r="U60" i="18"/>
  <c r="V60" i="18" s="1"/>
  <c r="W60" i="18" s="1"/>
  <c r="X60" i="18" s="1"/>
  <c r="Z60" i="18" s="1"/>
  <c r="AA60" i="18" s="1"/>
  <c r="AB60" i="18" s="1"/>
  <c r="U60" i="19"/>
  <c r="V60" i="19" s="1"/>
  <c r="W60" i="19" s="1"/>
  <c r="X60" i="19" s="1"/>
  <c r="Z60" i="19" s="1"/>
  <c r="AA60" i="19" s="1"/>
  <c r="AB60" i="19" s="1"/>
  <c r="AD54" i="19"/>
  <c r="AO27" i="19" s="1"/>
  <c r="AO21" i="19"/>
  <c r="AO19" i="19"/>
  <c r="U58" i="19"/>
  <c r="V58" i="19" s="1"/>
  <c r="W58" i="19" s="1"/>
  <c r="X58" i="19" s="1"/>
  <c r="Z58" i="19" s="1"/>
  <c r="AA58" i="19" s="1"/>
  <c r="AB58" i="19" s="1"/>
  <c r="AD52" i="19"/>
  <c r="AO25" i="19" s="1"/>
  <c r="AO20" i="18"/>
  <c r="AD53" i="18"/>
  <c r="AO26" i="18" s="1"/>
  <c r="U59" i="18"/>
  <c r="V59" i="18" s="1"/>
  <c r="W59" i="18" s="1"/>
  <c r="X59" i="18" s="1"/>
  <c r="Z59" i="18" s="1"/>
  <c r="AA59" i="18" s="1"/>
  <c r="AB59" i="18" s="1"/>
  <c r="AD52" i="20"/>
  <c r="AO25" i="20" s="1"/>
  <c r="AO19" i="20"/>
  <c r="U58" i="20"/>
  <c r="V58" i="20" s="1"/>
  <c r="W58" i="20" s="1"/>
  <c r="X58" i="20" s="1"/>
  <c r="Z58" i="20" s="1"/>
  <c r="AA58" i="20" s="1"/>
  <c r="AB58" i="20" s="1"/>
  <c r="AO20" i="19"/>
  <c r="AD53" i="19"/>
  <c r="AO26" i="19" s="1"/>
  <c r="U59" i="19"/>
  <c r="V59" i="19" s="1"/>
  <c r="W59" i="19" s="1"/>
  <c r="X59" i="19" s="1"/>
  <c r="Z59" i="19" s="1"/>
  <c r="AA59" i="19" s="1"/>
  <c r="AB59" i="19" s="1"/>
  <c r="AO18" i="18"/>
  <c r="U57" i="18"/>
  <c r="V57" i="18" s="1"/>
  <c r="W57" i="18" s="1"/>
  <c r="X57" i="18" s="1"/>
  <c r="Z57" i="18" s="1"/>
  <c r="AA57" i="18" s="1"/>
  <c r="AB57" i="18" s="1"/>
  <c r="AD51" i="18"/>
  <c r="AO24" i="18" s="1"/>
  <c r="AD52" i="18"/>
  <c r="AO25" i="18" s="1"/>
  <c r="AO19" i="18"/>
  <c r="U58" i="18"/>
  <c r="V58" i="18" s="1"/>
  <c r="W58" i="18" s="1"/>
  <c r="X58" i="18" s="1"/>
  <c r="Z58" i="18" s="1"/>
  <c r="AA58" i="18" s="1"/>
  <c r="AB58" i="18" s="1"/>
  <c r="AO18" i="20"/>
  <c r="AD51" i="20"/>
  <c r="AO24" i="20" s="1"/>
  <c r="U57" i="20"/>
  <c r="V57" i="20" s="1"/>
  <c r="W57" i="20" s="1"/>
  <c r="X57" i="20" s="1"/>
  <c r="Z57" i="20" s="1"/>
  <c r="AA57" i="20" s="1"/>
  <c r="AB57" i="20" s="1"/>
  <c r="E15" i="99" l="1"/>
  <c r="AI39" i="99"/>
  <c r="H19" i="99"/>
  <c r="H29" i="99" s="1"/>
  <c r="E10" i="99" s="1"/>
  <c r="E9" i="99" s="1"/>
  <c r="AI30" i="99"/>
  <c r="AO41" i="20"/>
  <c r="AO23" i="20"/>
  <c r="AO32" i="20"/>
  <c r="AO32" i="19"/>
  <c r="AO41" i="19"/>
  <c r="AO23" i="19"/>
  <c r="AO41" i="18"/>
  <c r="AO23" i="18"/>
  <c r="AO32" i="18"/>
  <c r="AE57" i="19"/>
  <c r="AP42" i="19"/>
  <c r="AC57" i="19"/>
  <c r="AE60" i="20"/>
  <c r="AP45" i="20"/>
  <c r="AC60" i="20"/>
  <c r="AP45" i="19"/>
  <c r="AE60" i="19"/>
  <c r="AC60" i="19"/>
  <c r="AP44" i="20"/>
  <c r="AE59" i="20"/>
  <c r="AC59" i="20"/>
  <c r="AE58" i="20"/>
  <c r="AP43" i="20"/>
  <c r="AC58" i="20"/>
  <c r="AE57" i="18"/>
  <c r="AP42" i="18"/>
  <c r="AC57" i="18"/>
  <c r="AP44" i="18"/>
  <c r="AE59" i="18"/>
  <c r="AC59" i="18"/>
  <c r="AE57" i="20"/>
  <c r="AP42" i="20"/>
  <c r="AC57" i="20"/>
  <c r="AP45" i="18"/>
  <c r="AE60" i="18"/>
  <c r="AC60" i="18"/>
  <c r="AP44" i="19"/>
  <c r="AE59" i="19"/>
  <c r="AC59" i="19"/>
  <c r="AE58" i="18"/>
  <c r="AP43" i="18"/>
  <c r="AC58" i="18"/>
  <c r="AE58" i="19"/>
  <c r="AP43" i="19"/>
  <c r="AC58" i="19"/>
  <c r="AP20" i="19" l="1"/>
  <c r="AD59" i="19"/>
  <c r="AP26" i="19" s="1"/>
  <c r="AP20" i="18"/>
  <c r="AD59" i="18"/>
  <c r="AP26" i="18" s="1"/>
  <c r="AP18" i="20"/>
  <c r="AD57" i="20"/>
  <c r="AP24" i="20" s="1"/>
  <c r="AD58" i="20"/>
  <c r="AP25" i="20" s="1"/>
  <c r="AP19" i="20"/>
  <c r="AP21" i="20"/>
  <c r="AD60" i="20"/>
  <c r="AP27" i="20" s="1"/>
  <c r="AD58" i="19"/>
  <c r="AP25" i="19" s="1"/>
  <c r="AP19" i="19"/>
  <c r="AP20" i="20"/>
  <c r="AD59" i="20"/>
  <c r="AP26" i="20" s="1"/>
  <c r="AP21" i="18"/>
  <c r="AD60" i="18"/>
  <c r="AP27" i="18" s="1"/>
  <c r="AP18" i="19"/>
  <c r="AD57" i="19"/>
  <c r="AP24" i="19" s="1"/>
  <c r="AP18" i="18"/>
  <c r="AD57" i="18"/>
  <c r="AP24" i="18" s="1"/>
  <c r="AD58" i="18"/>
  <c r="AP25" i="18" s="1"/>
  <c r="AP19" i="18"/>
  <c r="AD60" i="19"/>
  <c r="AP27" i="19" s="1"/>
  <c r="AP21" i="19"/>
  <c r="AP32" i="20" l="1"/>
  <c r="AP23" i="20"/>
  <c r="AP41" i="20"/>
  <c r="AI48" i="20" s="1"/>
  <c r="AP23" i="19"/>
  <c r="AP32" i="19"/>
  <c r="AP41" i="19"/>
  <c r="AI48" i="19" s="1"/>
  <c r="AP23" i="18"/>
  <c r="AP41" i="18"/>
  <c r="AI48" i="18" s="1"/>
  <c r="AP32" i="18"/>
  <c r="H19" i="18" l="1"/>
  <c r="H29" i="18" s="1"/>
  <c r="E10" i="18" s="1"/>
  <c r="AI30" i="18"/>
  <c r="AI30" i="19"/>
  <c r="H19" i="19"/>
  <c r="H29" i="19" s="1"/>
  <c r="E10" i="19" s="1"/>
  <c r="H19" i="20"/>
  <c r="AI30" i="20"/>
  <c r="AI39" i="19"/>
  <c r="E15" i="19"/>
  <c r="AI39" i="18"/>
  <c r="E15" i="18"/>
  <c r="AI39" i="20"/>
  <c r="E15" i="20"/>
  <c r="E9" i="19" l="1"/>
  <c r="H29" i="20"/>
  <c r="E10" i="20" s="1"/>
  <c r="E9" i="18"/>
  <c r="E9" i="20" l="1"/>
  <c r="H63" i="15" l="1"/>
  <c r="H63" i="16" l="1"/>
  <c r="L358" i="68" l="1"/>
  <c r="J28" i="80" l="1"/>
  <c r="S9" i="80" l="1"/>
  <c r="S6" i="80"/>
  <c r="S8" i="80"/>
  <c r="S7" i="80"/>
  <c r="J26" i="80"/>
  <c r="J27" i="80"/>
  <c r="M27" i="80" s="1"/>
  <c r="K11" i="80" s="1"/>
  <c r="M11" i="80" l="1"/>
  <c r="I11" i="80"/>
  <c r="T9" i="80"/>
  <c r="U9" i="80" s="1"/>
  <c r="W9" i="80" s="1"/>
  <c r="X9" i="80" s="1"/>
  <c r="Y9" i="80" s="1"/>
  <c r="Z9" i="80" s="1"/>
  <c r="AB9" i="80" s="1"/>
  <c r="AC9" i="80" s="1"/>
  <c r="AD9" i="80" s="1"/>
  <c r="AE9" i="80" s="1"/>
  <c r="AF9" i="80" s="1"/>
  <c r="T7" i="80"/>
  <c r="U7" i="80" s="1"/>
  <c r="W7" i="80" s="1"/>
  <c r="X7" i="80" s="1"/>
  <c r="Y7" i="80" s="1"/>
  <c r="Z7" i="80" s="1"/>
  <c r="AB7" i="80" s="1"/>
  <c r="AC7" i="80" s="1"/>
  <c r="AD7" i="80" s="1"/>
  <c r="AE7" i="80" s="1"/>
  <c r="AF7" i="80" s="1"/>
  <c r="T8" i="80"/>
  <c r="U8" i="80" s="1"/>
  <c r="W8" i="80" s="1"/>
  <c r="X8" i="80" s="1"/>
  <c r="Y8" i="80" s="1"/>
  <c r="Z8" i="80" s="1"/>
  <c r="AB8" i="80" s="1"/>
  <c r="AC8" i="80" s="1"/>
  <c r="AD8" i="80" s="1"/>
  <c r="AE8" i="80" s="1"/>
  <c r="AF8" i="80" s="1"/>
  <c r="T6" i="80"/>
  <c r="U6" i="80" s="1"/>
  <c r="W6" i="80" s="1"/>
  <c r="X6" i="80" s="1"/>
  <c r="Y6" i="80" s="1"/>
  <c r="Z6" i="80" s="1"/>
  <c r="AB6" i="80" s="1"/>
  <c r="AC6" i="80" s="1"/>
  <c r="AD6" i="80" s="1"/>
  <c r="AE6" i="80" s="1"/>
  <c r="AF6" i="80" s="1"/>
  <c r="H12" i="15"/>
  <c r="H32" i="15"/>
  <c r="H59" i="15"/>
  <c r="H31" i="15"/>
  <c r="H42" i="16"/>
  <c r="H31" i="16"/>
  <c r="H25" i="16"/>
  <c r="H21" i="16"/>
  <c r="H17" i="100"/>
  <c r="H33" i="100"/>
  <c r="H16" i="100"/>
  <c r="Q20" i="78"/>
  <c r="AH6" i="78"/>
  <c r="AI6" i="78"/>
  <c r="AJ6" i="78"/>
  <c r="J7" i="78"/>
  <c r="K7" i="78"/>
  <c r="L7" i="78"/>
  <c r="M7" i="78"/>
  <c r="AH7" i="78"/>
  <c r="AI7" i="78"/>
  <c r="AJ7" i="78"/>
  <c r="L8" i="78"/>
  <c r="M8" i="78"/>
  <c r="AH8" i="78"/>
  <c r="AI8" i="78"/>
  <c r="AJ8" i="78"/>
  <c r="K9" i="78"/>
  <c r="M9" i="78"/>
  <c r="AH9" i="78"/>
  <c r="AI9" i="78"/>
  <c r="AJ9" i="78"/>
  <c r="T11" i="78"/>
  <c r="U11" i="78"/>
  <c r="V11" i="78"/>
  <c r="X11" i="78"/>
  <c r="Y11" i="78"/>
  <c r="Z11" i="78"/>
  <c r="AA11" i="78"/>
  <c r="AC11" i="78"/>
  <c r="AD11" i="78"/>
  <c r="AE11" i="78"/>
  <c r="AF11" i="78"/>
  <c r="AG11" i="78"/>
  <c r="AH11" i="78"/>
  <c r="AI11" i="78"/>
  <c r="AJ11" i="78"/>
  <c r="I12" i="78"/>
  <c r="J12" i="78"/>
  <c r="K12" i="78"/>
  <c r="M12" i="78"/>
  <c r="T12" i="78"/>
  <c r="U12" i="78"/>
  <c r="V12" i="78"/>
  <c r="X12" i="78"/>
  <c r="Y12" i="78"/>
  <c r="Z12" i="78"/>
  <c r="AA12" i="78"/>
  <c r="AC12" i="78"/>
  <c r="AD12" i="78"/>
  <c r="AE12" i="78"/>
  <c r="AF12" i="78"/>
  <c r="AG12" i="78"/>
  <c r="AH12" i="78"/>
  <c r="AI12" i="78"/>
  <c r="AJ12" i="78"/>
  <c r="T13" i="78"/>
  <c r="U13" i="78"/>
  <c r="V13" i="78"/>
  <c r="X13" i="78"/>
  <c r="Y13" i="78"/>
  <c r="Z13" i="78"/>
  <c r="AA13" i="78"/>
  <c r="AC13" i="78"/>
  <c r="AD13" i="78"/>
  <c r="AE13" i="78"/>
  <c r="AF13" i="78"/>
  <c r="AG13" i="78"/>
  <c r="AH13" i="78"/>
  <c r="AI13" i="78"/>
  <c r="AJ13" i="78"/>
  <c r="I14" i="78"/>
  <c r="K14" i="78"/>
  <c r="M14" i="78"/>
  <c r="T14" i="78"/>
  <c r="U14" i="78"/>
  <c r="V14" i="78"/>
  <c r="X14" i="78"/>
  <c r="Y14" i="78"/>
  <c r="Z14" i="78"/>
  <c r="AA14" i="78"/>
  <c r="AC14" i="78"/>
  <c r="AD14" i="78"/>
  <c r="AE14" i="78"/>
  <c r="AF14" i="78"/>
  <c r="AG14" i="78"/>
  <c r="AH14" i="78"/>
  <c r="AI14" i="78"/>
  <c r="AJ14" i="78"/>
  <c r="K16" i="78"/>
  <c r="M16" i="78"/>
  <c r="T16" i="78"/>
  <c r="U16" i="78"/>
  <c r="V16" i="78"/>
  <c r="X16" i="78"/>
  <c r="Y16" i="78"/>
  <c r="Z16" i="78"/>
  <c r="AA16" i="78"/>
  <c r="AC16" i="78"/>
  <c r="AD16" i="78"/>
  <c r="AE16" i="78"/>
  <c r="AF16" i="78"/>
  <c r="AG16" i="78"/>
  <c r="AH16" i="78"/>
  <c r="AI16" i="78"/>
  <c r="AJ16" i="78"/>
  <c r="T17" i="78"/>
  <c r="U17" i="78"/>
  <c r="V17" i="78"/>
  <c r="X17" i="78"/>
  <c r="Y17" i="78"/>
  <c r="Z17" i="78"/>
  <c r="AA17" i="78"/>
  <c r="AC17" i="78"/>
  <c r="AD17" i="78"/>
  <c r="AE17" i="78"/>
  <c r="AF17" i="78"/>
  <c r="AG17" i="78"/>
  <c r="AH17" i="78"/>
  <c r="AI17" i="78"/>
  <c r="AJ17" i="78"/>
  <c r="T18" i="78"/>
  <c r="U18" i="78"/>
  <c r="V18" i="78"/>
  <c r="X18" i="78"/>
  <c r="Y18" i="78"/>
  <c r="Z18" i="78"/>
  <c r="AA18" i="78"/>
  <c r="AC18" i="78"/>
  <c r="AD18" i="78"/>
  <c r="AE18" i="78"/>
  <c r="AF18" i="78"/>
  <c r="AG18" i="78"/>
  <c r="AH18" i="78"/>
  <c r="AI18" i="78"/>
  <c r="AJ18" i="78"/>
  <c r="M19" i="78"/>
  <c r="Q19" i="78"/>
  <c r="T19" i="78"/>
  <c r="U19" i="78"/>
  <c r="V19" i="78"/>
  <c r="X19" i="78"/>
  <c r="Y19" i="78"/>
  <c r="Z19" i="78"/>
  <c r="AA19" i="78"/>
  <c r="AC19" i="78"/>
  <c r="AD19" i="78"/>
  <c r="AE19" i="78"/>
  <c r="AF19" i="78"/>
  <c r="AG19" i="78"/>
  <c r="AH19" i="78"/>
  <c r="AI19" i="78"/>
  <c r="AJ19" i="78"/>
  <c r="J20" i="78"/>
  <c r="M20" i="78"/>
  <c r="J21" i="78"/>
  <c r="M21" i="78"/>
  <c r="Q21" i="78"/>
  <c r="T21" i="78"/>
  <c r="U21" i="78"/>
  <c r="V21" i="78"/>
  <c r="X21" i="78"/>
  <c r="Y21" i="78"/>
  <c r="Z21" i="78"/>
  <c r="AA21" i="78"/>
  <c r="AC21" i="78"/>
  <c r="AD21" i="78"/>
  <c r="AE21" i="78"/>
  <c r="AF21" i="78"/>
  <c r="AG21" i="78"/>
  <c r="AH21" i="78"/>
  <c r="AI21" i="78"/>
  <c r="AJ21" i="78"/>
  <c r="K22" i="78"/>
  <c r="Q22" i="78"/>
  <c r="T22" i="78"/>
  <c r="U22" i="78"/>
  <c r="V22" i="78"/>
  <c r="X22" i="78"/>
  <c r="Y22" i="78"/>
  <c r="Z22" i="78"/>
  <c r="AA22" i="78"/>
  <c r="AC22" i="78"/>
  <c r="AD22" i="78"/>
  <c r="AE22" i="78"/>
  <c r="AF22" i="78"/>
  <c r="AG22" i="78"/>
  <c r="AH22" i="78"/>
  <c r="AI22" i="78"/>
  <c r="AJ22" i="78"/>
  <c r="Q23" i="78"/>
  <c r="T23" i="78"/>
  <c r="U23" i="78"/>
  <c r="V23" i="78"/>
  <c r="X23" i="78"/>
  <c r="Y23" i="78"/>
  <c r="Z23" i="78"/>
  <c r="AA23" i="78"/>
  <c r="AC23" i="78"/>
  <c r="AD23" i="78"/>
  <c r="AE23" i="78"/>
  <c r="AF23" i="78"/>
  <c r="AG23" i="78"/>
  <c r="AH23" i="78"/>
  <c r="AI23" i="78"/>
  <c r="AJ23" i="78"/>
  <c r="T24" i="78"/>
  <c r="U24" i="78"/>
  <c r="V24" i="78"/>
  <c r="X24" i="78"/>
  <c r="Y24" i="78"/>
  <c r="Z24" i="78"/>
  <c r="AA24" i="78"/>
  <c r="AC24" i="78"/>
  <c r="AD24" i="78"/>
  <c r="AE24" i="78"/>
  <c r="AF24" i="78"/>
  <c r="AG24" i="78"/>
  <c r="AH24" i="78"/>
  <c r="AI24" i="78"/>
  <c r="AJ24" i="78"/>
  <c r="Q25" i="78"/>
  <c r="K26" i="78"/>
  <c r="L26" i="78"/>
  <c r="M26" i="78"/>
  <c r="T26" i="78"/>
  <c r="U26" i="78"/>
  <c r="V26" i="78"/>
  <c r="X26" i="78"/>
  <c r="Y26" i="78"/>
  <c r="Z26" i="78"/>
  <c r="AA26" i="78"/>
  <c r="AC26" i="78"/>
  <c r="AD26" i="78"/>
  <c r="AE26" i="78"/>
  <c r="AF26" i="78"/>
  <c r="AG26" i="78"/>
  <c r="AH26" i="78"/>
  <c r="AI26" i="78"/>
  <c r="AJ26" i="78"/>
  <c r="T27" i="78"/>
  <c r="U27" i="78"/>
  <c r="V27" i="78"/>
  <c r="X27" i="78"/>
  <c r="Y27" i="78"/>
  <c r="Z27" i="78"/>
  <c r="AA27" i="78"/>
  <c r="AC27" i="78"/>
  <c r="AD27" i="78"/>
  <c r="AE27" i="78"/>
  <c r="AF27" i="78"/>
  <c r="AG27" i="78"/>
  <c r="AH27" i="78"/>
  <c r="AI27" i="78"/>
  <c r="AJ27" i="78"/>
  <c r="L28" i="78"/>
  <c r="M28" i="78"/>
  <c r="T28" i="78"/>
  <c r="U28" i="78"/>
  <c r="V28" i="78"/>
  <c r="X28" i="78"/>
  <c r="Y28" i="78"/>
  <c r="Z28" i="78"/>
  <c r="AA28" i="78"/>
  <c r="AC28" i="78"/>
  <c r="AD28" i="78"/>
  <c r="AE28" i="78"/>
  <c r="AF28" i="78"/>
  <c r="AG28" i="78"/>
  <c r="AH28" i="78"/>
  <c r="AI28" i="78"/>
  <c r="AJ28" i="78"/>
  <c r="T29" i="78"/>
  <c r="U29" i="78"/>
  <c r="V29" i="78"/>
  <c r="X29" i="78"/>
  <c r="Y29" i="78"/>
  <c r="Z29" i="78"/>
  <c r="AA29" i="78"/>
  <c r="AC29" i="78"/>
  <c r="AD29" i="78"/>
  <c r="AE29" i="78"/>
  <c r="AF29" i="78"/>
  <c r="AG29" i="78"/>
  <c r="AH29" i="78"/>
  <c r="AI29" i="78"/>
  <c r="AJ29" i="78"/>
  <c r="T31" i="78"/>
  <c r="U31" i="78"/>
  <c r="V31" i="78"/>
  <c r="X31" i="78"/>
  <c r="Y31" i="78"/>
  <c r="Z31" i="78"/>
  <c r="AA31" i="78"/>
  <c r="AC31" i="78"/>
  <c r="AD31" i="78"/>
  <c r="AE31" i="78"/>
  <c r="AF31" i="78"/>
  <c r="AG31" i="78"/>
  <c r="AH31" i="78"/>
  <c r="AI31" i="78"/>
  <c r="AJ31" i="78"/>
  <c r="T32" i="78"/>
  <c r="U32" i="78"/>
  <c r="V32" i="78"/>
  <c r="X32" i="78"/>
  <c r="Y32" i="78"/>
  <c r="Z32" i="78"/>
  <c r="AA32" i="78"/>
  <c r="AC32" i="78"/>
  <c r="AD32" i="78"/>
  <c r="AE32" i="78"/>
  <c r="AF32" i="78"/>
  <c r="AG32" i="78"/>
  <c r="AH32" i="78"/>
  <c r="AI32" i="78"/>
  <c r="AJ32" i="78"/>
  <c r="J33" i="78"/>
  <c r="K33" i="78"/>
  <c r="T33" i="78"/>
  <c r="U33" i="78"/>
  <c r="V33" i="78"/>
  <c r="X33" i="78"/>
  <c r="Y33" i="78"/>
  <c r="Z33" i="78"/>
  <c r="AA33" i="78"/>
  <c r="AC33" i="78"/>
  <c r="AD33" i="78"/>
  <c r="AE33" i="78"/>
  <c r="AF33" i="78"/>
  <c r="AG33" i="78"/>
  <c r="AH33" i="78"/>
  <c r="AI33" i="78"/>
  <c r="AJ33" i="78"/>
  <c r="J34" i="78"/>
  <c r="K34" i="78"/>
  <c r="T34" i="78"/>
  <c r="U34" i="78"/>
  <c r="V34" i="78"/>
  <c r="X34" i="78"/>
  <c r="Y34" i="78"/>
  <c r="Z34" i="78"/>
  <c r="AA34" i="78"/>
  <c r="AC34" i="78"/>
  <c r="AD34" i="78"/>
  <c r="AE34" i="78"/>
  <c r="AF34" i="78"/>
  <c r="AG34" i="78"/>
  <c r="AH34" i="78"/>
  <c r="AI34" i="78"/>
  <c r="AJ34" i="78"/>
  <c r="J35" i="78"/>
  <c r="K35" i="78"/>
  <c r="J36" i="78"/>
  <c r="K36" i="78"/>
  <c r="T36" i="78"/>
  <c r="U36" i="78"/>
  <c r="V36" i="78"/>
  <c r="X36" i="78"/>
  <c r="Y36" i="78"/>
  <c r="Z36" i="78"/>
  <c r="AA36" i="78"/>
  <c r="AC36" i="78"/>
  <c r="AD36" i="78"/>
  <c r="AE36" i="78"/>
  <c r="AF36" i="78"/>
  <c r="AG36" i="78"/>
  <c r="AH36" i="78"/>
  <c r="AI36" i="78"/>
  <c r="AJ36" i="78"/>
  <c r="J37" i="78"/>
  <c r="K37" i="78"/>
  <c r="T37" i="78"/>
  <c r="U37" i="78"/>
  <c r="V37" i="78"/>
  <c r="X37" i="78"/>
  <c r="Y37" i="78"/>
  <c r="Z37" i="78"/>
  <c r="AA37" i="78"/>
  <c r="AC37" i="78"/>
  <c r="AD37" i="78"/>
  <c r="AE37" i="78"/>
  <c r="AF37" i="78"/>
  <c r="AG37" i="78"/>
  <c r="AH37" i="78"/>
  <c r="AI37" i="78"/>
  <c r="AJ37" i="78"/>
  <c r="T38" i="78"/>
  <c r="U38" i="78"/>
  <c r="V38" i="78"/>
  <c r="X38" i="78"/>
  <c r="Y38" i="78"/>
  <c r="Z38" i="78"/>
  <c r="AA38" i="78"/>
  <c r="AC38" i="78"/>
  <c r="AD38" i="78"/>
  <c r="AE38" i="78"/>
  <c r="AF38" i="78"/>
  <c r="AG38" i="78"/>
  <c r="AH38" i="78"/>
  <c r="AI38" i="78"/>
  <c r="AJ38" i="78"/>
  <c r="T39" i="78"/>
  <c r="U39" i="78"/>
  <c r="V39" i="78"/>
  <c r="X39" i="78"/>
  <c r="Y39" i="78"/>
  <c r="Z39" i="78"/>
  <c r="AA39" i="78"/>
  <c r="AC39" i="78"/>
  <c r="AD39" i="78"/>
  <c r="AE39" i="78"/>
  <c r="AF39" i="78"/>
  <c r="AG39" i="78"/>
  <c r="AH39" i="78"/>
  <c r="AI39" i="78"/>
  <c r="AJ39" i="78"/>
  <c r="K43" i="78"/>
  <c r="W43" i="78"/>
  <c r="K44" i="78"/>
  <c r="W44" i="78"/>
  <c r="K45" i="78"/>
  <c r="W45" i="78"/>
  <c r="K46" i="78"/>
  <c r="K47" i="78"/>
  <c r="S48" i="78"/>
  <c r="J49" i="78"/>
  <c r="S49" i="78"/>
  <c r="S51" i="78"/>
  <c r="Z63" i="78"/>
  <c r="AA63" i="78"/>
  <c r="Z64" i="78"/>
  <c r="AA64" i="78"/>
  <c r="Z65" i="78"/>
  <c r="AA65" i="78"/>
  <c r="Z66" i="78"/>
  <c r="AA66" i="78"/>
  <c r="Z67" i="78"/>
  <c r="AA67" i="78"/>
  <c r="AG6" i="91"/>
  <c r="AH6" i="91"/>
  <c r="AI6" i="91"/>
  <c r="J7" i="91"/>
  <c r="K7" i="91"/>
  <c r="L7" i="91"/>
  <c r="M7" i="91"/>
  <c r="AG7" i="91"/>
  <c r="AH7" i="91"/>
  <c r="AI7" i="91"/>
  <c r="L8" i="91"/>
  <c r="M8" i="91"/>
  <c r="AG8" i="91"/>
  <c r="AH8" i="91"/>
  <c r="AI8" i="91"/>
  <c r="K9" i="91"/>
  <c r="M9" i="91"/>
  <c r="AG9" i="91"/>
  <c r="AH9" i="91"/>
  <c r="AI9" i="91"/>
  <c r="S11" i="91"/>
  <c r="T11" i="91"/>
  <c r="U11" i="91"/>
  <c r="W11" i="91"/>
  <c r="X11" i="91"/>
  <c r="Y11" i="91"/>
  <c r="Z11" i="91"/>
  <c r="AB11" i="91"/>
  <c r="AC11" i="91"/>
  <c r="AD11" i="91"/>
  <c r="AE11" i="91"/>
  <c r="AF11" i="91"/>
  <c r="AG11" i="91"/>
  <c r="AH11" i="91"/>
  <c r="AI11" i="91"/>
  <c r="I12" i="91"/>
  <c r="J12" i="91"/>
  <c r="K12" i="91"/>
  <c r="M12" i="91"/>
  <c r="S12" i="91"/>
  <c r="T12" i="91"/>
  <c r="U12" i="91"/>
  <c r="W12" i="91"/>
  <c r="X12" i="91"/>
  <c r="Y12" i="91"/>
  <c r="Z12" i="91"/>
  <c r="AB12" i="91"/>
  <c r="AC12" i="91"/>
  <c r="AD12" i="91"/>
  <c r="AE12" i="91"/>
  <c r="AF12" i="91"/>
  <c r="AG12" i="91"/>
  <c r="AH12" i="91"/>
  <c r="AI12" i="91"/>
  <c r="S13" i="91"/>
  <c r="T13" i="91"/>
  <c r="U13" i="91"/>
  <c r="W13" i="91"/>
  <c r="X13" i="91"/>
  <c r="Y13" i="91"/>
  <c r="Z13" i="91"/>
  <c r="AB13" i="91"/>
  <c r="AC13" i="91"/>
  <c r="AD13" i="91"/>
  <c r="AE13" i="91"/>
  <c r="AF13" i="91"/>
  <c r="AG13" i="91"/>
  <c r="AH13" i="91"/>
  <c r="AI13" i="91"/>
  <c r="I14" i="91"/>
  <c r="K14" i="91"/>
  <c r="M14" i="91"/>
  <c r="S14" i="91"/>
  <c r="T14" i="91"/>
  <c r="U14" i="91"/>
  <c r="W14" i="91"/>
  <c r="X14" i="91"/>
  <c r="Y14" i="91"/>
  <c r="Z14" i="91"/>
  <c r="AB14" i="91"/>
  <c r="AC14" i="91"/>
  <c r="AD14" i="91"/>
  <c r="AE14" i="91"/>
  <c r="AF14" i="91"/>
  <c r="AG14" i="91"/>
  <c r="AH14" i="91"/>
  <c r="AI14" i="91"/>
  <c r="K16" i="91"/>
  <c r="M16" i="91"/>
  <c r="S16" i="91"/>
  <c r="T16" i="91"/>
  <c r="U16" i="91"/>
  <c r="W16" i="91"/>
  <c r="X16" i="91"/>
  <c r="Y16" i="91"/>
  <c r="Z16" i="91"/>
  <c r="AB16" i="91"/>
  <c r="AC16" i="91"/>
  <c r="AD16" i="91"/>
  <c r="AE16" i="91"/>
  <c r="AF16" i="91"/>
  <c r="AG16" i="91"/>
  <c r="AH16" i="91"/>
  <c r="AI16" i="91"/>
  <c r="S17" i="91"/>
  <c r="T17" i="91"/>
  <c r="U17" i="91"/>
  <c r="W17" i="91"/>
  <c r="X17" i="91"/>
  <c r="Y17" i="91"/>
  <c r="Z17" i="91"/>
  <c r="AB17" i="91"/>
  <c r="AC17" i="91"/>
  <c r="AD17" i="91"/>
  <c r="AE17" i="91"/>
  <c r="AF17" i="91"/>
  <c r="AG17" i="91"/>
  <c r="AH17" i="91"/>
  <c r="AI17" i="91"/>
  <c r="S18" i="91"/>
  <c r="T18" i="91"/>
  <c r="U18" i="91"/>
  <c r="W18" i="91"/>
  <c r="X18" i="91"/>
  <c r="Y18" i="91"/>
  <c r="Z18" i="91"/>
  <c r="AB18" i="91"/>
  <c r="AC18" i="91"/>
  <c r="AD18" i="91"/>
  <c r="AE18" i="91"/>
  <c r="AF18" i="91"/>
  <c r="AG18" i="91"/>
  <c r="AH18" i="91"/>
  <c r="AI18" i="91"/>
  <c r="M19" i="91"/>
  <c r="S19" i="91"/>
  <c r="T19" i="91"/>
  <c r="U19" i="91"/>
  <c r="W19" i="91"/>
  <c r="X19" i="91"/>
  <c r="Y19" i="91"/>
  <c r="Z19" i="91"/>
  <c r="AB19" i="91"/>
  <c r="AC19" i="91"/>
  <c r="AD19" i="91"/>
  <c r="AE19" i="91"/>
  <c r="AF19" i="91"/>
  <c r="AG19" i="91"/>
  <c r="AH19" i="91"/>
  <c r="AI19" i="91"/>
  <c r="J20" i="91"/>
  <c r="M20" i="91"/>
  <c r="J21" i="91"/>
  <c r="M21" i="91"/>
  <c r="S21" i="91"/>
  <c r="T21" i="91"/>
  <c r="U21" i="91"/>
  <c r="W21" i="91"/>
  <c r="X21" i="91"/>
  <c r="Y21" i="91"/>
  <c r="Z21" i="91"/>
  <c r="AB21" i="91"/>
  <c r="AC21" i="91"/>
  <c r="AD21" i="91"/>
  <c r="AE21" i="91"/>
  <c r="AF21" i="91"/>
  <c r="AG21" i="91"/>
  <c r="AH21" i="91"/>
  <c r="AI21" i="91"/>
  <c r="K22" i="91"/>
  <c r="S22" i="91"/>
  <c r="T22" i="91"/>
  <c r="U22" i="91"/>
  <c r="W22" i="91"/>
  <c r="X22" i="91"/>
  <c r="Y22" i="91"/>
  <c r="Z22" i="91"/>
  <c r="AB22" i="91"/>
  <c r="AC22" i="91"/>
  <c r="AD22" i="91"/>
  <c r="AE22" i="91"/>
  <c r="AF22" i="91"/>
  <c r="AG22" i="91"/>
  <c r="AH22" i="91"/>
  <c r="AI22" i="91"/>
  <c r="S23" i="91"/>
  <c r="T23" i="91"/>
  <c r="U23" i="91"/>
  <c r="W23" i="91"/>
  <c r="X23" i="91"/>
  <c r="Y23" i="91"/>
  <c r="Z23" i="91"/>
  <c r="AB23" i="91"/>
  <c r="AC23" i="91"/>
  <c r="AD23" i="91"/>
  <c r="AE23" i="91"/>
  <c r="AF23" i="91"/>
  <c r="AG23" i="91"/>
  <c r="AH23" i="91"/>
  <c r="AI23" i="91"/>
  <c r="S24" i="91"/>
  <c r="T24" i="91"/>
  <c r="U24" i="91"/>
  <c r="W24" i="91"/>
  <c r="X24" i="91"/>
  <c r="Y24" i="91"/>
  <c r="Z24" i="91"/>
  <c r="AB24" i="91"/>
  <c r="AC24" i="91"/>
  <c r="AD24" i="91"/>
  <c r="AE24" i="91"/>
  <c r="AF24" i="91"/>
  <c r="AG24" i="91"/>
  <c r="AH24" i="91"/>
  <c r="AI24" i="91"/>
  <c r="K26" i="91"/>
  <c r="L26" i="91"/>
  <c r="M26" i="91"/>
  <c r="S26" i="91"/>
  <c r="T26" i="91"/>
  <c r="U26" i="91"/>
  <c r="W26" i="91"/>
  <c r="X26" i="91"/>
  <c r="Y26" i="91"/>
  <c r="Z26" i="91"/>
  <c r="AB26" i="91"/>
  <c r="AC26" i="91"/>
  <c r="AD26" i="91"/>
  <c r="AE26" i="91"/>
  <c r="AF26" i="91"/>
  <c r="AG26" i="91"/>
  <c r="AH26" i="91"/>
  <c r="AI26" i="91"/>
  <c r="S27" i="91"/>
  <c r="T27" i="91"/>
  <c r="U27" i="91"/>
  <c r="W27" i="91"/>
  <c r="X27" i="91"/>
  <c r="Y27" i="91"/>
  <c r="Z27" i="91"/>
  <c r="AB27" i="91"/>
  <c r="AC27" i="91"/>
  <c r="AD27" i="91"/>
  <c r="AE27" i="91"/>
  <c r="AF27" i="91"/>
  <c r="AG27" i="91"/>
  <c r="AH27" i="91"/>
  <c r="AI27" i="91"/>
  <c r="L28" i="91"/>
  <c r="M28" i="91"/>
  <c r="S28" i="91"/>
  <c r="T28" i="91"/>
  <c r="U28" i="91"/>
  <c r="W28" i="91"/>
  <c r="X28" i="91"/>
  <c r="Y28" i="91"/>
  <c r="Z28" i="91"/>
  <c r="AB28" i="91"/>
  <c r="AC28" i="91"/>
  <c r="AD28" i="91"/>
  <c r="AE28" i="91"/>
  <c r="AF28" i="91"/>
  <c r="AG28" i="91"/>
  <c r="AH28" i="91"/>
  <c r="AI28" i="91"/>
  <c r="S29" i="91"/>
  <c r="T29" i="91"/>
  <c r="U29" i="91"/>
  <c r="W29" i="91"/>
  <c r="X29" i="91"/>
  <c r="Y29" i="91"/>
  <c r="Z29" i="91"/>
  <c r="AB29" i="91"/>
  <c r="AC29" i="91"/>
  <c r="AD29" i="91"/>
  <c r="AE29" i="91"/>
  <c r="AF29" i="91"/>
  <c r="AG29" i="91"/>
  <c r="AH29" i="91"/>
  <c r="AI29" i="91"/>
  <c r="S31" i="91"/>
  <c r="T31" i="91"/>
  <c r="U31" i="91"/>
  <c r="W31" i="91"/>
  <c r="X31" i="91"/>
  <c r="Y31" i="91"/>
  <c r="Z31" i="91"/>
  <c r="AB31" i="91"/>
  <c r="AC31" i="91"/>
  <c r="AD31" i="91"/>
  <c r="AE31" i="91"/>
  <c r="AF31" i="91"/>
  <c r="AG31" i="91"/>
  <c r="AH31" i="91"/>
  <c r="AI31" i="91"/>
  <c r="S32" i="91"/>
  <c r="T32" i="91"/>
  <c r="U32" i="91"/>
  <c r="W32" i="91"/>
  <c r="X32" i="91"/>
  <c r="Y32" i="91"/>
  <c r="Z32" i="91"/>
  <c r="AB32" i="91"/>
  <c r="AC32" i="91"/>
  <c r="AD32" i="91"/>
  <c r="AE32" i="91"/>
  <c r="AF32" i="91"/>
  <c r="AG32" i="91"/>
  <c r="AH32" i="91"/>
  <c r="AI32" i="91"/>
  <c r="J33" i="91"/>
  <c r="K33" i="91"/>
  <c r="S33" i="91"/>
  <c r="T33" i="91"/>
  <c r="U33" i="91"/>
  <c r="W33" i="91"/>
  <c r="X33" i="91"/>
  <c r="Y33" i="91"/>
  <c r="Z33" i="91"/>
  <c r="AB33" i="91"/>
  <c r="AC33" i="91"/>
  <c r="AD33" i="91"/>
  <c r="AE33" i="91"/>
  <c r="AF33" i="91"/>
  <c r="AG33" i="91"/>
  <c r="AH33" i="91"/>
  <c r="AI33" i="91"/>
  <c r="J34" i="91"/>
  <c r="K34" i="91"/>
  <c r="S34" i="91"/>
  <c r="T34" i="91"/>
  <c r="U34" i="91"/>
  <c r="W34" i="91"/>
  <c r="X34" i="91"/>
  <c r="Y34" i="91"/>
  <c r="Z34" i="91"/>
  <c r="AB34" i="91"/>
  <c r="AC34" i="91"/>
  <c r="AD34" i="91"/>
  <c r="AE34" i="91"/>
  <c r="AF34" i="91"/>
  <c r="AG34" i="91"/>
  <c r="AH34" i="91"/>
  <c r="AI34" i="91"/>
  <c r="J35" i="91"/>
  <c r="K35" i="91"/>
  <c r="J36" i="91"/>
  <c r="K36" i="91"/>
  <c r="S36" i="91"/>
  <c r="T36" i="91"/>
  <c r="U36" i="91"/>
  <c r="W36" i="91"/>
  <c r="X36" i="91"/>
  <c r="Y36" i="91"/>
  <c r="Z36" i="91"/>
  <c r="AB36" i="91"/>
  <c r="AC36" i="91"/>
  <c r="AD36" i="91"/>
  <c r="AE36" i="91"/>
  <c r="AF36" i="91"/>
  <c r="AG36" i="91"/>
  <c r="AH36" i="91"/>
  <c r="AI36" i="91"/>
  <c r="J37" i="91"/>
  <c r="K37" i="91"/>
  <c r="S37" i="91"/>
  <c r="T37" i="91"/>
  <c r="U37" i="91"/>
  <c r="W37" i="91"/>
  <c r="X37" i="91"/>
  <c r="Y37" i="91"/>
  <c r="Z37" i="91"/>
  <c r="AB37" i="91"/>
  <c r="AC37" i="91"/>
  <c r="AD37" i="91"/>
  <c r="AE37" i="91"/>
  <c r="AF37" i="91"/>
  <c r="AG37" i="91"/>
  <c r="AH37" i="91"/>
  <c r="AI37" i="91"/>
  <c r="S38" i="91"/>
  <c r="T38" i="91"/>
  <c r="U38" i="91"/>
  <c r="W38" i="91"/>
  <c r="X38" i="91"/>
  <c r="Y38" i="91"/>
  <c r="Z38" i="91"/>
  <c r="AB38" i="91"/>
  <c r="AC38" i="91"/>
  <c r="AD38" i="91"/>
  <c r="AE38" i="91"/>
  <c r="AF38" i="91"/>
  <c r="AG38" i="91"/>
  <c r="AH38" i="91"/>
  <c r="AI38" i="91"/>
  <c r="S39" i="91"/>
  <c r="T39" i="91"/>
  <c r="U39" i="91"/>
  <c r="W39" i="91"/>
  <c r="X39" i="91"/>
  <c r="Y39" i="91"/>
  <c r="Z39" i="91"/>
  <c r="AB39" i="91"/>
  <c r="AC39" i="91"/>
  <c r="AD39" i="91"/>
  <c r="AE39" i="91"/>
  <c r="AF39" i="91"/>
  <c r="AG39" i="91"/>
  <c r="AH39" i="91"/>
  <c r="AI39" i="91"/>
  <c r="K43" i="91"/>
  <c r="V43" i="91"/>
  <c r="K44" i="91"/>
  <c r="V44" i="91"/>
  <c r="K45" i="91"/>
  <c r="V45" i="91"/>
  <c r="K46" i="91"/>
  <c r="K47" i="91"/>
  <c r="R48" i="91"/>
  <c r="J49" i="91"/>
  <c r="R49" i="91"/>
  <c r="R51" i="91"/>
  <c r="Y63" i="91"/>
  <c r="Z63" i="91"/>
  <c r="Y64" i="91"/>
  <c r="Z64" i="91"/>
  <c r="Y65" i="91"/>
  <c r="Z65" i="91"/>
  <c r="Y66" i="91"/>
  <c r="Z66" i="91"/>
  <c r="Y67" i="91"/>
  <c r="Z67" i="91"/>
  <c r="AG6" i="73"/>
  <c r="AH6" i="73"/>
  <c r="AI6" i="73"/>
  <c r="J7" i="73"/>
  <c r="K7" i="73"/>
  <c r="L7" i="73"/>
  <c r="M7" i="73"/>
  <c r="AG7" i="73"/>
  <c r="AH7" i="73"/>
  <c r="AI7" i="73"/>
  <c r="L8" i="73"/>
  <c r="M8" i="73"/>
  <c r="AG8" i="73"/>
  <c r="AH8" i="73"/>
  <c r="AI8" i="73"/>
  <c r="K9" i="73"/>
  <c r="M9" i="73"/>
  <c r="AG9" i="73"/>
  <c r="AH9" i="73"/>
  <c r="AI9" i="73"/>
  <c r="S11" i="73"/>
  <c r="T11" i="73"/>
  <c r="U11" i="73"/>
  <c r="W11" i="73"/>
  <c r="X11" i="73"/>
  <c r="Y11" i="73"/>
  <c r="Z11" i="73"/>
  <c r="AB11" i="73"/>
  <c r="AC11" i="73"/>
  <c r="AD11" i="73"/>
  <c r="AE11" i="73"/>
  <c r="AF11" i="73"/>
  <c r="AG11" i="73"/>
  <c r="AH11" i="73"/>
  <c r="AI11" i="73"/>
  <c r="I12" i="73"/>
  <c r="J12" i="73"/>
  <c r="K12" i="73"/>
  <c r="M12" i="73"/>
  <c r="S12" i="73"/>
  <c r="T12" i="73"/>
  <c r="U12" i="73"/>
  <c r="W12" i="73"/>
  <c r="X12" i="73"/>
  <c r="Y12" i="73"/>
  <c r="Z12" i="73"/>
  <c r="AB12" i="73"/>
  <c r="AC12" i="73"/>
  <c r="AD12" i="73"/>
  <c r="AE12" i="73"/>
  <c r="AF12" i="73"/>
  <c r="AG12" i="73"/>
  <c r="AH12" i="73"/>
  <c r="AI12" i="73"/>
  <c r="S13" i="73"/>
  <c r="T13" i="73"/>
  <c r="U13" i="73"/>
  <c r="W13" i="73"/>
  <c r="X13" i="73"/>
  <c r="Y13" i="73"/>
  <c r="Z13" i="73"/>
  <c r="AB13" i="73"/>
  <c r="AC13" i="73"/>
  <c r="AD13" i="73"/>
  <c r="AE13" i="73"/>
  <c r="AF13" i="73"/>
  <c r="AG13" i="73"/>
  <c r="AH13" i="73"/>
  <c r="AI13" i="73"/>
  <c r="I14" i="73"/>
  <c r="K14" i="73"/>
  <c r="M14" i="73"/>
  <c r="S14" i="73"/>
  <c r="T14" i="73"/>
  <c r="U14" i="73"/>
  <c r="W14" i="73"/>
  <c r="X14" i="73"/>
  <c r="Y14" i="73"/>
  <c r="Z14" i="73"/>
  <c r="AB14" i="73"/>
  <c r="AC14" i="73"/>
  <c r="AD14" i="73"/>
  <c r="AE14" i="73"/>
  <c r="AF14" i="73"/>
  <c r="AG14" i="73"/>
  <c r="AH14" i="73"/>
  <c r="AI14" i="73"/>
  <c r="K16" i="73"/>
  <c r="M16" i="73"/>
  <c r="S16" i="73"/>
  <c r="T16" i="73"/>
  <c r="U16" i="73"/>
  <c r="W16" i="73"/>
  <c r="X16" i="73"/>
  <c r="Y16" i="73"/>
  <c r="Z16" i="73"/>
  <c r="AB16" i="73"/>
  <c r="AC16" i="73"/>
  <c r="AD16" i="73"/>
  <c r="AE16" i="73"/>
  <c r="AF16" i="73"/>
  <c r="AG16" i="73"/>
  <c r="AH16" i="73"/>
  <c r="AI16" i="73"/>
  <c r="S17" i="73"/>
  <c r="T17" i="73"/>
  <c r="U17" i="73"/>
  <c r="W17" i="73"/>
  <c r="X17" i="73"/>
  <c r="Y17" i="73"/>
  <c r="Z17" i="73"/>
  <c r="AB17" i="73"/>
  <c r="AC17" i="73"/>
  <c r="AD17" i="73"/>
  <c r="AE17" i="73"/>
  <c r="AF17" i="73"/>
  <c r="AG17" i="73"/>
  <c r="AH17" i="73"/>
  <c r="AI17" i="73"/>
  <c r="S18" i="73"/>
  <c r="T18" i="73"/>
  <c r="U18" i="73"/>
  <c r="W18" i="73"/>
  <c r="X18" i="73"/>
  <c r="Y18" i="73"/>
  <c r="Z18" i="73"/>
  <c r="AB18" i="73"/>
  <c r="AC18" i="73"/>
  <c r="AD18" i="73"/>
  <c r="AE18" i="73"/>
  <c r="AF18" i="73"/>
  <c r="AG18" i="73"/>
  <c r="AH18" i="73"/>
  <c r="AI18" i="73"/>
  <c r="M19" i="73"/>
  <c r="S19" i="73"/>
  <c r="T19" i="73"/>
  <c r="U19" i="73"/>
  <c r="W19" i="73"/>
  <c r="X19" i="73"/>
  <c r="Y19" i="73"/>
  <c r="Z19" i="73"/>
  <c r="AB19" i="73"/>
  <c r="AC19" i="73"/>
  <c r="AD19" i="73"/>
  <c r="AE19" i="73"/>
  <c r="AF19" i="73"/>
  <c r="AG19" i="73"/>
  <c r="AH19" i="73"/>
  <c r="AI19" i="73"/>
  <c r="J20" i="73"/>
  <c r="M20" i="73"/>
  <c r="J21" i="73"/>
  <c r="M21" i="73"/>
  <c r="S21" i="73"/>
  <c r="T21" i="73"/>
  <c r="U21" i="73"/>
  <c r="W21" i="73"/>
  <c r="X21" i="73"/>
  <c r="Y21" i="73"/>
  <c r="Z21" i="73"/>
  <c r="AB21" i="73"/>
  <c r="AC21" i="73"/>
  <c r="AD21" i="73"/>
  <c r="AE21" i="73"/>
  <c r="AF21" i="73"/>
  <c r="AG21" i="73"/>
  <c r="AH21" i="73"/>
  <c r="AI21" i="73"/>
  <c r="K22" i="73"/>
  <c r="S22" i="73"/>
  <c r="T22" i="73"/>
  <c r="U22" i="73"/>
  <c r="W22" i="73"/>
  <c r="X22" i="73"/>
  <c r="Y22" i="73"/>
  <c r="Z22" i="73"/>
  <c r="AB22" i="73"/>
  <c r="AC22" i="73"/>
  <c r="AD22" i="73"/>
  <c r="AE22" i="73"/>
  <c r="AF22" i="73"/>
  <c r="AG22" i="73"/>
  <c r="AH22" i="73"/>
  <c r="AI22" i="73"/>
  <c r="S23" i="73"/>
  <c r="T23" i="73"/>
  <c r="U23" i="73"/>
  <c r="W23" i="73"/>
  <c r="X23" i="73"/>
  <c r="Y23" i="73"/>
  <c r="Z23" i="73"/>
  <c r="AB23" i="73"/>
  <c r="AC23" i="73"/>
  <c r="AD23" i="73"/>
  <c r="AE23" i="73"/>
  <c r="AF23" i="73"/>
  <c r="AG23" i="73"/>
  <c r="AH23" i="73"/>
  <c r="AI23" i="73"/>
  <c r="S24" i="73"/>
  <c r="T24" i="73"/>
  <c r="U24" i="73"/>
  <c r="W24" i="73"/>
  <c r="X24" i="73"/>
  <c r="Y24" i="73"/>
  <c r="Z24" i="73"/>
  <c r="AB24" i="73"/>
  <c r="AC24" i="73"/>
  <c r="AD24" i="73"/>
  <c r="AE24" i="73"/>
  <c r="AF24" i="73"/>
  <c r="AG24" i="73"/>
  <c r="AH24" i="73"/>
  <c r="AI24" i="73"/>
  <c r="K26" i="73"/>
  <c r="L26" i="73"/>
  <c r="M26" i="73"/>
  <c r="S26" i="73"/>
  <c r="T26" i="73"/>
  <c r="U26" i="73"/>
  <c r="W26" i="73"/>
  <c r="X26" i="73"/>
  <c r="Y26" i="73"/>
  <c r="Z26" i="73"/>
  <c r="AB26" i="73"/>
  <c r="AC26" i="73"/>
  <c r="AD26" i="73"/>
  <c r="AE26" i="73"/>
  <c r="AF26" i="73"/>
  <c r="AG26" i="73"/>
  <c r="AH26" i="73"/>
  <c r="AI26" i="73"/>
  <c r="S27" i="73"/>
  <c r="T27" i="73"/>
  <c r="U27" i="73"/>
  <c r="W27" i="73"/>
  <c r="X27" i="73"/>
  <c r="Y27" i="73"/>
  <c r="Z27" i="73"/>
  <c r="AB27" i="73"/>
  <c r="AC27" i="73"/>
  <c r="AD27" i="73"/>
  <c r="AE27" i="73"/>
  <c r="AF27" i="73"/>
  <c r="AG27" i="73"/>
  <c r="AH27" i="73"/>
  <c r="AI27" i="73"/>
  <c r="L28" i="73"/>
  <c r="M28" i="73"/>
  <c r="S28" i="73"/>
  <c r="T28" i="73"/>
  <c r="U28" i="73"/>
  <c r="W28" i="73"/>
  <c r="X28" i="73"/>
  <c r="Y28" i="73"/>
  <c r="Z28" i="73"/>
  <c r="AB28" i="73"/>
  <c r="AC28" i="73"/>
  <c r="AD28" i="73"/>
  <c r="AE28" i="73"/>
  <c r="AF28" i="73"/>
  <c r="AG28" i="73"/>
  <c r="AH28" i="73"/>
  <c r="AI28" i="73"/>
  <c r="S29" i="73"/>
  <c r="T29" i="73"/>
  <c r="U29" i="73"/>
  <c r="W29" i="73"/>
  <c r="X29" i="73"/>
  <c r="Y29" i="73"/>
  <c r="Z29" i="73"/>
  <c r="AB29" i="73"/>
  <c r="AC29" i="73"/>
  <c r="AD29" i="73"/>
  <c r="AE29" i="73"/>
  <c r="AF29" i="73"/>
  <c r="AG29" i="73"/>
  <c r="AH29" i="73"/>
  <c r="AI29" i="73"/>
  <c r="S31" i="73"/>
  <c r="T31" i="73"/>
  <c r="U31" i="73"/>
  <c r="W31" i="73"/>
  <c r="X31" i="73"/>
  <c r="Y31" i="73"/>
  <c r="Z31" i="73"/>
  <c r="AB31" i="73"/>
  <c r="AC31" i="73"/>
  <c r="AD31" i="73"/>
  <c r="AE31" i="73"/>
  <c r="AF31" i="73"/>
  <c r="AG31" i="73"/>
  <c r="AH31" i="73"/>
  <c r="AI31" i="73"/>
  <c r="S32" i="73"/>
  <c r="T32" i="73"/>
  <c r="U32" i="73"/>
  <c r="W32" i="73"/>
  <c r="X32" i="73"/>
  <c r="Y32" i="73"/>
  <c r="Z32" i="73"/>
  <c r="AB32" i="73"/>
  <c r="AC32" i="73"/>
  <c r="AD32" i="73"/>
  <c r="AE32" i="73"/>
  <c r="AF32" i="73"/>
  <c r="AG32" i="73"/>
  <c r="AH32" i="73"/>
  <c r="AI32" i="73"/>
  <c r="J33" i="73"/>
  <c r="K33" i="73"/>
  <c r="S33" i="73"/>
  <c r="T33" i="73"/>
  <c r="U33" i="73"/>
  <c r="W33" i="73"/>
  <c r="X33" i="73"/>
  <c r="Y33" i="73"/>
  <c r="Z33" i="73"/>
  <c r="AB33" i="73"/>
  <c r="AC33" i="73"/>
  <c r="AD33" i="73"/>
  <c r="AE33" i="73"/>
  <c r="AF33" i="73"/>
  <c r="AG33" i="73"/>
  <c r="AH33" i="73"/>
  <c r="AI33" i="73"/>
  <c r="J34" i="73"/>
  <c r="K34" i="73"/>
  <c r="S34" i="73"/>
  <c r="T34" i="73"/>
  <c r="U34" i="73"/>
  <c r="W34" i="73"/>
  <c r="X34" i="73"/>
  <c r="Y34" i="73"/>
  <c r="Z34" i="73"/>
  <c r="AB34" i="73"/>
  <c r="AC34" i="73"/>
  <c r="AD34" i="73"/>
  <c r="AE34" i="73"/>
  <c r="AF34" i="73"/>
  <c r="AG34" i="73"/>
  <c r="AH34" i="73"/>
  <c r="AI34" i="73"/>
  <c r="J35" i="73"/>
  <c r="K35" i="73"/>
  <c r="J36" i="73"/>
  <c r="K36" i="73"/>
  <c r="S36" i="73"/>
  <c r="T36" i="73"/>
  <c r="U36" i="73"/>
  <c r="W36" i="73"/>
  <c r="X36" i="73"/>
  <c r="Y36" i="73"/>
  <c r="Z36" i="73"/>
  <c r="AB36" i="73"/>
  <c r="AC36" i="73"/>
  <c r="AD36" i="73"/>
  <c r="AE36" i="73"/>
  <c r="AF36" i="73"/>
  <c r="AG36" i="73"/>
  <c r="AH36" i="73"/>
  <c r="AI36" i="73"/>
  <c r="J37" i="73"/>
  <c r="K37" i="73"/>
  <c r="S37" i="73"/>
  <c r="T37" i="73"/>
  <c r="U37" i="73"/>
  <c r="W37" i="73"/>
  <c r="X37" i="73"/>
  <c r="Y37" i="73"/>
  <c r="Z37" i="73"/>
  <c r="AB37" i="73"/>
  <c r="AC37" i="73"/>
  <c r="AD37" i="73"/>
  <c r="AE37" i="73"/>
  <c r="AF37" i="73"/>
  <c r="AG37" i="73"/>
  <c r="AH37" i="73"/>
  <c r="AI37" i="73"/>
  <c r="S38" i="73"/>
  <c r="T38" i="73"/>
  <c r="U38" i="73"/>
  <c r="W38" i="73"/>
  <c r="X38" i="73"/>
  <c r="Y38" i="73"/>
  <c r="Z38" i="73"/>
  <c r="AB38" i="73"/>
  <c r="AC38" i="73"/>
  <c r="AD38" i="73"/>
  <c r="AE38" i="73"/>
  <c r="AF38" i="73"/>
  <c r="AG38" i="73"/>
  <c r="AH38" i="73"/>
  <c r="AI38" i="73"/>
  <c r="S39" i="73"/>
  <c r="T39" i="73"/>
  <c r="U39" i="73"/>
  <c r="W39" i="73"/>
  <c r="X39" i="73"/>
  <c r="Y39" i="73"/>
  <c r="Z39" i="73"/>
  <c r="AB39" i="73"/>
  <c r="AC39" i="73"/>
  <c r="AD39" i="73"/>
  <c r="AE39" i="73"/>
  <c r="AF39" i="73"/>
  <c r="AG39" i="73"/>
  <c r="AH39" i="73"/>
  <c r="AI39" i="73"/>
  <c r="K43" i="73"/>
  <c r="V43" i="73"/>
  <c r="K44" i="73"/>
  <c r="V44" i="73"/>
  <c r="K45" i="73"/>
  <c r="V45" i="73"/>
  <c r="K46" i="73"/>
  <c r="K47" i="73"/>
  <c r="R48" i="73"/>
  <c r="J49" i="73"/>
  <c r="R49" i="73"/>
  <c r="R51" i="73"/>
  <c r="Y63" i="73"/>
  <c r="Z63" i="73"/>
  <c r="Y64" i="73"/>
  <c r="Z64" i="73"/>
  <c r="Y65" i="73"/>
  <c r="Z65" i="73"/>
  <c r="Y66" i="73"/>
  <c r="Z66" i="73"/>
  <c r="Y67" i="73"/>
  <c r="Z67" i="73"/>
  <c r="AG6" i="79"/>
  <c r="AH6" i="79"/>
  <c r="AI6" i="79"/>
  <c r="J7" i="79"/>
  <c r="K7" i="79"/>
  <c r="L7" i="79"/>
  <c r="M7" i="79"/>
  <c r="AG7" i="79"/>
  <c r="AH7" i="79"/>
  <c r="AI7" i="79"/>
  <c r="L8" i="79"/>
  <c r="M8" i="79"/>
  <c r="AG8" i="79"/>
  <c r="AH8" i="79"/>
  <c r="AI8" i="79"/>
  <c r="K9" i="79"/>
  <c r="M9" i="79"/>
  <c r="AG9" i="79"/>
  <c r="AH9" i="79"/>
  <c r="AI9" i="79"/>
  <c r="S11" i="79"/>
  <c r="T11" i="79"/>
  <c r="U11" i="79"/>
  <c r="W11" i="79"/>
  <c r="X11" i="79"/>
  <c r="Y11" i="79"/>
  <c r="Z11" i="79"/>
  <c r="AB11" i="79"/>
  <c r="AC11" i="79"/>
  <c r="AD11" i="79"/>
  <c r="AE11" i="79"/>
  <c r="AF11" i="79"/>
  <c r="AG11" i="79"/>
  <c r="AH11" i="79"/>
  <c r="AI11" i="79"/>
  <c r="I12" i="79"/>
  <c r="J12" i="79"/>
  <c r="K12" i="79"/>
  <c r="M12" i="79"/>
  <c r="S12" i="79"/>
  <c r="T12" i="79"/>
  <c r="U12" i="79"/>
  <c r="W12" i="79"/>
  <c r="X12" i="79"/>
  <c r="Y12" i="79"/>
  <c r="Z12" i="79"/>
  <c r="AB12" i="79"/>
  <c r="AC12" i="79"/>
  <c r="AD12" i="79"/>
  <c r="AE12" i="79"/>
  <c r="AF12" i="79"/>
  <c r="AG12" i="79"/>
  <c r="AH12" i="79"/>
  <c r="AI12" i="79"/>
  <c r="S13" i="79"/>
  <c r="T13" i="79"/>
  <c r="U13" i="79"/>
  <c r="W13" i="79"/>
  <c r="X13" i="79"/>
  <c r="Y13" i="79"/>
  <c r="Z13" i="79"/>
  <c r="AB13" i="79"/>
  <c r="AC13" i="79"/>
  <c r="AD13" i="79"/>
  <c r="AE13" i="79"/>
  <c r="AF13" i="79"/>
  <c r="AG13" i="79"/>
  <c r="AH13" i="79"/>
  <c r="AI13" i="79"/>
  <c r="I14" i="79"/>
  <c r="K14" i="79"/>
  <c r="M14" i="79"/>
  <c r="S14" i="79"/>
  <c r="T14" i="79"/>
  <c r="U14" i="79"/>
  <c r="W14" i="79"/>
  <c r="X14" i="79"/>
  <c r="Y14" i="79"/>
  <c r="Z14" i="79"/>
  <c r="AB14" i="79"/>
  <c r="AC14" i="79"/>
  <c r="AD14" i="79"/>
  <c r="AE14" i="79"/>
  <c r="AF14" i="79"/>
  <c r="AG14" i="79"/>
  <c r="AH14" i="79"/>
  <c r="AI14" i="79"/>
  <c r="K16" i="79"/>
  <c r="M16" i="79"/>
  <c r="S16" i="79"/>
  <c r="T16" i="79"/>
  <c r="U16" i="79"/>
  <c r="W16" i="79"/>
  <c r="X16" i="79"/>
  <c r="Y16" i="79"/>
  <c r="Z16" i="79"/>
  <c r="AB16" i="79"/>
  <c r="AC16" i="79"/>
  <c r="AD16" i="79"/>
  <c r="AE16" i="79"/>
  <c r="AF16" i="79"/>
  <c r="AG16" i="79"/>
  <c r="AH16" i="79"/>
  <c r="AI16" i="79"/>
  <c r="S17" i="79"/>
  <c r="T17" i="79"/>
  <c r="U17" i="79"/>
  <c r="W17" i="79"/>
  <c r="X17" i="79"/>
  <c r="Y17" i="79"/>
  <c r="Z17" i="79"/>
  <c r="AB17" i="79"/>
  <c r="AC17" i="79"/>
  <c r="AD17" i="79"/>
  <c r="AE17" i="79"/>
  <c r="AF17" i="79"/>
  <c r="AG17" i="79"/>
  <c r="AH17" i="79"/>
  <c r="AI17" i="79"/>
  <c r="S18" i="79"/>
  <c r="T18" i="79"/>
  <c r="U18" i="79"/>
  <c r="W18" i="79"/>
  <c r="X18" i="79"/>
  <c r="Y18" i="79"/>
  <c r="Z18" i="79"/>
  <c r="AB18" i="79"/>
  <c r="AC18" i="79"/>
  <c r="AD18" i="79"/>
  <c r="AE18" i="79"/>
  <c r="AF18" i="79"/>
  <c r="AG18" i="79"/>
  <c r="AH18" i="79"/>
  <c r="AI18" i="79"/>
  <c r="M19" i="79"/>
  <c r="S19" i="79"/>
  <c r="T19" i="79"/>
  <c r="U19" i="79"/>
  <c r="W19" i="79"/>
  <c r="X19" i="79"/>
  <c r="Y19" i="79"/>
  <c r="Z19" i="79"/>
  <c r="AB19" i="79"/>
  <c r="AC19" i="79"/>
  <c r="AD19" i="79"/>
  <c r="AE19" i="79"/>
  <c r="AF19" i="79"/>
  <c r="AG19" i="79"/>
  <c r="AH19" i="79"/>
  <c r="AI19" i="79"/>
  <c r="J20" i="79"/>
  <c r="M20" i="79"/>
  <c r="J21" i="79"/>
  <c r="M21" i="79"/>
  <c r="S21" i="79"/>
  <c r="T21" i="79"/>
  <c r="U21" i="79"/>
  <c r="W21" i="79"/>
  <c r="X21" i="79"/>
  <c r="Y21" i="79"/>
  <c r="Z21" i="79"/>
  <c r="AB21" i="79"/>
  <c r="AC21" i="79"/>
  <c r="AD21" i="79"/>
  <c r="AE21" i="79"/>
  <c r="AF21" i="79"/>
  <c r="AG21" i="79"/>
  <c r="AH21" i="79"/>
  <c r="AI21" i="79"/>
  <c r="K22" i="79"/>
  <c r="S22" i="79"/>
  <c r="T22" i="79"/>
  <c r="U22" i="79"/>
  <c r="W22" i="79"/>
  <c r="X22" i="79"/>
  <c r="Y22" i="79"/>
  <c r="Z22" i="79"/>
  <c r="AB22" i="79"/>
  <c r="AC22" i="79"/>
  <c r="AD22" i="79"/>
  <c r="AE22" i="79"/>
  <c r="AF22" i="79"/>
  <c r="AG22" i="79"/>
  <c r="AH22" i="79"/>
  <c r="AI22" i="79"/>
  <c r="S23" i="79"/>
  <c r="T23" i="79"/>
  <c r="U23" i="79"/>
  <c r="W23" i="79"/>
  <c r="X23" i="79"/>
  <c r="Y23" i="79"/>
  <c r="Z23" i="79"/>
  <c r="AB23" i="79"/>
  <c r="AC23" i="79"/>
  <c r="AD23" i="79"/>
  <c r="AE23" i="79"/>
  <c r="AF23" i="79"/>
  <c r="AG23" i="79"/>
  <c r="AH23" i="79"/>
  <c r="AI23" i="79"/>
  <c r="S24" i="79"/>
  <c r="T24" i="79"/>
  <c r="U24" i="79"/>
  <c r="W24" i="79"/>
  <c r="X24" i="79"/>
  <c r="Y24" i="79"/>
  <c r="Z24" i="79"/>
  <c r="AB24" i="79"/>
  <c r="AC24" i="79"/>
  <c r="AD24" i="79"/>
  <c r="AE24" i="79"/>
  <c r="AF24" i="79"/>
  <c r="AG24" i="79"/>
  <c r="AH24" i="79"/>
  <c r="AI24" i="79"/>
  <c r="K26" i="79"/>
  <c r="L26" i="79"/>
  <c r="M26" i="79"/>
  <c r="S26" i="79"/>
  <c r="T26" i="79"/>
  <c r="U26" i="79"/>
  <c r="W26" i="79"/>
  <c r="X26" i="79"/>
  <c r="Y26" i="79"/>
  <c r="Z26" i="79"/>
  <c r="AB26" i="79"/>
  <c r="AC26" i="79"/>
  <c r="AD26" i="79"/>
  <c r="AE26" i="79"/>
  <c r="AF26" i="79"/>
  <c r="AG26" i="79"/>
  <c r="AH26" i="79"/>
  <c r="AI26" i="79"/>
  <c r="S27" i="79"/>
  <c r="T27" i="79"/>
  <c r="U27" i="79"/>
  <c r="W27" i="79"/>
  <c r="X27" i="79"/>
  <c r="Y27" i="79"/>
  <c r="Z27" i="79"/>
  <c r="AB27" i="79"/>
  <c r="AC27" i="79"/>
  <c r="AD27" i="79"/>
  <c r="AE27" i="79"/>
  <c r="AF27" i="79"/>
  <c r="AG27" i="79"/>
  <c r="AH27" i="79"/>
  <c r="AI27" i="79"/>
  <c r="L28" i="79"/>
  <c r="M28" i="79"/>
  <c r="S28" i="79"/>
  <c r="T28" i="79"/>
  <c r="U28" i="79"/>
  <c r="W28" i="79"/>
  <c r="X28" i="79"/>
  <c r="Y28" i="79"/>
  <c r="Z28" i="79"/>
  <c r="AB28" i="79"/>
  <c r="AC28" i="79"/>
  <c r="AD28" i="79"/>
  <c r="AE28" i="79"/>
  <c r="AF28" i="79"/>
  <c r="AG28" i="79"/>
  <c r="AH28" i="79"/>
  <c r="AI28" i="79"/>
  <c r="S29" i="79"/>
  <c r="T29" i="79"/>
  <c r="U29" i="79"/>
  <c r="W29" i="79"/>
  <c r="X29" i="79"/>
  <c r="Y29" i="79"/>
  <c r="Z29" i="79"/>
  <c r="AB29" i="79"/>
  <c r="AC29" i="79"/>
  <c r="AD29" i="79"/>
  <c r="AE29" i="79"/>
  <c r="AF29" i="79"/>
  <c r="AG29" i="79"/>
  <c r="AH29" i="79"/>
  <c r="AI29" i="79"/>
  <c r="S31" i="79"/>
  <c r="T31" i="79"/>
  <c r="U31" i="79"/>
  <c r="W31" i="79"/>
  <c r="X31" i="79"/>
  <c r="Y31" i="79"/>
  <c r="Z31" i="79"/>
  <c r="AB31" i="79"/>
  <c r="AC31" i="79"/>
  <c r="AD31" i="79"/>
  <c r="AE31" i="79"/>
  <c r="AF31" i="79"/>
  <c r="AG31" i="79"/>
  <c r="AH31" i="79"/>
  <c r="AI31" i="79"/>
  <c r="S32" i="79"/>
  <c r="T32" i="79"/>
  <c r="U32" i="79"/>
  <c r="W32" i="79"/>
  <c r="X32" i="79"/>
  <c r="Y32" i="79"/>
  <c r="Z32" i="79"/>
  <c r="AB32" i="79"/>
  <c r="AC32" i="79"/>
  <c r="AD32" i="79"/>
  <c r="AE32" i="79"/>
  <c r="AF32" i="79"/>
  <c r="AG32" i="79"/>
  <c r="AH32" i="79"/>
  <c r="AI32" i="79"/>
  <c r="J33" i="79"/>
  <c r="K33" i="79"/>
  <c r="S33" i="79"/>
  <c r="T33" i="79"/>
  <c r="U33" i="79"/>
  <c r="W33" i="79"/>
  <c r="X33" i="79"/>
  <c r="Y33" i="79"/>
  <c r="Z33" i="79"/>
  <c r="AB33" i="79"/>
  <c r="AC33" i="79"/>
  <c r="AD33" i="79"/>
  <c r="AE33" i="79"/>
  <c r="AF33" i="79"/>
  <c r="AG33" i="79"/>
  <c r="AH33" i="79"/>
  <c r="AI33" i="79"/>
  <c r="J34" i="79"/>
  <c r="K34" i="79"/>
  <c r="S34" i="79"/>
  <c r="T34" i="79"/>
  <c r="U34" i="79"/>
  <c r="W34" i="79"/>
  <c r="X34" i="79"/>
  <c r="Y34" i="79"/>
  <c r="Z34" i="79"/>
  <c r="AB34" i="79"/>
  <c r="AC34" i="79"/>
  <c r="AD34" i="79"/>
  <c r="AE34" i="79"/>
  <c r="AF34" i="79"/>
  <c r="AG34" i="79"/>
  <c r="AH34" i="79"/>
  <c r="AI34" i="79"/>
  <c r="J35" i="79"/>
  <c r="K35" i="79"/>
  <c r="J36" i="79"/>
  <c r="K36" i="79"/>
  <c r="S36" i="79"/>
  <c r="T36" i="79"/>
  <c r="U36" i="79"/>
  <c r="W36" i="79"/>
  <c r="X36" i="79"/>
  <c r="Y36" i="79"/>
  <c r="Z36" i="79"/>
  <c r="AB36" i="79"/>
  <c r="AC36" i="79"/>
  <c r="AD36" i="79"/>
  <c r="AE36" i="79"/>
  <c r="AF36" i="79"/>
  <c r="AG36" i="79"/>
  <c r="AH36" i="79"/>
  <c r="AI36" i="79"/>
  <c r="J37" i="79"/>
  <c r="K37" i="79"/>
  <c r="S37" i="79"/>
  <c r="T37" i="79"/>
  <c r="U37" i="79"/>
  <c r="W37" i="79"/>
  <c r="X37" i="79"/>
  <c r="Y37" i="79"/>
  <c r="Z37" i="79"/>
  <c r="AB37" i="79"/>
  <c r="AC37" i="79"/>
  <c r="AD37" i="79"/>
  <c r="AE37" i="79"/>
  <c r="AF37" i="79"/>
  <c r="AG37" i="79"/>
  <c r="AH37" i="79"/>
  <c r="AI37" i="79"/>
  <c r="S38" i="79"/>
  <c r="T38" i="79"/>
  <c r="U38" i="79"/>
  <c r="W38" i="79"/>
  <c r="X38" i="79"/>
  <c r="Y38" i="79"/>
  <c r="Z38" i="79"/>
  <c r="AB38" i="79"/>
  <c r="AC38" i="79"/>
  <c r="AD38" i="79"/>
  <c r="AE38" i="79"/>
  <c r="AF38" i="79"/>
  <c r="AG38" i="79"/>
  <c r="AH38" i="79"/>
  <c r="AI38" i="79"/>
  <c r="S39" i="79"/>
  <c r="T39" i="79"/>
  <c r="U39" i="79"/>
  <c r="W39" i="79"/>
  <c r="X39" i="79"/>
  <c r="Y39" i="79"/>
  <c r="Z39" i="79"/>
  <c r="AB39" i="79"/>
  <c r="AC39" i="79"/>
  <c r="AD39" i="79"/>
  <c r="AE39" i="79"/>
  <c r="AF39" i="79"/>
  <c r="AG39" i="79"/>
  <c r="AH39" i="79"/>
  <c r="AI39" i="79"/>
  <c r="K43" i="79"/>
  <c r="V43" i="79"/>
  <c r="K44" i="79"/>
  <c r="V44" i="79"/>
  <c r="K45" i="79"/>
  <c r="V45" i="79"/>
  <c r="K46" i="79"/>
  <c r="K47" i="79"/>
  <c r="R48" i="79"/>
  <c r="J49" i="79"/>
  <c r="R49" i="79"/>
  <c r="R51" i="79"/>
  <c r="Y63" i="79"/>
  <c r="Z63" i="79"/>
  <c r="Y64" i="79"/>
  <c r="Z64" i="79"/>
  <c r="Y65" i="79"/>
  <c r="Z65" i="79"/>
  <c r="Y66" i="79"/>
  <c r="Z66" i="79"/>
  <c r="Y67" i="79"/>
  <c r="Z67" i="79"/>
  <c r="AG6" i="80"/>
  <c r="AH6" i="80"/>
  <c r="AI6" i="80"/>
  <c r="J7" i="80"/>
  <c r="K7" i="80"/>
  <c r="L7" i="80"/>
  <c r="M7" i="80"/>
  <c r="AG7" i="80"/>
  <c r="AH7" i="80"/>
  <c r="AI7" i="80"/>
  <c r="L8" i="80"/>
  <c r="M8" i="80"/>
  <c r="AG8" i="80"/>
  <c r="AH8" i="80"/>
  <c r="AI8" i="80"/>
  <c r="K9" i="80"/>
  <c r="M9" i="80"/>
  <c r="AG9" i="80"/>
  <c r="AH9" i="80"/>
  <c r="AI9" i="80"/>
  <c r="S11" i="80"/>
  <c r="T11" i="80"/>
  <c r="U11" i="80"/>
  <c r="W11" i="80"/>
  <c r="X11" i="80"/>
  <c r="Y11" i="80"/>
  <c r="Z11" i="80"/>
  <c r="AB11" i="80"/>
  <c r="AC11" i="80"/>
  <c r="AD11" i="80"/>
  <c r="AE11" i="80"/>
  <c r="AF11" i="80"/>
  <c r="AG11" i="80"/>
  <c r="AH11" i="80"/>
  <c r="AI11" i="80"/>
  <c r="I12" i="80"/>
  <c r="J12" i="80"/>
  <c r="K12" i="80"/>
  <c r="M12" i="80"/>
  <c r="S12" i="80"/>
  <c r="T12" i="80"/>
  <c r="U12" i="80"/>
  <c r="W12" i="80"/>
  <c r="X12" i="80"/>
  <c r="Y12" i="80"/>
  <c r="Z12" i="80"/>
  <c r="AB12" i="80"/>
  <c r="AC12" i="80"/>
  <c r="AD12" i="80"/>
  <c r="AE12" i="80"/>
  <c r="AF12" i="80"/>
  <c r="AG12" i="80"/>
  <c r="AH12" i="80"/>
  <c r="AI12" i="80"/>
  <c r="S13" i="80"/>
  <c r="T13" i="80"/>
  <c r="U13" i="80"/>
  <c r="W13" i="80"/>
  <c r="X13" i="80"/>
  <c r="Y13" i="80"/>
  <c r="Z13" i="80"/>
  <c r="AB13" i="80"/>
  <c r="AC13" i="80"/>
  <c r="AD13" i="80"/>
  <c r="AE13" i="80"/>
  <c r="AF13" i="80"/>
  <c r="AG13" i="80"/>
  <c r="AH13" i="80"/>
  <c r="AI13" i="80"/>
  <c r="I14" i="80"/>
  <c r="K14" i="80"/>
  <c r="M14" i="80"/>
  <c r="S14" i="80"/>
  <c r="T14" i="80"/>
  <c r="U14" i="80"/>
  <c r="W14" i="80"/>
  <c r="X14" i="80"/>
  <c r="Y14" i="80"/>
  <c r="Z14" i="80"/>
  <c r="AB14" i="80"/>
  <c r="AC14" i="80"/>
  <c r="AD14" i="80"/>
  <c r="AE14" i="80"/>
  <c r="AF14" i="80"/>
  <c r="AG14" i="80"/>
  <c r="AH14" i="80"/>
  <c r="AI14" i="80"/>
  <c r="K16" i="80"/>
  <c r="M16" i="80"/>
  <c r="S16" i="80"/>
  <c r="T16" i="80"/>
  <c r="U16" i="80"/>
  <c r="W16" i="80"/>
  <c r="X16" i="80"/>
  <c r="Y16" i="80"/>
  <c r="Z16" i="80"/>
  <c r="AB16" i="80"/>
  <c r="AC16" i="80"/>
  <c r="AD16" i="80"/>
  <c r="AE16" i="80"/>
  <c r="AF16" i="80"/>
  <c r="AG16" i="80"/>
  <c r="AH16" i="80"/>
  <c r="AI16" i="80"/>
  <c r="S17" i="80"/>
  <c r="T17" i="80"/>
  <c r="U17" i="80"/>
  <c r="W17" i="80"/>
  <c r="X17" i="80"/>
  <c r="Y17" i="80"/>
  <c r="Z17" i="80"/>
  <c r="AB17" i="80"/>
  <c r="AC17" i="80"/>
  <c r="AD17" i="80"/>
  <c r="AE17" i="80"/>
  <c r="AF17" i="80"/>
  <c r="AG17" i="80"/>
  <c r="AH17" i="80"/>
  <c r="AI17" i="80"/>
  <c r="S18" i="80"/>
  <c r="T18" i="80"/>
  <c r="U18" i="80"/>
  <c r="W18" i="80"/>
  <c r="X18" i="80"/>
  <c r="Y18" i="80"/>
  <c r="Z18" i="80"/>
  <c r="AB18" i="80"/>
  <c r="AC18" i="80"/>
  <c r="AD18" i="80"/>
  <c r="AE18" i="80"/>
  <c r="AF18" i="80"/>
  <c r="AG18" i="80"/>
  <c r="AH18" i="80"/>
  <c r="AI18" i="80"/>
  <c r="M19" i="80"/>
  <c r="S19" i="80"/>
  <c r="T19" i="80"/>
  <c r="U19" i="80"/>
  <c r="W19" i="80"/>
  <c r="X19" i="80"/>
  <c r="Y19" i="80"/>
  <c r="Z19" i="80"/>
  <c r="AB19" i="80"/>
  <c r="AC19" i="80"/>
  <c r="AD19" i="80"/>
  <c r="AE19" i="80"/>
  <c r="AF19" i="80"/>
  <c r="AG19" i="80"/>
  <c r="AH19" i="80"/>
  <c r="AI19" i="80"/>
  <c r="J20" i="80"/>
  <c r="M20" i="80"/>
  <c r="J21" i="80"/>
  <c r="M21" i="80"/>
  <c r="S21" i="80"/>
  <c r="T21" i="80"/>
  <c r="U21" i="80"/>
  <c r="W21" i="80"/>
  <c r="X21" i="80"/>
  <c r="Y21" i="80"/>
  <c r="Z21" i="80"/>
  <c r="AB21" i="80"/>
  <c r="AC21" i="80"/>
  <c r="AD21" i="80"/>
  <c r="AE21" i="80"/>
  <c r="AF21" i="80"/>
  <c r="AG21" i="80"/>
  <c r="AH21" i="80"/>
  <c r="AI21" i="80"/>
  <c r="K22" i="80"/>
  <c r="S22" i="80"/>
  <c r="T22" i="80"/>
  <c r="U22" i="80"/>
  <c r="W22" i="80"/>
  <c r="X22" i="80"/>
  <c r="Y22" i="80"/>
  <c r="Z22" i="80"/>
  <c r="AB22" i="80"/>
  <c r="AC22" i="80"/>
  <c r="AD22" i="80"/>
  <c r="AE22" i="80"/>
  <c r="AF22" i="80"/>
  <c r="AG22" i="80"/>
  <c r="AH22" i="80"/>
  <c r="AI22" i="80"/>
  <c r="S23" i="80"/>
  <c r="T23" i="80"/>
  <c r="U23" i="80"/>
  <c r="W23" i="80"/>
  <c r="X23" i="80"/>
  <c r="Y23" i="80"/>
  <c r="Z23" i="80"/>
  <c r="AB23" i="80"/>
  <c r="AC23" i="80"/>
  <c r="AD23" i="80"/>
  <c r="AE23" i="80"/>
  <c r="AF23" i="80"/>
  <c r="AG23" i="80"/>
  <c r="AH23" i="80"/>
  <c r="AI23" i="80"/>
  <c r="S24" i="80"/>
  <c r="T24" i="80"/>
  <c r="U24" i="80"/>
  <c r="W24" i="80"/>
  <c r="X24" i="80"/>
  <c r="Y24" i="80"/>
  <c r="Z24" i="80"/>
  <c r="AB24" i="80"/>
  <c r="AC24" i="80"/>
  <c r="AD24" i="80"/>
  <c r="AE24" i="80"/>
  <c r="AF24" i="80"/>
  <c r="AG24" i="80"/>
  <c r="AH24" i="80"/>
  <c r="AI24" i="80"/>
  <c r="K26" i="80"/>
  <c r="L26" i="80"/>
  <c r="M26" i="80"/>
  <c r="S26" i="80"/>
  <c r="T26" i="80"/>
  <c r="U26" i="80"/>
  <c r="W26" i="80"/>
  <c r="X26" i="80"/>
  <c r="Y26" i="80"/>
  <c r="Z26" i="80"/>
  <c r="AB26" i="80"/>
  <c r="AC26" i="80"/>
  <c r="AD26" i="80"/>
  <c r="AE26" i="80"/>
  <c r="AF26" i="80"/>
  <c r="AG26" i="80"/>
  <c r="AH26" i="80"/>
  <c r="AI26" i="80"/>
  <c r="S27" i="80"/>
  <c r="T27" i="80"/>
  <c r="U27" i="80"/>
  <c r="W27" i="80"/>
  <c r="X27" i="80"/>
  <c r="Y27" i="80"/>
  <c r="Z27" i="80"/>
  <c r="AB27" i="80"/>
  <c r="AC27" i="80"/>
  <c r="AD27" i="80"/>
  <c r="AE27" i="80"/>
  <c r="AF27" i="80"/>
  <c r="AG27" i="80"/>
  <c r="AH27" i="80"/>
  <c r="AI27" i="80"/>
  <c r="L28" i="80"/>
  <c r="M28" i="80"/>
  <c r="S28" i="80"/>
  <c r="T28" i="80"/>
  <c r="U28" i="80"/>
  <c r="W28" i="80"/>
  <c r="X28" i="80"/>
  <c r="Y28" i="80"/>
  <c r="Z28" i="80"/>
  <c r="AB28" i="80"/>
  <c r="AC28" i="80"/>
  <c r="AD28" i="80"/>
  <c r="AE28" i="80"/>
  <c r="AF28" i="80"/>
  <c r="AG28" i="80"/>
  <c r="AH28" i="80"/>
  <c r="AI28" i="80"/>
  <c r="S29" i="80"/>
  <c r="T29" i="80"/>
  <c r="U29" i="80"/>
  <c r="W29" i="80"/>
  <c r="X29" i="80"/>
  <c r="Y29" i="80"/>
  <c r="Z29" i="80"/>
  <c r="AB29" i="80"/>
  <c r="AC29" i="80"/>
  <c r="AD29" i="80"/>
  <c r="AE29" i="80"/>
  <c r="AF29" i="80"/>
  <c r="AG29" i="80"/>
  <c r="AH29" i="80"/>
  <c r="AI29" i="80"/>
  <c r="S31" i="80"/>
  <c r="T31" i="80"/>
  <c r="U31" i="80"/>
  <c r="W31" i="80"/>
  <c r="X31" i="80"/>
  <c r="Y31" i="80"/>
  <c r="Z31" i="80"/>
  <c r="AB31" i="80"/>
  <c r="AC31" i="80"/>
  <c r="AD31" i="80"/>
  <c r="AE31" i="80"/>
  <c r="AF31" i="80"/>
  <c r="AG31" i="80"/>
  <c r="AH31" i="80"/>
  <c r="AI31" i="80"/>
  <c r="S32" i="80"/>
  <c r="T32" i="80"/>
  <c r="U32" i="80"/>
  <c r="W32" i="80"/>
  <c r="X32" i="80"/>
  <c r="Y32" i="80"/>
  <c r="Z32" i="80"/>
  <c r="AB32" i="80"/>
  <c r="AC32" i="80"/>
  <c r="AD32" i="80"/>
  <c r="AE32" i="80"/>
  <c r="AF32" i="80"/>
  <c r="AG32" i="80"/>
  <c r="AH32" i="80"/>
  <c r="AI32" i="80"/>
  <c r="J33" i="80"/>
  <c r="K33" i="80"/>
  <c r="S33" i="80"/>
  <c r="T33" i="80"/>
  <c r="U33" i="80"/>
  <c r="W33" i="80"/>
  <c r="X33" i="80"/>
  <c r="Y33" i="80"/>
  <c r="Z33" i="80"/>
  <c r="AB33" i="80"/>
  <c r="AC33" i="80"/>
  <c r="AD33" i="80"/>
  <c r="AE33" i="80"/>
  <c r="AF33" i="80"/>
  <c r="AG33" i="80"/>
  <c r="AH33" i="80"/>
  <c r="AI33" i="80"/>
  <c r="J34" i="80"/>
  <c r="K34" i="80"/>
  <c r="S34" i="80"/>
  <c r="T34" i="80"/>
  <c r="U34" i="80"/>
  <c r="W34" i="80"/>
  <c r="X34" i="80"/>
  <c r="Y34" i="80"/>
  <c r="Z34" i="80"/>
  <c r="AB34" i="80"/>
  <c r="AC34" i="80"/>
  <c r="AD34" i="80"/>
  <c r="AE34" i="80"/>
  <c r="AF34" i="80"/>
  <c r="AG34" i="80"/>
  <c r="AH34" i="80"/>
  <c r="AI34" i="80"/>
  <c r="J35" i="80"/>
  <c r="K35" i="80"/>
  <c r="J36" i="80"/>
  <c r="K36" i="80"/>
  <c r="S36" i="80"/>
  <c r="T36" i="80"/>
  <c r="U36" i="80"/>
  <c r="W36" i="80"/>
  <c r="X36" i="80"/>
  <c r="Y36" i="80"/>
  <c r="Z36" i="80"/>
  <c r="AB36" i="80"/>
  <c r="AC36" i="80"/>
  <c r="AD36" i="80"/>
  <c r="AE36" i="80"/>
  <c r="AF36" i="80"/>
  <c r="AG36" i="80"/>
  <c r="AH36" i="80"/>
  <c r="AI36" i="80"/>
  <c r="J37" i="80"/>
  <c r="K37" i="80"/>
  <c r="S37" i="80"/>
  <c r="T37" i="80"/>
  <c r="U37" i="80"/>
  <c r="W37" i="80"/>
  <c r="X37" i="80"/>
  <c r="Y37" i="80"/>
  <c r="Z37" i="80"/>
  <c r="AB37" i="80"/>
  <c r="AC37" i="80"/>
  <c r="AD37" i="80"/>
  <c r="AE37" i="80"/>
  <c r="AF37" i="80"/>
  <c r="AG37" i="80"/>
  <c r="AH37" i="80"/>
  <c r="AI37" i="80"/>
  <c r="S38" i="80"/>
  <c r="T38" i="80"/>
  <c r="U38" i="80"/>
  <c r="W38" i="80"/>
  <c r="X38" i="80"/>
  <c r="Y38" i="80"/>
  <c r="Z38" i="80"/>
  <c r="AB38" i="80"/>
  <c r="AC38" i="80"/>
  <c r="AD38" i="80"/>
  <c r="AE38" i="80"/>
  <c r="AF38" i="80"/>
  <c r="AG38" i="80"/>
  <c r="AH38" i="80"/>
  <c r="AI38" i="80"/>
  <c r="S39" i="80"/>
  <c r="T39" i="80"/>
  <c r="U39" i="80"/>
  <c r="W39" i="80"/>
  <c r="X39" i="80"/>
  <c r="Y39" i="80"/>
  <c r="Z39" i="80"/>
  <c r="AB39" i="80"/>
  <c r="AC39" i="80"/>
  <c r="AD39" i="80"/>
  <c r="AE39" i="80"/>
  <c r="AF39" i="80"/>
  <c r="AG39" i="80"/>
  <c r="AH39" i="80"/>
  <c r="AI39" i="80"/>
  <c r="K43" i="80"/>
  <c r="V43" i="80"/>
  <c r="K44" i="80"/>
  <c r="V44" i="80"/>
  <c r="K45" i="80"/>
  <c r="V45" i="80"/>
  <c r="K46" i="80"/>
  <c r="K47" i="80"/>
  <c r="R48" i="80"/>
  <c r="J49" i="80"/>
  <c r="R49" i="80"/>
  <c r="R51" i="80"/>
  <c r="Y63" i="80"/>
  <c r="Z63" i="80"/>
  <c r="Y64" i="80"/>
  <c r="Z64" i="80"/>
  <c r="Y65" i="80"/>
  <c r="Z65" i="80"/>
  <c r="Y66" i="80"/>
  <c r="Z66" i="80"/>
  <c r="Y67" i="80"/>
  <c r="Z67" i="80"/>
  <c r="G2" i="100"/>
  <c r="H2" i="100"/>
  <c r="J2" i="100"/>
  <c r="K2" i="100"/>
  <c r="H3" i="100"/>
  <c r="H4" i="100"/>
  <c r="F11" i="100"/>
  <c r="G11" i="100"/>
  <c r="H11" i="100"/>
  <c r="I11" i="100"/>
  <c r="J11" i="100"/>
  <c r="K11" i="100"/>
  <c r="F12" i="100"/>
  <c r="G12" i="100"/>
  <c r="H12" i="100"/>
  <c r="I12" i="100"/>
  <c r="J12" i="100"/>
  <c r="K12" i="100"/>
  <c r="F13" i="100"/>
  <c r="G13" i="100"/>
  <c r="H13" i="100"/>
  <c r="I13" i="100"/>
  <c r="J13" i="100"/>
  <c r="K13" i="100"/>
  <c r="F14" i="100"/>
  <c r="G14" i="100"/>
  <c r="H14" i="100"/>
  <c r="I14" i="100"/>
  <c r="J14" i="100"/>
  <c r="K14" i="100"/>
  <c r="F15" i="100"/>
  <c r="G15" i="100"/>
  <c r="H15" i="100"/>
  <c r="I15" i="100"/>
  <c r="J15" i="100"/>
  <c r="K15" i="100"/>
  <c r="F16" i="100"/>
  <c r="G16" i="100"/>
  <c r="I16" i="100"/>
  <c r="J16" i="100"/>
  <c r="F17" i="100"/>
  <c r="G17" i="100"/>
  <c r="I17" i="100"/>
  <c r="J17" i="100"/>
  <c r="F18" i="100"/>
  <c r="G18" i="100"/>
  <c r="H18" i="100"/>
  <c r="I18" i="100"/>
  <c r="J18" i="100"/>
  <c r="K18" i="100"/>
  <c r="F19" i="100"/>
  <c r="G19" i="100"/>
  <c r="H19" i="100"/>
  <c r="I19" i="100"/>
  <c r="J19" i="100"/>
  <c r="K19" i="100"/>
  <c r="F20" i="100"/>
  <c r="G20" i="100"/>
  <c r="H20" i="100"/>
  <c r="I20" i="100"/>
  <c r="J20" i="100"/>
  <c r="K20" i="100"/>
  <c r="F21" i="100"/>
  <c r="G21" i="100"/>
  <c r="H21" i="100"/>
  <c r="I21" i="100"/>
  <c r="J21" i="100"/>
  <c r="K21" i="100"/>
  <c r="F22" i="100"/>
  <c r="G22" i="100"/>
  <c r="H22" i="100"/>
  <c r="I22" i="100"/>
  <c r="J22" i="100"/>
  <c r="K22" i="100"/>
  <c r="F23" i="100"/>
  <c r="G23" i="100"/>
  <c r="H23" i="100"/>
  <c r="I23" i="100"/>
  <c r="J23" i="100"/>
  <c r="K23" i="100"/>
  <c r="F24" i="100"/>
  <c r="G24" i="100"/>
  <c r="H24" i="100"/>
  <c r="I24" i="100"/>
  <c r="J24" i="100"/>
  <c r="K24" i="100"/>
  <c r="F25" i="100"/>
  <c r="G25" i="100"/>
  <c r="H25" i="100"/>
  <c r="I25" i="100"/>
  <c r="J25" i="100"/>
  <c r="K25" i="100"/>
  <c r="F26" i="100"/>
  <c r="G26" i="100"/>
  <c r="H26" i="100"/>
  <c r="I26" i="100"/>
  <c r="J26" i="100"/>
  <c r="K26" i="100"/>
  <c r="F27" i="100"/>
  <c r="G27" i="100"/>
  <c r="H27" i="100"/>
  <c r="I27" i="100"/>
  <c r="J27" i="100"/>
  <c r="K27" i="100"/>
  <c r="F28" i="100"/>
  <c r="G28" i="100"/>
  <c r="I28" i="100"/>
  <c r="J28" i="100"/>
  <c r="F29" i="100"/>
  <c r="G29" i="100"/>
  <c r="I29" i="100"/>
  <c r="J29" i="100"/>
  <c r="F30" i="100"/>
  <c r="G30" i="100"/>
  <c r="H30" i="100"/>
  <c r="I30" i="100"/>
  <c r="J30" i="100"/>
  <c r="K30" i="100"/>
  <c r="F31" i="100"/>
  <c r="G31" i="100"/>
  <c r="H31" i="100"/>
  <c r="I31" i="100"/>
  <c r="J31" i="100"/>
  <c r="K31" i="100"/>
  <c r="F32" i="100"/>
  <c r="G32" i="100"/>
  <c r="H32" i="100"/>
  <c r="I32" i="100"/>
  <c r="J32" i="100"/>
  <c r="K32" i="100"/>
  <c r="F33" i="100"/>
  <c r="G33" i="100"/>
  <c r="I33" i="100"/>
  <c r="J33" i="100"/>
  <c r="G34" i="100"/>
  <c r="J34" i="100"/>
  <c r="K34" i="100"/>
  <c r="F38" i="100"/>
  <c r="G38" i="100"/>
  <c r="H38" i="100"/>
  <c r="I38" i="100"/>
  <c r="J38" i="100"/>
  <c r="K38" i="100"/>
  <c r="F39" i="100"/>
  <c r="G39" i="100"/>
  <c r="H39" i="100"/>
  <c r="I39" i="100"/>
  <c r="J39" i="100"/>
  <c r="K39" i="100"/>
  <c r="F40" i="100"/>
  <c r="G40" i="100"/>
  <c r="H40" i="100"/>
  <c r="I40" i="100"/>
  <c r="J40" i="100"/>
  <c r="K40" i="100"/>
  <c r="F41" i="100"/>
  <c r="G41" i="100"/>
  <c r="H41" i="100"/>
  <c r="I41" i="100"/>
  <c r="J41" i="100"/>
  <c r="K41" i="100"/>
  <c r="F42" i="100"/>
  <c r="G42" i="100"/>
  <c r="H42" i="100"/>
  <c r="I42" i="100"/>
  <c r="J42" i="100"/>
  <c r="K42" i="100"/>
  <c r="F43" i="100"/>
  <c r="G43" i="100"/>
  <c r="H43" i="100"/>
  <c r="I43" i="100"/>
  <c r="J43" i="100"/>
  <c r="K43" i="100"/>
  <c r="F44" i="100"/>
  <c r="G44" i="100"/>
  <c r="H44" i="100"/>
  <c r="I44" i="100"/>
  <c r="J44" i="100"/>
  <c r="K44" i="100"/>
  <c r="F45" i="100"/>
  <c r="G45" i="100"/>
  <c r="H45" i="100"/>
  <c r="I45" i="100"/>
  <c r="J45" i="100"/>
  <c r="K45" i="100"/>
  <c r="F46" i="100"/>
  <c r="G46" i="100"/>
  <c r="H46" i="100"/>
  <c r="I46" i="100"/>
  <c r="J46" i="100"/>
  <c r="K46" i="100"/>
  <c r="F47" i="100"/>
  <c r="G47" i="100"/>
  <c r="H47" i="100"/>
  <c r="I47" i="100"/>
  <c r="J47" i="100"/>
  <c r="K47" i="100"/>
  <c r="F48" i="100"/>
  <c r="G48" i="100"/>
  <c r="H48" i="100"/>
  <c r="I48" i="100"/>
  <c r="J48" i="100"/>
  <c r="K48" i="100"/>
  <c r="F49" i="100"/>
  <c r="G49" i="100"/>
  <c r="H49" i="100"/>
  <c r="I49" i="100"/>
  <c r="J49" i="100"/>
  <c r="K49" i="100"/>
  <c r="F50" i="100"/>
  <c r="G50" i="100"/>
  <c r="H50" i="100"/>
  <c r="I50" i="100"/>
  <c r="J50" i="100"/>
  <c r="K50" i="100"/>
  <c r="F51" i="100"/>
  <c r="G51" i="100"/>
  <c r="H51" i="100"/>
  <c r="I51" i="100"/>
  <c r="J51" i="100"/>
  <c r="K51" i="100"/>
  <c r="F52" i="100"/>
  <c r="G52" i="100"/>
  <c r="H52" i="100"/>
  <c r="I52" i="100"/>
  <c r="J52" i="100"/>
  <c r="K52" i="100"/>
  <c r="F53" i="100"/>
  <c r="G53" i="100"/>
  <c r="H53" i="100"/>
  <c r="I53" i="100"/>
  <c r="J53" i="100"/>
  <c r="K53" i="100"/>
  <c r="G54" i="100"/>
  <c r="J54" i="100"/>
  <c r="K54" i="100"/>
  <c r="F57" i="100"/>
  <c r="G57" i="100"/>
  <c r="H57" i="100"/>
  <c r="I57" i="100"/>
  <c r="J57" i="100"/>
  <c r="K57" i="100"/>
  <c r="F58" i="100"/>
  <c r="G58" i="100"/>
  <c r="H58" i="100"/>
  <c r="I58" i="100"/>
  <c r="J58" i="100"/>
  <c r="K58" i="100"/>
  <c r="F59" i="100"/>
  <c r="G59" i="100"/>
  <c r="H59" i="100"/>
  <c r="I59" i="100"/>
  <c r="J59" i="100"/>
  <c r="K59" i="100"/>
  <c r="F60" i="100"/>
  <c r="G60" i="100"/>
  <c r="H60" i="100"/>
  <c r="I60" i="100"/>
  <c r="J60" i="100"/>
  <c r="K60" i="100"/>
  <c r="F61" i="100"/>
  <c r="G61" i="100"/>
  <c r="H61" i="100"/>
  <c r="I61" i="100"/>
  <c r="J61" i="100"/>
  <c r="K61" i="100"/>
  <c r="F62" i="100"/>
  <c r="G62" i="100"/>
  <c r="H62" i="100"/>
  <c r="I62" i="100"/>
  <c r="J62" i="100"/>
  <c r="K62" i="100"/>
  <c r="F63" i="100"/>
  <c r="G63" i="100"/>
  <c r="H63" i="100"/>
  <c r="I63" i="100"/>
  <c r="J63" i="100"/>
  <c r="K63" i="100"/>
  <c r="F64" i="100"/>
  <c r="G64" i="100"/>
  <c r="H64" i="100"/>
  <c r="I64" i="100"/>
  <c r="J64" i="100"/>
  <c r="K64" i="100"/>
  <c r="F65" i="100"/>
  <c r="G65" i="100"/>
  <c r="H65" i="100"/>
  <c r="I65" i="100"/>
  <c r="J65" i="100"/>
  <c r="K65" i="100"/>
  <c r="F66" i="100"/>
  <c r="G66" i="100"/>
  <c r="H66" i="100"/>
  <c r="I66" i="100"/>
  <c r="J66" i="100"/>
  <c r="K66" i="100"/>
  <c r="F67" i="100"/>
  <c r="G67" i="100"/>
  <c r="H67" i="100"/>
  <c r="I67" i="100"/>
  <c r="J67" i="100"/>
  <c r="K67" i="100"/>
  <c r="F68" i="100"/>
  <c r="G68" i="100"/>
  <c r="I68" i="100"/>
  <c r="J68" i="100"/>
  <c r="F69" i="100"/>
  <c r="G69" i="100"/>
  <c r="H69" i="100"/>
  <c r="I69" i="100"/>
  <c r="J69" i="100"/>
  <c r="K69" i="100"/>
  <c r="G70" i="100"/>
  <c r="J70" i="100"/>
  <c r="K70" i="100"/>
  <c r="F74" i="100"/>
  <c r="G74" i="100"/>
  <c r="H74" i="100"/>
  <c r="I74" i="100"/>
  <c r="J74" i="100"/>
  <c r="K74" i="100"/>
  <c r="F75" i="100"/>
  <c r="G75" i="100"/>
  <c r="I75" i="100"/>
  <c r="J75" i="100"/>
  <c r="K75" i="100"/>
  <c r="G76" i="100"/>
  <c r="J76" i="100"/>
  <c r="K76" i="100"/>
  <c r="G82" i="100"/>
  <c r="J82" i="100"/>
  <c r="G84" i="100"/>
  <c r="J84" i="100"/>
  <c r="K84" i="100"/>
  <c r="K86" i="100"/>
  <c r="G2" i="15"/>
  <c r="H2" i="15"/>
  <c r="H3" i="15"/>
  <c r="H4" i="15"/>
  <c r="F11" i="15"/>
  <c r="G11" i="15"/>
  <c r="F12" i="15"/>
  <c r="G12" i="15"/>
  <c r="F13" i="15"/>
  <c r="G13" i="15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F20" i="15"/>
  <c r="G20" i="15"/>
  <c r="F21" i="15"/>
  <c r="G21" i="15"/>
  <c r="F22" i="15"/>
  <c r="G22" i="15"/>
  <c r="H22" i="15"/>
  <c r="F23" i="15"/>
  <c r="G23" i="15"/>
  <c r="F24" i="15"/>
  <c r="G24" i="15"/>
  <c r="F25" i="15"/>
  <c r="G25" i="15"/>
  <c r="H25" i="15"/>
  <c r="F26" i="15"/>
  <c r="G26" i="15"/>
  <c r="H26" i="15"/>
  <c r="F27" i="15"/>
  <c r="G27" i="15"/>
  <c r="G28" i="15"/>
  <c r="F30" i="15"/>
  <c r="G30" i="15"/>
  <c r="H30" i="15"/>
  <c r="F31" i="15"/>
  <c r="G31" i="15"/>
  <c r="F32" i="15"/>
  <c r="G32" i="15"/>
  <c r="F33" i="15"/>
  <c r="G33" i="15"/>
  <c r="H33" i="15"/>
  <c r="F34" i="15"/>
  <c r="G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F39" i="15"/>
  <c r="G39" i="15"/>
  <c r="F40" i="15"/>
  <c r="G40" i="15"/>
  <c r="H40" i="15"/>
  <c r="F41" i="15"/>
  <c r="G41" i="15"/>
  <c r="F42" i="15"/>
  <c r="G42" i="15"/>
  <c r="F43" i="15"/>
  <c r="G43" i="15"/>
  <c r="H43" i="15"/>
  <c r="F44" i="15"/>
  <c r="G44" i="15"/>
  <c r="F45" i="15"/>
  <c r="G45" i="15"/>
  <c r="H45" i="15"/>
  <c r="G46" i="15"/>
  <c r="F48" i="15"/>
  <c r="G48" i="15"/>
  <c r="F49" i="15"/>
  <c r="G49" i="15"/>
  <c r="H49" i="15"/>
  <c r="F50" i="15"/>
  <c r="G50" i="15"/>
  <c r="H50" i="15"/>
  <c r="F51" i="15"/>
  <c r="G51" i="15"/>
  <c r="F52" i="15"/>
  <c r="G52" i="15"/>
  <c r="H52" i="15"/>
  <c r="F53" i="15"/>
  <c r="G53" i="15"/>
  <c r="H53" i="15"/>
  <c r="F54" i="15"/>
  <c r="G54" i="15"/>
  <c r="F55" i="15"/>
  <c r="G55" i="15"/>
  <c r="H55" i="15"/>
  <c r="F56" i="15"/>
  <c r="G56" i="15"/>
  <c r="H56" i="15"/>
  <c r="F57" i="15"/>
  <c r="G57" i="15"/>
  <c r="H57" i="15"/>
  <c r="F58" i="15"/>
  <c r="G58" i="15"/>
  <c r="F59" i="15"/>
  <c r="G59" i="15"/>
  <c r="G60" i="15"/>
  <c r="F63" i="15"/>
  <c r="G63" i="15"/>
  <c r="F64" i="15"/>
  <c r="G64" i="15"/>
  <c r="G65" i="15"/>
  <c r="G68" i="15"/>
  <c r="G70" i="15"/>
  <c r="G2" i="16"/>
  <c r="H2" i="16"/>
  <c r="H3" i="16"/>
  <c r="H4" i="16"/>
  <c r="F11" i="16"/>
  <c r="G11" i="16"/>
  <c r="F12" i="16"/>
  <c r="G12" i="16"/>
  <c r="H12" i="16"/>
  <c r="F13" i="16"/>
  <c r="G13" i="16"/>
  <c r="H13" i="16"/>
  <c r="F14" i="16"/>
  <c r="G14" i="16"/>
  <c r="H14" i="16"/>
  <c r="F15" i="16"/>
  <c r="G15" i="16"/>
  <c r="H15" i="16"/>
  <c r="F16" i="16"/>
  <c r="G16" i="16"/>
  <c r="H16" i="16"/>
  <c r="F17" i="16"/>
  <c r="G17" i="16"/>
  <c r="H17" i="16"/>
  <c r="F18" i="16"/>
  <c r="G18" i="16"/>
  <c r="H18" i="16"/>
  <c r="F19" i="16"/>
  <c r="G19" i="16"/>
  <c r="F20" i="16"/>
  <c r="G20" i="16"/>
  <c r="F21" i="16"/>
  <c r="G21" i="16"/>
  <c r="F22" i="16"/>
  <c r="G22" i="16"/>
  <c r="H22" i="16"/>
  <c r="F23" i="16"/>
  <c r="G23" i="16"/>
  <c r="F24" i="16"/>
  <c r="G24" i="16"/>
  <c r="F25" i="16"/>
  <c r="G25" i="16"/>
  <c r="F26" i="16"/>
  <c r="G26" i="16"/>
  <c r="H26" i="16"/>
  <c r="F27" i="16"/>
  <c r="G27" i="16"/>
  <c r="G28" i="16"/>
  <c r="F30" i="16"/>
  <c r="G30" i="16"/>
  <c r="H30" i="16"/>
  <c r="F31" i="16"/>
  <c r="G31" i="16"/>
  <c r="F32" i="16"/>
  <c r="G32" i="16"/>
  <c r="F33" i="16"/>
  <c r="G33" i="16"/>
  <c r="H33" i="16"/>
  <c r="F34" i="16"/>
  <c r="G34" i="16"/>
  <c r="F35" i="16"/>
  <c r="G35" i="16"/>
  <c r="F36" i="16"/>
  <c r="G36" i="16"/>
  <c r="H36" i="16"/>
  <c r="F37" i="16"/>
  <c r="G37" i="16"/>
  <c r="H37" i="16"/>
  <c r="F38" i="16"/>
  <c r="G38" i="16"/>
  <c r="H38" i="16"/>
  <c r="F39" i="16"/>
  <c r="G39" i="16"/>
  <c r="F40" i="16"/>
  <c r="G40" i="16"/>
  <c r="H40" i="16"/>
  <c r="F41" i="16"/>
  <c r="G41" i="16"/>
  <c r="F42" i="16"/>
  <c r="G42" i="16"/>
  <c r="F43" i="16"/>
  <c r="G43" i="16"/>
  <c r="H43" i="16"/>
  <c r="F44" i="16"/>
  <c r="G44" i="16"/>
  <c r="F45" i="16"/>
  <c r="G45" i="16"/>
  <c r="H45" i="16"/>
  <c r="G46" i="16"/>
  <c r="F48" i="16"/>
  <c r="G48" i="16"/>
  <c r="F49" i="16"/>
  <c r="G49" i="16"/>
  <c r="H49" i="16"/>
  <c r="F50" i="16"/>
  <c r="G50" i="16"/>
  <c r="H50" i="16"/>
  <c r="F51" i="16"/>
  <c r="G51" i="16"/>
  <c r="F52" i="16"/>
  <c r="G52" i="16"/>
  <c r="H52" i="16"/>
  <c r="F53" i="16"/>
  <c r="G53" i="16"/>
  <c r="H53" i="16"/>
  <c r="F54" i="16"/>
  <c r="G54" i="16"/>
  <c r="F55" i="16"/>
  <c r="G55" i="16"/>
  <c r="H55" i="16"/>
  <c r="F56" i="16"/>
  <c r="G56" i="16"/>
  <c r="H56" i="16"/>
  <c r="F57" i="16"/>
  <c r="G57" i="16"/>
  <c r="H57" i="16"/>
  <c r="F58" i="16"/>
  <c r="G58" i="16"/>
  <c r="F59" i="16"/>
  <c r="G59" i="16"/>
  <c r="G60" i="16"/>
  <c r="F63" i="16"/>
  <c r="G63" i="16"/>
  <c r="F64" i="16"/>
  <c r="G64" i="16"/>
  <c r="G65" i="16"/>
  <c r="G68" i="16"/>
  <c r="G70" i="16"/>
  <c r="O4" i="2"/>
  <c r="O11" i="2"/>
  <c r="P11" i="2"/>
  <c r="S11" i="2"/>
  <c r="O14" i="2"/>
  <c r="P14" i="2"/>
  <c r="S14" i="2"/>
  <c r="O21" i="2"/>
  <c r="P21" i="2"/>
  <c r="O95" i="2"/>
  <c r="P95" i="2"/>
  <c r="O102" i="2"/>
  <c r="P102" i="2"/>
  <c r="O104" i="2"/>
  <c r="P104" i="2"/>
  <c r="P106" i="2"/>
  <c r="E1" i="21"/>
  <c r="E4" i="21"/>
  <c r="H4" i="21"/>
  <c r="K4" i="21"/>
  <c r="E11" i="21"/>
  <c r="F11" i="21"/>
  <c r="H11" i="21"/>
  <c r="I11" i="21"/>
  <c r="K11" i="21"/>
  <c r="L11" i="21"/>
  <c r="E14" i="21"/>
  <c r="F14" i="21"/>
  <c r="E21" i="21"/>
  <c r="F21" i="21"/>
  <c r="H21" i="21"/>
  <c r="I21" i="21"/>
  <c r="K21" i="21"/>
  <c r="L21" i="21"/>
  <c r="E95" i="21"/>
  <c r="F95" i="21"/>
  <c r="H95" i="21"/>
  <c r="I95" i="21"/>
  <c r="K95" i="21"/>
  <c r="L95" i="21"/>
  <c r="E102" i="21"/>
  <c r="F102" i="21"/>
  <c r="H102" i="21"/>
  <c r="I102" i="21"/>
  <c r="K102" i="21"/>
  <c r="L102" i="21"/>
  <c r="E104" i="21"/>
  <c r="F104" i="21"/>
  <c r="H104" i="21"/>
  <c r="I104" i="21"/>
  <c r="K104" i="21"/>
  <c r="L104" i="21"/>
  <c r="F106" i="21"/>
  <c r="I106" i="21"/>
  <c r="L10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</author>
  </authors>
  <commentList>
    <comment ref="W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Adjusted for half of year for 2024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</author>
  </authors>
  <commentList>
    <comment ref="I47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Glen:</t>
        </r>
        <r>
          <rPr>
            <sz val="9"/>
            <color indexed="81"/>
            <rFont val="Tahoma"/>
            <charset val="1"/>
          </rPr>
          <t xml:space="preserve">
Includes $10,000 annual IRA bonus
</t>
        </r>
      </text>
    </comment>
    <comment ref="G5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Julie is coming back to work 4 days/week
52x4x8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F6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Set at 100% - employee hours seems more appropriate</t>
        </r>
      </text>
    </comment>
    <comment ref="F66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This was hardcoded at 98 percent - employee hours seems more appropriate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E6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This appears to be Customer Counts by County - Does not reflect reg/non-reg split. Changed to staff-created "Average of all allocators"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J49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These were set at 98-1-1. Hardcoded numbers, changed to staff created "Average of Allocators"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  <author>Glen</author>
    <author>Sharbono, Benjamin (UTC)</author>
  </authors>
  <commentList>
    <comment ref="B13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Recycle only</t>
        </r>
      </text>
    </comment>
    <comment ref="B1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Engine for Recycle</t>
        </r>
      </text>
    </comment>
    <comment ref="P1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AN19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Traded in on 2020 Freightliner
</t>
        </r>
      </text>
    </comment>
    <comment ref="L22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Invoice includes a 43,500 trade in credit for a 2007 Sterling w/ McNeilus 20 yd RL Body</t>
        </r>
      </text>
    </comment>
    <comment ref="L2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Trade in for 2007 Sterling Acterra w 20 Yd Cobra - 35,000</t>
        </r>
      </text>
    </comment>
    <comment ref="L32" authorId="1" shapeId="0" xr:uid="{00000000-0006-0000-1600-000007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Includes $40,000 trade in of 2013 Freightliner
</t>
        </r>
      </text>
    </comment>
    <comment ref="S54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How much is personal use adjustment?</t>
        </r>
      </text>
    </comment>
    <comment ref="AN54" authorId="1" shapeId="0" xr:uid="{00000000-0006-0000-1600-000009000000}">
      <text>
        <r>
          <rPr>
            <b/>
            <sz val="9"/>
            <color indexed="81"/>
            <rFont val="Tahoma"/>
            <charset val="1"/>
          </rPr>
          <t>Glen:</t>
        </r>
        <r>
          <rPr>
            <sz val="9"/>
            <color indexed="81"/>
            <rFont val="Tahoma"/>
            <charset val="1"/>
          </rPr>
          <t xml:space="preserve">
Traded in on 2024 GMC
</t>
        </r>
      </text>
    </comment>
    <comment ref="L55" authorId="2" shapeId="0" xr:uid="{00000000-0006-0000-1600-00000A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Trade-in</t>
        </r>
      </text>
    </comment>
    <comment ref="AN59" authorId="1" shapeId="0" xr:uid="{00000000-0006-0000-1600-00000B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Wrecked, Replaced with 2024 
Chevy Flatbed
</t>
        </r>
      </text>
    </comment>
    <comment ref="L69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2 trade-ins 
2005 Sterling w/ McNeilus 20 YD RL 
2004 Freightliner w Rolloff Hoist</t>
        </r>
      </text>
    </comment>
    <comment ref="L71" authorId="1" shapeId="0" xr:uid="{00000000-0006-0000-1600-00000D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Includes a $35,000 trade in credit
</t>
        </r>
      </text>
    </comment>
    <comment ref="P219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P220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P318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</author>
  </authors>
  <commentList>
    <comment ref="K51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This is to high.  Franchise includes containers also. 
We can deliver a lot of totes per trip but only a few containers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</author>
  </authors>
  <commentList>
    <comment ref="C19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Use this number for 
rate cases.  It is from their new depr schedule
</t>
        </r>
      </text>
    </comment>
    <comment ref="C193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Use this number for Rate Cases.  Its from their new Depr Schedule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D26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Changed link to Staff calculated amount</t>
        </r>
      </text>
    </comment>
  </commentList>
</comments>
</file>

<file path=xl/sharedStrings.xml><?xml version="1.0" encoding="utf-8"?>
<sst xmlns="http://schemas.openxmlformats.org/spreadsheetml/2006/main" count="5648" uniqueCount="1471">
  <si>
    <t>Zippy Disposal</t>
  </si>
  <si>
    <t>Glen Austin</t>
  </si>
  <si>
    <t>Change</t>
  </si>
  <si>
    <t>Investment</t>
  </si>
  <si>
    <t>Zippy Disposal Service, Inc.</t>
  </si>
  <si>
    <t>Lurito Calculated Rate Increase</t>
  </si>
  <si>
    <t>Proposed Rate Increase</t>
  </si>
  <si>
    <t>Counts</t>
  </si>
  <si>
    <t>Increase</t>
  </si>
  <si>
    <t>12 Months Ended September 30, 2022</t>
  </si>
  <si>
    <t>INCREASE (DISPOSAL ONLY)</t>
  </si>
  <si>
    <t>STATUS</t>
  </si>
  <si>
    <t>C</t>
  </si>
  <si>
    <t>INCREASE (GENERAL)</t>
  </si>
  <si>
    <t xml:space="preserve"> </t>
  </si>
  <si>
    <t xml:space="preserve">            Chelan County </t>
  </si>
  <si>
    <t>Recycling</t>
  </si>
  <si>
    <t>Calculated</t>
  </si>
  <si>
    <t>Proposed</t>
  </si>
  <si>
    <t xml:space="preserve">Annual </t>
  </si>
  <si>
    <t>Adjusted</t>
  </si>
  <si>
    <t>Current</t>
  </si>
  <si>
    <t>Per Year</t>
  </si>
  <si>
    <t>Percent</t>
  </si>
  <si>
    <t xml:space="preserve">Proposed </t>
  </si>
  <si>
    <t>Service</t>
  </si>
  <si>
    <t>Rates</t>
  </si>
  <si>
    <t>Total</t>
  </si>
  <si>
    <t>Rate</t>
  </si>
  <si>
    <t>Revenue</t>
  </si>
  <si>
    <t>Residential: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</si>
  <si>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</si>
  <si>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</si>
  <si>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</si>
  <si>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</si>
  <si>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</si>
  <si>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</si>
  <si>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</si>
  <si>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 xml:space="preserve">1-45 gal Toter Monthly </t>
  </si>
  <si>
    <t>1-45 gal Toter</t>
  </si>
  <si>
    <t xml:space="preserve">1-65 gal Toter Monthly </t>
  </si>
  <si>
    <t>1-65 gal Toter</t>
  </si>
  <si>
    <t>1-95 gal Toter</t>
  </si>
  <si>
    <t>Extras</t>
  </si>
  <si>
    <t>Carry Out-Base</t>
  </si>
  <si>
    <t>Carry Out-Additional ft</t>
  </si>
  <si>
    <t>Drive In</t>
  </si>
  <si>
    <t>Loose Yd</t>
  </si>
  <si>
    <t xml:space="preserve">Drums </t>
  </si>
  <si>
    <t>Commercial:</t>
  </si>
  <si>
    <t>1 Yard</t>
  </si>
  <si>
    <t>1 Yard Bear</t>
  </si>
  <si>
    <t>1.5 Yard</t>
  </si>
  <si>
    <t>2 Yard</t>
  </si>
  <si>
    <t>2 Yard Bear</t>
  </si>
  <si>
    <t>3 Yard</t>
  </si>
  <si>
    <t>4 Yard</t>
  </si>
  <si>
    <t>6 Yard</t>
  </si>
  <si>
    <t>1 Yard Delivery</t>
  </si>
  <si>
    <t>1.5 Yard Delivery</t>
  </si>
  <si>
    <t>2 Yard Delivery</t>
  </si>
  <si>
    <t>3 Yard Delivery</t>
  </si>
  <si>
    <t>4 Yard Delivery</t>
  </si>
  <si>
    <t>6 Yard Delivery</t>
  </si>
  <si>
    <t>Rollout</t>
  </si>
  <si>
    <t>Locking</t>
  </si>
  <si>
    <t>Drop Boxes: All are temporary</t>
  </si>
  <si>
    <t>10 Yard Haul</t>
  </si>
  <si>
    <t>20 Yard Haul</t>
  </si>
  <si>
    <t>30 Yard Haul</t>
  </si>
  <si>
    <t>10 Yd Daily Rent</t>
  </si>
  <si>
    <t>20 Yd Daily Rent</t>
  </si>
  <si>
    <t>30 Yd Daily Rent</t>
  </si>
  <si>
    <t>10 Yd Delivery</t>
  </si>
  <si>
    <t>20 Yd Delivery</t>
  </si>
  <si>
    <t>30 Yd Delivery</t>
  </si>
  <si>
    <t>Extra Mileage</t>
  </si>
  <si>
    <t>Compactor Turn around</t>
  </si>
  <si>
    <t>20 Yard Haul-Compact</t>
  </si>
  <si>
    <t>30 Yard Haul-Compact</t>
  </si>
  <si>
    <t>Other Garbage Revenue:</t>
  </si>
  <si>
    <t>Time Units:</t>
  </si>
  <si>
    <t>Truck &amp; Driver</t>
  </si>
  <si>
    <t>Extra Man</t>
  </si>
  <si>
    <t>1 Can Monthly</t>
  </si>
  <si>
    <t>Revenue increase</t>
  </si>
  <si>
    <t>Non-Public Companies</t>
  </si>
  <si>
    <t>nonpubco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</si>
  <si>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</si>
  <si>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CALCULATION TABLES</t>
  </si>
  <si>
    <t>Revenue Senstive Taxes (RevS)</t>
  </si>
  <si>
    <t>(b) + (c)</t>
  </si>
  <si>
    <t>(d) + (e)</t>
  </si>
  <si>
    <t>Regession</t>
  </si>
  <si>
    <t>Hauler</t>
  </si>
  <si>
    <t>Revenue Req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</si>
  <si>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</si>
  <si>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</si>
  <si>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</si>
  <si>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</si>
  <si>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</si>
  <si>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</si>
  <si>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</si>
  <si>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</si>
  <si>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</si>
  <si>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</si>
  <si>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</si>
  <si>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</si>
  <si>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</si>
  <si>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</si>
  <si>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</si>
  <si>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</si>
  <si>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</si>
  <si>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</si>
  <si>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</si>
  <si>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</si>
  <si>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</si>
  <si>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>Add: Revenue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</si>
  <si>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</si>
  <si>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</si>
  <si>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</si>
  <si>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</si>
  <si>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</si>
  <si>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</si>
  <si>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</si>
  <si>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</si>
  <si>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</si>
  <si>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</si>
  <si>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</si>
  <si>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</si>
  <si>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</si>
  <si>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</si>
  <si>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 xml:space="preserve"> Sensitive Taxes</t>
  </si>
  <si>
    <t>Requirment</t>
  </si>
  <si>
    <t>Capital Structure - Debt %</t>
  </si>
  <si>
    <t>Capital Structure - Debt Cost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</si>
  <si>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</si>
  <si>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</si>
  <si>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</si>
  <si>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</si>
  <si>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</si>
  <si>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</si>
  <si>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</si>
  <si>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</si>
  <si>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Staff calculations show the Chelan sections revenue increase is necessary, however, the Douglas/Okanogan operation area LG results in a revenue decrease. Staff deducted the Douglas/Okanogan revenue reduction from the Chelan operation revenue requirement negating overcollection revenue.</t>
  </si>
  <si>
    <t>Bad Debts</t>
  </si>
  <si>
    <t>Net Income</t>
  </si>
  <si>
    <t>3rd Iteration</t>
  </si>
  <si>
    <t>Check when input is complete</t>
  </si>
  <si>
    <t xml:space="preserve">Operating Ratio </t>
  </si>
  <si>
    <t>No</t>
  </si>
  <si>
    <t>For Intial input: Uncheck Checkbox Until Completed</t>
  </si>
  <si>
    <t>Revenue Requirement</t>
  </si>
  <si>
    <t>Adjusted Revenue Requirement</t>
  </si>
  <si>
    <t>Historical Revenue</t>
  </si>
  <si>
    <t>Revenue Increase before taxes</t>
  </si>
  <si>
    <t>Chelan LG increase</t>
  </si>
  <si>
    <t>Rate Increase</t>
  </si>
  <si>
    <t>Rev Sensitive Taxes</t>
  </si>
  <si>
    <t>Allocated overcollection</t>
  </si>
  <si>
    <t>4th Iteration</t>
  </si>
  <si>
    <t>2018 Version Update Changes</t>
  </si>
  <si>
    <t>Net Chelan Rev. Req. Inc.</t>
  </si>
  <si>
    <t>● Allows Income Tax Rate Changes,</t>
  </si>
  <si>
    <t>Percent Increase</t>
  </si>
  <si>
    <t>Chelan Rev. Req.</t>
  </si>
  <si>
    <t>● Minimizes impact of changes in test-year revenue from</t>
  </si>
  <si>
    <t>LG Inc. %</t>
  </si>
  <si>
    <t xml:space="preserve">   resulting revenue requirment,</t>
  </si>
  <si>
    <t>Captial Structure Financing Investment</t>
  </si>
  <si>
    <t>Financing Cost</t>
  </si>
  <si>
    <t>See "Staff Calculations" tab</t>
  </si>
  <si>
    <t>● Corrects interest rate transposition in LG.</t>
  </si>
  <si>
    <t>Type</t>
  </si>
  <si>
    <t>Amount</t>
  </si>
  <si>
    <t>Cost of Capital</t>
  </si>
  <si>
    <t>Weighted</t>
  </si>
  <si>
    <t>5th Iteration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</si>
  <si>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</si>
  <si>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</si>
  <si>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</si>
  <si>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</si>
  <si>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</si>
  <si>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</si>
  <si>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</si>
  <si>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</si>
  <si>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</si>
  <si>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</si>
  <si>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</si>
  <si>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</si>
  <si>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</si>
  <si>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</si>
  <si>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</si>
  <si>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</si>
  <si>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</si>
  <si>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</si>
  <si>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</si>
  <si>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</si>
  <si>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</si>
  <si>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</si>
  <si>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Conversion Factor</t>
  </si>
  <si>
    <t>Curve No. used</t>
  </si>
  <si>
    <t>@EXP(5.70827-(.68367*@LN(T)))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</si>
  <si>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</si>
  <si>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</si>
  <si>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</si>
  <si>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</si>
  <si>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</si>
  <si>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</si>
  <si>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</si>
  <si>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</si>
  <si>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</si>
  <si>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</si>
  <si>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</si>
  <si>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</si>
  <si>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Investment set on Outputs tab Recycling containers and recycling equipment categories</t>
  </si>
  <si>
    <t>Remove</t>
  </si>
  <si>
    <t>Per Books</t>
  </si>
  <si>
    <t>Restating</t>
  </si>
  <si>
    <t xml:space="preserve">Remove </t>
  </si>
  <si>
    <t>Commercial</t>
  </si>
  <si>
    <t>Commingled</t>
  </si>
  <si>
    <t>Chelan</t>
  </si>
  <si>
    <t>Douglas</t>
  </si>
  <si>
    <t>Okanogan</t>
  </si>
  <si>
    <t>Adjustments</t>
  </si>
  <si>
    <t>Restated</t>
  </si>
  <si>
    <t>Adjustment</t>
  </si>
  <si>
    <t>ROP</t>
  </si>
  <si>
    <t>Contracts</t>
  </si>
  <si>
    <t>REVENUE:</t>
  </si>
  <si>
    <t>Residential revenue</t>
  </si>
  <si>
    <t>Bridgeport Contract</t>
  </si>
  <si>
    <t>Pateros Contract</t>
  </si>
  <si>
    <t>Drop box revenue</t>
  </si>
  <si>
    <t>Drop box pass through fee</t>
  </si>
  <si>
    <t>Commingled Recycling</t>
  </si>
  <si>
    <t>Cardboard Recycling</t>
  </si>
  <si>
    <t>Recycling/Sale of salvage</t>
  </si>
  <si>
    <t>Misc. garbage revenue</t>
  </si>
  <si>
    <t>Total Revenue</t>
  </si>
  <si>
    <t>OPERATING EXPENSES:</t>
  </si>
  <si>
    <t>EQUIP. MAINT. &amp; GARAGE</t>
  </si>
  <si>
    <t>Wages - Truck maintenance</t>
  </si>
  <si>
    <t>Truck Hours</t>
  </si>
  <si>
    <t>Wages - R/O Truck maintenance</t>
  </si>
  <si>
    <t>Wages - Container maint.</t>
  </si>
  <si>
    <t>Wages - R/O Container maint.</t>
  </si>
  <si>
    <t>Wages - Recycle truck maint.</t>
  </si>
  <si>
    <t>Repairs - Trucks</t>
  </si>
  <si>
    <t>Repairs - R/O Trucks</t>
  </si>
  <si>
    <t>Repairs - Containers</t>
  </si>
  <si>
    <t>Repairs - R/O Containers</t>
  </si>
  <si>
    <t>Repairs - Recycle</t>
  </si>
  <si>
    <t>Tires and tubes</t>
  </si>
  <si>
    <t>Truck Miles</t>
  </si>
  <si>
    <t>Tires and tubes R/O</t>
  </si>
  <si>
    <t>Tires and tubes Recycle</t>
  </si>
  <si>
    <t>Other maint &amp; supplies</t>
  </si>
  <si>
    <t>COLLECTION EXPENSES</t>
  </si>
  <si>
    <t>Supervision salaries</t>
  </si>
  <si>
    <t>Drivers &amp; helpers wages</t>
  </si>
  <si>
    <t>Drivers wages - rolloff</t>
  </si>
  <si>
    <t>Drop Box Revenue</t>
  </si>
  <si>
    <t>Drivers wages - delivery</t>
  </si>
  <si>
    <t xml:space="preserve">Drivers wages - Recycle </t>
  </si>
  <si>
    <t>Fuel &amp; oil</t>
  </si>
  <si>
    <t>Fuel &amp; oil R/O</t>
  </si>
  <si>
    <t xml:space="preserve">Fuel &amp; oil - Recycle </t>
  </si>
  <si>
    <t>Other collection expenses</t>
  </si>
  <si>
    <t>Other collection exp - Recycle</t>
  </si>
  <si>
    <t>DISPOSAL FEES</t>
  </si>
  <si>
    <t>Disposal fees-Chelan</t>
  </si>
  <si>
    <t>Disp. fees-Chelan Pass through</t>
  </si>
  <si>
    <t>Disposal fees-Bridgeport</t>
  </si>
  <si>
    <t xml:space="preserve">Disp. Fees-Bridgeport Pass </t>
  </si>
  <si>
    <t>Processing fees - Recycling</t>
  </si>
  <si>
    <t>TRAFFIC,SOLICT. &amp; ADVERT</t>
  </si>
  <si>
    <t>Tariffs and schedules</t>
  </si>
  <si>
    <t>Advertising &amp; promotion</t>
  </si>
  <si>
    <t>INSURANCE &amp; SAFETY EXP.</t>
  </si>
  <si>
    <t>Public Liab &amp; Prop. Damage</t>
  </si>
  <si>
    <t>Workmen's compensation</t>
  </si>
  <si>
    <t>Other insurance expenses</t>
  </si>
  <si>
    <t>ADMINISTRATIVE &amp; GENERAL</t>
  </si>
  <si>
    <t>Salaries - General officers</t>
  </si>
  <si>
    <t>Wages-Billing &amp; collection</t>
  </si>
  <si>
    <t>Wages-General office</t>
  </si>
  <si>
    <t>Office &amp; other expenses</t>
  </si>
  <si>
    <t>Bank service charges</t>
  </si>
  <si>
    <t>Office equipment repairs</t>
  </si>
  <si>
    <t>Office supplies</t>
  </si>
  <si>
    <t>Postage</t>
  </si>
  <si>
    <t>Postage-statements</t>
  </si>
  <si>
    <t>Legal and accounting</t>
  </si>
  <si>
    <t>Communication &amp; utilities</t>
  </si>
  <si>
    <t>Utilities-recycle</t>
  </si>
  <si>
    <t>Employee welfare-health</t>
  </si>
  <si>
    <t>Employee welfare-pension</t>
  </si>
  <si>
    <t>Bad debt collection expense</t>
  </si>
  <si>
    <t>Uncollectible revenue</t>
  </si>
  <si>
    <t>Regulatory expense</t>
  </si>
  <si>
    <t>Dues &amp; subscriptions</t>
  </si>
  <si>
    <t>Employee reimbursements</t>
  </si>
  <si>
    <t>Travel</t>
  </si>
  <si>
    <t>DEPRECIATION EXPENSE</t>
  </si>
  <si>
    <t>Depreciaton expense</t>
  </si>
  <si>
    <t>Gain/loss on asset sale</t>
  </si>
  <si>
    <t>AMORTIZATION</t>
  </si>
  <si>
    <t>Amortization</t>
  </si>
  <si>
    <t>TAXES &amp; LICENSES</t>
  </si>
  <si>
    <t>Vehicle licenses</t>
  </si>
  <si>
    <t>Property taxes</t>
  </si>
  <si>
    <t>Social Security taxes</t>
  </si>
  <si>
    <t>Federal Unemployment taxes</t>
  </si>
  <si>
    <t>State Unemployment taxes</t>
  </si>
  <si>
    <t>State revenue taxes</t>
  </si>
  <si>
    <t>Franchise fees</t>
  </si>
  <si>
    <t>Taxes &amp; licenses - other</t>
  </si>
  <si>
    <t>OPERATING RENTS</t>
  </si>
  <si>
    <t>Rent for land &amp; buildings</t>
  </si>
  <si>
    <t>Rent for land &amp; buildings-Recycle</t>
  </si>
  <si>
    <t>Total operating expenses</t>
  </si>
  <si>
    <t>Net operating income</t>
  </si>
  <si>
    <t>Operating ratio</t>
  </si>
  <si>
    <t>Net Investment</t>
  </si>
  <si>
    <t>Depreciation</t>
  </si>
  <si>
    <t>Green Petroleum</t>
  </si>
  <si>
    <t>Refuse Collection</t>
  </si>
  <si>
    <t>Rolloffs</t>
  </si>
  <si>
    <t>Date</t>
  </si>
  <si>
    <t>Year</t>
  </si>
  <si>
    <t>Rent</t>
  </si>
  <si>
    <t>Gallons</t>
  </si>
  <si>
    <t>October 15</t>
  </si>
  <si>
    <t>October 31</t>
  </si>
  <si>
    <t>November 15</t>
  </si>
  <si>
    <t>November 30</t>
  </si>
  <si>
    <t>December 15</t>
  </si>
  <si>
    <t>December 31</t>
  </si>
  <si>
    <t>January 15</t>
  </si>
  <si>
    <t>January 31</t>
  </si>
  <si>
    <t>February 15</t>
  </si>
  <si>
    <t>February 28</t>
  </si>
  <si>
    <t>March 15</t>
  </si>
  <si>
    <t>March 31</t>
  </si>
  <si>
    <t>April 15</t>
  </si>
  <si>
    <t>April 30</t>
  </si>
  <si>
    <t>May 15</t>
  </si>
  <si>
    <t>May 31</t>
  </si>
  <si>
    <t>June 15</t>
  </si>
  <si>
    <t>June 30</t>
  </si>
  <si>
    <t>July 15</t>
  </si>
  <si>
    <t>July 31</t>
  </si>
  <si>
    <t>August 15</t>
  </si>
  <si>
    <t>August 31</t>
  </si>
  <si>
    <t>September 15</t>
  </si>
  <si>
    <t>September 30</t>
  </si>
  <si>
    <t>Depreciation Allocation</t>
  </si>
  <si>
    <t>Investment Allocation</t>
  </si>
  <si>
    <t>Collection</t>
  </si>
  <si>
    <t>Rolloff</t>
  </si>
  <si>
    <t>Shop</t>
  </si>
  <si>
    <t>Office</t>
  </si>
  <si>
    <t>Recycle</t>
  </si>
  <si>
    <t xml:space="preserve">Recycle </t>
  </si>
  <si>
    <t>Equipment</t>
  </si>
  <si>
    <t>Containers</t>
  </si>
  <si>
    <t>Toters</t>
  </si>
  <si>
    <t>Franchise</t>
  </si>
  <si>
    <t>City of Bridgeport</t>
  </si>
  <si>
    <t>City of Pateros</t>
  </si>
  <si>
    <t>Truck</t>
  </si>
  <si>
    <t>Drop Box</t>
  </si>
  <si>
    <t>Allocation Base</t>
  </si>
  <si>
    <t>Hours</t>
  </si>
  <si>
    <t>Allocation</t>
  </si>
  <si>
    <t>Bridgeport</t>
  </si>
  <si>
    <t>Pateros</t>
  </si>
  <si>
    <t>Commercial Recycling</t>
  </si>
  <si>
    <t>Total Franchise</t>
  </si>
  <si>
    <t>Actual</t>
  </si>
  <si>
    <t>Depreciation:</t>
  </si>
  <si>
    <t>Commingled Recycle Truck:</t>
  </si>
  <si>
    <t>Total Miles</t>
  </si>
  <si>
    <t>Recycle Miles</t>
  </si>
  <si>
    <t>Commercial Recycle Truck:</t>
  </si>
  <si>
    <t>2016 Freightliner</t>
  </si>
  <si>
    <t>Totals</t>
  </si>
  <si>
    <t>Beginning</t>
  </si>
  <si>
    <t>Mo</t>
  </si>
  <si>
    <t>Yr</t>
  </si>
  <si>
    <t>%</t>
  </si>
  <si>
    <t>1999 ISUZU W/6YD TOMCAT</t>
  </si>
  <si>
    <t>1999 ISUZU W/6YD TOMCAT - Salvage Recovery</t>
  </si>
  <si>
    <t>TOTE LIFT - 2005 STERLING</t>
  </si>
  <si>
    <t>TOTE LIFT - 2005 STERLING - Salvage Recovery</t>
  </si>
  <si>
    <t>ENGINE FOR ISUZU 6YD</t>
  </si>
  <si>
    <t>ENGINE FOR ISUZU 6YD - Salvage Recovery</t>
  </si>
  <si>
    <t>2013 FREIGHTLINER W/20YD COBRA</t>
  </si>
  <si>
    <t>2013 FREIGHTLINER W/20YD COBRA - Salvage Recovery</t>
  </si>
  <si>
    <t>2003 PETERBILT 320/HEIL SL</t>
  </si>
  <si>
    <t>2013 PETERBILT SL W/20YD COBRA</t>
  </si>
  <si>
    <t>SOFT TOUCH GRABBERS/HEIL</t>
  </si>
  <si>
    <t>2016 FREIGHTLINER W/20YD COBRA</t>
  </si>
  <si>
    <t>2017 ISUZU WAYNE TOMCAT</t>
  </si>
  <si>
    <t>2003 PETERBILT SL REBUILD</t>
  </si>
  <si>
    <t>2018 PETERBILT SL W/29YD LABRIE</t>
  </si>
  <si>
    <t>2018 FREIGHTLINER W/20YD COBRA</t>
  </si>
  <si>
    <t>2013 PETERBILT SL REBUILD PACKER AND ARM</t>
  </si>
  <si>
    <t xml:space="preserve">2013 PETERBILT SL NEW ARM ASSEMBLY </t>
  </si>
  <si>
    <t>2017 FREIGHTLINER W/20YD COBRA</t>
  </si>
  <si>
    <t>2020 FREIGHTLINER W/20YD COBRA</t>
  </si>
  <si>
    <t>2022 FORD F750 W/11YD QUANTUM</t>
  </si>
  <si>
    <t>TRAILERS</t>
  </si>
  <si>
    <t>Trailers - Salvage Recovery</t>
  </si>
  <si>
    <t>TRAILER</t>
  </si>
  <si>
    <t>Trailer - Salvage Recovery</t>
  </si>
  <si>
    <t>2001 FORD F45O FLATBED</t>
  </si>
  <si>
    <t>2001 FORD F45O FLATBED - Salvage Recovery</t>
  </si>
  <si>
    <t>FORD F250 PICKUP</t>
  </si>
  <si>
    <t>FORD F250 PICKUP - Salvage Recovery</t>
  </si>
  <si>
    <t>SNOW PLOW</t>
  </si>
  <si>
    <t>SNOW PLOW - Salvage Recovery</t>
  </si>
  <si>
    <t>2017 GMC TRUCK</t>
  </si>
  <si>
    <t>2019 FORD TRUCK</t>
  </si>
  <si>
    <t>LIFT GATE FOR 2001 FORD FLATBED(ON DODGE NOW)</t>
  </si>
  <si>
    <t>LIFT GATE INSTALL</t>
  </si>
  <si>
    <t>2021 JEEP TRUCK</t>
  </si>
  <si>
    <t>2021 DODGE 5500 W/FLATBED</t>
  </si>
  <si>
    <t>1994 CHEVY 3500 HOOKLIFT</t>
  </si>
  <si>
    <t>1994 CHEVY 3500 HOOKLIFT - Salvage Recovery</t>
  </si>
  <si>
    <t>2013 FREIGHTLINER ROLLOFF</t>
  </si>
  <si>
    <t>INSTALL HOOKLIFT ON FORD F450</t>
  </si>
  <si>
    <t>BINS</t>
  </si>
  <si>
    <t>CONTAINERS</t>
  </si>
  <si>
    <t>BINS 2 8CYD</t>
  </si>
  <si>
    <t>BINS 14  2CYD</t>
  </si>
  <si>
    <t>BINS 7 1CYD</t>
  </si>
  <si>
    <t>BINS 5 2CYD  4 1CYD</t>
  </si>
  <si>
    <t xml:space="preserve">CONTAINERS 3 1.5CYD      </t>
  </si>
  <si>
    <t xml:space="preserve">CONTAINERS 4 1CYD        </t>
  </si>
  <si>
    <t xml:space="preserve">CONTAINERS 7 2CYD        </t>
  </si>
  <si>
    <t xml:space="preserve">CONTAINERS 1 1CYD        </t>
  </si>
  <si>
    <t xml:space="preserve">CONTAINERS 4 2CYD     </t>
  </si>
  <si>
    <t xml:space="preserve">CONTAINERS 2 1CYD     </t>
  </si>
  <si>
    <t xml:space="preserve">CONTAINERS 2 2CYD     </t>
  </si>
  <si>
    <t xml:space="preserve">CONTAINERS 1 2CYD     </t>
  </si>
  <si>
    <t xml:space="preserve">CONTAINERS 1 4CYD     </t>
  </si>
  <si>
    <t xml:space="preserve">CONTAINERS 2 4CYD     </t>
  </si>
  <si>
    <t xml:space="preserve">CONTAINERS 8 1CYD     </t>
  </si>
  <si>
    <t xml:space="preserve">CONTAINERS 10 2CYD     </t>
  </si>
  <si>
    <t xml:space="preserve">CONTAINERS 5 1CYD     </t>
  </si>
  <si>
    <t xml:space="preserve">CONTAINERS 2 6CYD     </t>
  </si>
  <si>
    <t xml:space="preserve">CONTAINERS 5 6CYD     </t>
  </si>
  <si>
    <t xml:space="preserve">CONTAINERS 10 1CYD     </t>
  </si>
  <si>
    <t xml:space="preserve">CONTAINERS 3 BOTTOMS   </t>
  </si>
  <si>
    <t xml:space="preserve">CONTAINERS 9 2CYD     </t>
  </si>
  <si>
    <t xml:space="preserve">CONTAINERS 5 1CYD      </t>
  </si>
  <si>
    <t xml:space="preserve">CONTAINERS 12 2CYD  </t>
  </si>
  <si>
    <t xml:space="preserve">CONTAINERS 12 1CYD     </t>
  </si>
  <si>
    <t xml:space="preserve">CONTAINERS 2 3CYD     </t>
  </si>
  <si>
    <t xml:space="preserve">CONTAINERS 5 3CYD     </t>
  </si>
  <si>
    <t xml:space="preserve">CONTAINERS 5 2CYD     </t>
  </si>
  <si>
    <t xml:space="preserve">CONTAINERS 8 2CYD     </t>
  </si>
  <si>
    <t xml:space="preserve">CONTAINERS 10 6CYD     </t>
  </si>
  <si>
    <t xml:space="preserve">CONTAINERS 10 1CYD    </t>
  </si>
  <si>
    <t xml:space="preserve">CONTAINERS 20 1CYD     </t>
  </si>
  <si>
    <t xml:space="preserve">CONTAINERS 20 2CYD     </t>
  </si>
  <si>
    <t xml:space="preserve">CONTAINERS 4 4CYD     </t>
  </si>
  <si>
    <t xml:space="preserve">CONTAINERS 15 1CYD     </t>
  </si>
  <si>
    <t xml:space="preserve">CONTAINERS 15 2CYD     </t>
  </si>
  <si>
    <t xml:space="preserve">CONTAINERS 10-1CYD     </t>
  </si>
  <si>
    <t xml:space="preserve">CONTAINERS 2-6CYD     </t>
  </si>
  <si>
    <t xml:space="preserve">CONTAINERS 15-2CYD     </t>
  </si>
  <si>
    <t xml:space="preserve">CONTAINERS 2-4CYD     </t>
  </si>
  <si>
    <t xml:space="preserve">CONTAINERS 1-6CYD     </t>
  </si>
  <si>
    <t xml:space="preserve">CONTAINERS 2-6CYD  HEAVY DUTY   </t>
  </si>
  <si>
    <t>CONTAINERS 10-1YD</t>
  </si>
  <si>
    <t>CONTAINERS 15-2YD</t>
  </si>
  <si>
    <t>CONTAINERS 4-4YD</t>
  </si>
  <si>
    <t>CONTAINERS 2-6YD</t>
  </si>
  <si>
    <t>CONTAINERS 15-1YD</t>
  </si>
  <si>
    <t>CONTAINERS 3-4YD USED</t>
  </si>
  <si>
    <t>CONTAINERS 5-6YD USED</t>
  </si>
  <si>
    <t xml:space="preserve">CONTAINERS 20-1YD </t>
  </si>
  <si>
    <t xml:space="preserve">CONTAINERS 15-2YD </t>
  </si>
  <si>
    <t>CONTAINERS 2-4YD</t>
  </si>
  <si>
    <t>CONTAINERS 1-1YD</t>
  </si>
  <si>
    <t>CONTAINERS 12-1YD</t>
  </si>
  <si>
    <t>CONTAINERS 4-6YD</t>
  </si>
  <si>
    <t>CONTAINERS 10-6YD  USED</t>
  </si>
  <si>
    <t>CONTAINERS 10-4YD  USED</t>
  </si>
  <si>
    <t>CONTAINERS 9-6YD USED</t>
  </si>
  <si>
    <t xml:space="preserve">CONTAINERS 12-1YD </t>
  </si>
  <si>
    <t xml:space="preserve">CONTAINERS 12-2YD </t>
  </si>
  <si>
    <t xml:space="preserve">CONTAINERS 2-6YD </t>
  </si>
  <si>
    <t xml:space="preserve">CONTAINERS 10-2YD </t>
  </si>
  <si>
    <t xml:space="preserve">CONTAINERS 4-6YD </t>
  </si>
  <si>
    <t xml:space="preserve">CONTAINERS 2-4YD </t>
  </si>
  <si>
    <t xml:space="preserve">CONTAINERS 24-2YD </t>
  </si>
  <si>
    <t>REBUILT CONTAINERS</t>
  </si>
  <si>
    <t>CONTAINERS 6-6YD</t>
  </si>
  <si>
    <t>BEAR CONTAINER RETROFITS</t>
  </si>
  <si>
    <t>CONTAINERS 18-2YD</t>
  </si>
  <si>
    <t>CONTAINERS 24-1YD</t>
  </si>
  <si>
    <t>CONTAINERS 6-4YD</t>
  </si>
  <si>
    <t xml:space="preserve">TOTERS 100-65 GAL  </t>
  </si>
  <si>
    <t>TOTERS 100-95 GAL</t>
  </si>
  <si>
    <t xml:space="preserve">TOTERS 348-96 GAL  </t>
  </si>
  <si>
    <t>TOTERS 1176-64 GAL</t>
  </si>
  <si>
    <t>TOTERS 100-64 GAL</t>
  </si>
  <si>
    <t>TOTERS 50-300 GAL</t>
  </si>
  <si>
    <t>TOTERS 564-48 GAL</t>
  </si>
  <si>
    <t>TOTERS 100-96 GAL</t>
  </si>
  <si>
    <t>TOTERS 200-64 GAL</t>
  </si>
  <si>
    <t>TOTERS 20-300 GAL</t>
  </si>
  <si>
    <t>TOTERS 100-45 GAL</t>
  </si>
  <si>
    <t>TOTERS 100-65 GAL</t>
  </si>
  <si>
    <t>TOTERS 120-95 GAL</t>
  </si>
  <si>
    <t>TOTERS 200-95 GAL</t>
  </si>
  <si>
    <t>TOTERS 96-65 GAL</t>
  </si>
  <si>
    <t>TOTERS 192-95 GAL</t>
  </si>
  <si>
    <t>TOTE LID LOCKS</t>
  </si>
  <si>
    <t>TOTERS 10-95 GAL BEAR</t>
  </si>
  <si>
    <t>TOTERS 10-65 GAL BEAR</t>
  </si>
  <si>
    <t>TOTERS 500-95 GAL</t>
  </si>
  <si>
    <t>TOTERS 176-65 GAL</t>
  </si>
  <si>
    <t xml:space="preserve">CONTAINERS 2 30CYD        </t>
  </si>
  <si>
    <t xml:space="preserve">CONTAINERS 1 20CYD     </t>
  </si>
  <si>
    <t xml:space="preserve">CONTAINERS 1 11CYD     </t>
  </si>
  <si>
    <t xml:space="preserve">CONTAINERS 5 40CYD     </t>
  </si>
  <si>
    <t xml:space="preserve">CONTAINERS 2 30CYD     </t>
  </si>
  <si>
    <t xml:space="preserve">CONTAINERS 1 30CYD     </t>
  </si>
  <si>
    <t xml:space="preserve">CONTAINERS 1 20CYD kit     </t>
  </si>
  <si>
    <t>CONTAINERS 2-10YD USED</t>
  </si>
  <si>
    <t xml:space="preserve">CONTAINERS 1-20YD </t>
  </si>
  <si>
    <t>CONTAINERS 1-30YD</t>
  </si>
  <si>
    <t>CONTAINERS 2-10YD</t>
  </si>
  <si>
    <t>CONTAINERS 1-20YD</t>
  </si>
  <si>
    <t>CONTAINERS 2-20YD</t>
  </si>
  <si>
    <t>CONTAINERS 2-30YD</t>
  </si>
  <si>
    <t>REBUILT 30YD</t>
  </si>
  <si>
    <t xml:space="preserve">TOTERS 200-95 GAL RECYCLE </t>
  </si>
  <si>
    <t xml:space="preserve">TOTERS 300-95 GAL RECYCLE </t>
  </si>
  <si>
    <t xml:space="preserve">MOVING USED BAILER </t>
  </si>
  <si>
    <t xml:space="preserve">FLOOR SCALE </t>
  </si>
  <si>
    <t>FLOOR FAN</t>
  </si>
  <si>
    <t xml:space="preserve">WIRE FEED WELDER        </t>
  </si>
  <si>
    <t>SHOP BENCHES</t>
  </si>
  <si>
    <t>AIR COMPRESSOR</t>
  </si>
  <si>
    <t>FORKLIFT</t>
  </si>
  <si>
    <t>AIR IMPACT GUN 1"</t>
  </si>
  <si>
    <t>DEWALT METAL CHOP SAW</t>
  </si>
  <si>
    <t>KUBOTA TRACTOR L4400DT</t>
  </si>
  <si>
    <t>KUBOTA TRACTOR L4400DT - Salvage Recovery</t>
  </si>
  <si>
    <t>LINCOLN WIRE FEED WELDER</t>
  </si>
  <si>
    <t>LINCOLN WIRE FEED WELDER - Salvage Recovery</t>
  </si>
  <si>
    <t>PLASMA CUTTER</t>
  </si>
  <si>
    <t>PLASMA CUTTER - Salvage Recovery</t>
  </si>
  <si>
    <t>PORTABLE WELDER</t>
  </si>
  <si>
    <t>PORTABLE WELDER - Salvage Recovery</t>
  </si>
  <si>
    <t>FLAMMABLE STORAGE CABINET</t>
  </si>
  <si>
    <t>BOBCAT CT225 W/BOX BLADE</t>
  </si>
  <si>
    <t>BENDPAK LIFT</t>
  </si>
  <si>
    <t>JOHN DEERE MOWER</t>
  </si>
  <si>
    <t>TRUCK STEP LADDER</t>
  </si>
  <si>
    <t>BOBCAT CT225 W/BACKHOE</t>
  </si>
  <si>
    <t>DUMP TRAILER 4000#</t>
  </si>
  <si>
    <t xml:space="preserve">HOT PRESSURE WASHER </t>
  </si>
  <si>
    <t>NOREGON SYSTEMS DIAGNOSTIC SYSTEM</t>
  </si>
  <si>
    <t xml:space="preserve">WATER TANK      </t>
  </si>
  <si>
    <t xml:space="preserve">WATER TANK       </t>
  </si>
  <si>
    <t>STORAGE CONTAINER LID</t>
  </si>
  <si>
    <t>1946 CHEVY PANEL TRUCK</t>
  </si>
  <si>
    <t xml:space="preserve">OFFICE DESK &amp; CREDENZA   </t>
  </si>
  <si>
    <t>SECURITY SYSTEM</t>
  </si>
  <si>
    <t>NEC PHONE SYSTEM</t>
  </si>
  <si>
    <t>OFFICE CABINETS</t>
  </si>
  <si>
    <t>OFFICE DESK</t>
  </si>
  <si>
    <t>OKIDATA 395 PRINTER</t>
  </si>
  <si>
    <t>HP 4300DTNS PRINTER</t>
  </si>
  <si>
    <t xml:space="preserve">HP FAX MACHINE </t>
  </si>
  <si>
    <t>DELL OPTIPLEX 330</t>
  </si>
  <si>
    <t>LEXMARK XS652 COPIER</t>
  </si>
  <si>
    <t>DELL XPS COMPUTER</t>
  </si>
  <si>
    <t>DELL VOSTRO LAPTOP</t>
  </si>
  <si>
    <t>DELL XPS 8940 COMPUTER</t>
  </si>
  <si>
    <t>Lurito - Total Franchise</t>
  </si>
  <si>
    <t>NEW IMPROVED LURITO - GALLAGHER FORMULA</t>
  </si>
  <si>
    <t>!??!</t>
  </si>
  <si>
    <t>OP/RATIO</t>
  </si>
  <si>
    <t xml:space="preserve">      curve</t>
  </si>
  <si>
    <t>FORMULAS</t>
  </si>
  <si>
    <t>1st Revenue</t>
  </si>
  <si>
    <t>1st Turnover</t>
  </si>
  <si>
    <t>M</t>
  </si>
  <si>
    <t>ROR</t>
  </si>
  <si>
    <t>Adj ROE</t>
  </si>
  <si>
    <t>Pre Tax ROE</t>
  </si>
  <si>
    <t>Adj M</t>
  </si>
  <si>
    <t>Revenues</t>
  </si>
  <si>
    <t>Decision</t>
  </si>
  <si>
    <t xml:space="preserve">     lookup table</t>
  </si>
  <si>
    <t>!!!</t>
  </si>
  <si>
    <t>!!!&lt;--</t>
  </si>
  <si>
    <t xml:space="preserve"> 1. less than 50</t>
  </si>
  <si>
    <t>Revenue Deficiency</t>
  </si>
  <si>
    <t xml:space="preserve"> 2. Between 50 and 125</t>
  </si>
  <si>
    <t>*</t>
  </si>
  <si>
    <t>-</t>
  </si>
  <si>
    <t>* p/f before rates</t>
  </si>
  <si>
    <t xml:space="preserve"> 3. Between 125 and 140</t>
  </si>
  <si>
    <t>Expenses</t>
  </si>
  <si>
    <t xml:space="preserve"> 4. greater than 400</t>
  </si>
  <si>
    <t>Avg. Investment  -</t>
  </si>
  <si>
    <t>curve turnover</t>
  </si>
  <si>
    <t>(calculated)</t>
  </si>
  <si>
    <t>2nd Turnover</t>
  </si>
  <si>
    <t xml:space="preserve">     lookup tables</t>
  </si>
  <si>
    <t>final turnover</t>
  </si>
  <si>
    <t>curve No. used</t>
  </si>
  <si>
    <t xml:space="preserve">Company actual </t>
  </si>
  <si>
    <t>capital structure:</t>
  </si>
  <si>
    <t>OPERATING RATIO -&gt;</t>
  </si>
  <si>
    <t>=</t>
  </si>
  <si>
    <t>3rd Turnover</t>
  </si>
  <si>
    <t xml:space="preserve">Actual Debt Ratio </t>
  </si>
  <si>
    <t xml:space="preserve"> Conversion factor data:</t>
  </si>
  <si>
    <t>Actual Equity Ratio</t>
  </si>
  <si>
    <t>Actual Cost of Debt</t>
  </si>
  <si>
    <t>4th Turnover</t>
  </si>
  <si>
    <t>yes</t>
  </si>
  <si>
    <t>5th Turnover</t>
  </si>
  <si>
    <t>6th Turnover</t>
  </si>
  <si>
    <t>7th turnover</t>
  </si>
  <si>
    <t>8th turnover</t>
  </si>
  <si>
    <t>9th turnover</t>
  </si>
  <si>
    <t>Lurito - Chelan County</t>
  </si>
  <si>
    <t xml:space="preserve">Fuel Proforma </t>
  </si>
  <si>
    <t>Coleman Oil</t>
  </si>
  <si>
    <t>Fleet Fueling/Conoco Phillips</t>
  </si>
  <si>
    <t>Chelan Chevron</t>
  </si>
  <si>
    <t>Average</t>
  </si>
  <si>
    <t>Misc</t>
  </si>
  <si>
    <t>Price</t>
  </si>
  <si>
    <t>Oil</t>
  </si>
  <si>
    <t>Test Period Totals</t>
  </si>
  <si>
    <t>January</t>
  </si>
  <si>
    <t>February</t>
  </si>
  <si>
    <t>March</t>
  </si>
  <si>
    <t>Last 12 month Totals</t>
  </si>
  <si>
    <t>Fuel &amp; Oil</t>
  </si>
  <si>
    <t>Test Year Total from above</t>
  </si>
  <si>
    <t>Restating adjustment</t>
  </si>
  <si>
    <t>Proforma Adjustments:</t>
  </si>
  <si>
    <t>Regular:</t>
  </si>
  <si>
    <t>Last 12 Months</t>
  </si>
  <si>
    <t>Price Differential</t>
  </si>
  <si>
    <t>Times test period gallons</t>
  </si>
  <si>
    <t>Proforma Adjustment</t>
  </si>
  <si>
    <t>Rolloff:</t>
  </si>
  <si>
    <t>Statements of Income - Income Tax Basis</t>
  </si>
  <si>
    <t>1/1/18 -12/31/18</t>
  </si>
  <si>
    <t xml:space="preserve">Drivers wages - delivery </t>
  </si>
  <si>
    <t>Fuel &amp; oil - Rolloff</t>
  </si>
  <si>
    <t>Postage-Statements</t>
  </si>
  <si>
    <t>Utilities-Recycle</t>
  </si>
  <si>
    <t>OTHER INCOME (EXPENSE):</t>
  </si>
  <si>
    <t>Gain on sales of assets</t>
  </si>
  <si>
    <t>Gain on installment sales</t>
  </si>
  <si>
    <t>Net from equipment rental</t>
  </si>
  <si>
    <t>Interest income - banks</t>
  </si>
  <si>
    <t>Interest income - contracts</t>
  </si>
  <si>
    <t>Interest expense-equipment</t>
  </si>
  <si>
    <t>Misc. income</t>
  </si>
  <si>
    <t>Total other income</t>
  </si>
  <si>
    <t>Income before taxes</t>
  </si>
  <si>
    <t>Net income</t>
  </si>
  <si>
    <t>Results of Operations</t>
  </si>
  <si>
    <t>ROP w/o</t>
  </si>
  <si>
    <t xml:space="preserve">Effect of </t>
  </si>
  <si>
    <t>Proforma ROP</t>
  </si>
  <si>
    <t>Fire</t>
  </si>
  <si>
    <t>Recycling &amp;</t>
  </si>
  <si>
    <t>with Proposed</t>
  </si>
  <si>
    <t>Activity</t>
  </si>
  <si>
    <t>Results of Operations by County</t>
  </si>
  <si>
    <t>Per Priceout</t>
  </si>
  <si>
    <t xml:space="preserve">Tires and tubes Recycle </t>
  </si>
  <si>
    <t>Restating Adjustments</t>
  </si>
  <si>
    <t xml:space="preserve">STATUS </t>
  </si>
  <si>
    <t>(1)</t>
  </si>
  <si>
    <t>Remove Federal Depreciation Expense</t>
  </si>
  <si>
    <t>Actual - WUTC</t>
  </si>
  <si>
    <t>(2)</t>
  </si>
  <si>
    <t>Adjust (gain)loss on sale of equipment from Federal to WUTC</t>
  </si>
  <si>
    <t>Amortize gain on equipment traded in:</t>
  </si>
  <si>
    <t>Date of</t>
  </si>
  <si>
    <t xml:space="preserve">Depr Life of </t>
  </si>
  <si>
    <t>Gain to Recognize:</t>
  </si>
  <si>
    <t>Trade in</t>
  </si>
  <si>
    <t>New Asset</t>
  </si>
  <si>
    <t>Gain</t>
  </si>
  <si>
    <t>2013 Freightliner traded in on 2020 Freightliner</t>
  </si>
  <si>
    <t>(3)</t>
  </si>
  <si>
    <t>Reclass Fuel &amp; Oil expense to Rolloff Fuel</t>
  </si>
  <si>
    <t>(4)</t>
  </si>
  <si>
    <t>Adjust Pass through disposal fees</t>
  </si>
  <si>
    <t xml:space="preserve">Pass through </t>
  </si>
  <si>
    <t>Difference</t>
  </si>
  <si>
    <t>(5)</t>
  </si>
  <si>
    <t>Proforma Adjustments</t>
  </si>
  <si>
    <t>Wage Adjustment</t>
  </si>
  <si>
    <t>Drivers</t>
  </si>
  <si>
    <t>Officers</t>
  </si>
  <si>
    <t>Labor and Industries Adjustment</t>
  </si>
  <si>
    <t>Health Insurance Adjustment</t>
  </si>
  <si>
    <t>WRRA Dues &amp; Adjustment to 80%</t>
  </si>
  <si>
    <t xml:space="preserve">Total WRRA </t>
  </si>
  <si>
    <t>Less test year total</t>
  </si>
  <si>
    <t>Less: Sponsor Annual Meeting</t>
  </si>
  <si>
    <t>Total WRRA Dues</t>
  </si>
  <si>
    <t>Advertising Adjustment</t>
  </si>
  <si>
    <t>Remove Event Sponsorships</t>
  </si>
  <si>
    <t>(6)</t>
  </si>
  <si>
    <t>Adjust for City Contract Increases During Test Year</t>
  </si>
  <si>
    <t>(7)</t>
  </si>
  <si>
    <t>B&amp;O Tax on Increased Revenue</t>
  </si>
  <si>
    <t>(8)</t>
  </si>
  <si>
    <t>Disposal Fee Increase - Chelan</t>
  </si>
  <si>
    <t xml:space="preserve">Disposal Fee Increase - Bridgeport </t>
  </si>
  <si>
    <t>(9)</t>
  </si>
  <si>
    <t>Adjust for Affects of Prior Rate Increases</t>
  </si>
  <si>
    <t>Residential Revenue</t>
  </si>
  <si>
    <t>Chelan County</t>
  </si>
  <si>
    <t>Douglas County</t>
  </si>
  <si>
    <t>Okanogan County</t>
  </si>
  <si>
    <t>(10)</t>
  </si>
  <si>
    <t>Fuel Adjustment</t>
  </si>
  <si>
    <t>Regular Fuel Adjustment</t>
  </si>
  <si>
    <t>Rolloff Fuel Adjustment</t>
  </si>
  <si>
    <t>(11)</t>
  </si>
  <si>
    <t>Employment Security Adjustment</t>
  </si>
  <si>
    <t>Rent Expense Adjustment</t>
  </si>
  <si>
    <t>Refuse operations</t>
  </si>
  <si>
    <t>Recycle operations</t>
  </si>
  <si>
    <t>Proforma adjustment</t>
  </si>
  <si>
    <t>Revenue and Cost Allocations</t>
  </si>
  <si>
    <t>Rent for land &amp; buildings-recycle</t>
  </si>
  <si>
    <t>Revenue and Cost Allocations - Contracts</t>
  </si>
  <si>
    <t xml:space="preserve">Bridgeport </t>
  </si>
  <si>
    <t>Staff Agrees with Allocation Method</t>
  </si>
  <si>
    <t>Staff Changed Allocation Method</t>
  </si>
  <si>
    <t xml:space="preserve">Wages - R/O Truck maintenance </t>
  </si>
  <si>
    <t>Utitlities-recycle</t>
  </si>
  <si>
    <t>Revenue and Cost Allocations - Recycling</t>
  </si>
  <si>
    <t xml:space="preserve">Commingled </t>
  </si>
  <si>
    <t>Franchise Allocation</t>
  </si>
  <si>
    <t>Net of Contracts</t>
  </si>
  <si>
    <t>Recycle billing included with regular billing</t>
  </si>
  <si>
    <t>Utiltities-recycle</t>
  </si>
  <si>
    <t>Revenue %</t>
  </si>
  <si>
    <t>Total Wages</t>
  </si>
  <si>
    <t>Revenue and Cost Allocations - Rolloff</t>
  </si>
  <si>
    <t>Net of Contracts/Recycle</t>
  </si>
  <si>
    <t>Total driving hours</t>
  </si>
  <si>
    <t>Actual rolloff hours</t>
  </si>
  <si>
    <t>Regulatory expense %</t>
  </si>
  <si>
    <t>Franchise fees based on weight:</t>
  </si>
  <si>
    <t xml:space="preserve">  Total weight hauled per computation</t>
  </si>
  <si>
    <t xml:space="preserve">  Total weight due to rolloffs</t>
  </si>
  <si>
    <t/>
  </si>
  <si>
    <t>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</si>
  <si>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</si>
  <si>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</si>
  <si>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</si>
  <si>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</si>
  <si>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</si>
  <si>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</si>
  <si>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</si>
  <si>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</si>
  <si>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Date fully Depr</t>
  </si>
  <si>
    <t>Highlighted vehicles subject to personal use adjustment</t>
  </si>
  <si>
    <t>D.</t>
  </si>
  <si>
    <t>Beg of Test Period</t>
  </si>
  <si>
    <t>New assets since last GRC</t>
  </si>
  <si>
    <t>Allocated</t>
  </si>
  <si>
    <t>E.</t>
  </si>
  <si>
    <t>Disposition Date</t>
  </si>
  <si>
    <t xml:space="preserve">Monthly </t>
  </si>
  <si>
    <t xml:space="preserve">Gain to </t>
  </si>
  <si>
    <t xml:space="preserve">Deferred </t>
  </si>
  <si>
    <t>Remove - Recycle</t>
  </si>
  <si>
    <t xml:space="preserve">   Date in</t>
  </si>
  <si>
    <t>Salvage</t>
  </si>
  <si>
    <t xml:space="preserve">  Asset  </t>
  </si>
  <si>
    <t>Disposal</t>
  </si>
  <si>
    <t>Accumulated</t>
  </si>
  <si>
    <t>Branch</t>
  </si>
  <si>
    <t>Accum.</t>
  </si>
  <si>
    <t xml:space="preserve">Sale </t>
  </si>
  <si>
    <t>Sales</t>
  </si>
  <si>
    <t>Accum</t>
  </si>
  <si>
    <t xml:space="preserve">Recognize </t>
  </si>
  <si>
    <t xml:space="preserve">Gain </t>
  </si>
  <si>
    <t xml:space="preserve">   Service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</si>
  <si>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</si>
  <si>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</si>
  <si>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</si>
  <si>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</si>
  <si>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</si>
  <si>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</si>
  <si>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</si>
  <si>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</si>
  <si>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</si>
  <si>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Allo.</t>
  </si>
  <si>
    <t>Depr.</t>
  </si>
  <si>
    <t xml:space="preserve">Staff </t>
  </si>
  <si>
    <t>Depr</t>
  </si>
  <si>
    <t>(loss)</t>
  </si>
  <si>
    <t>Recognize</t>
  </si>
  <si>
    <t>this year</t>
  </si>
  <si>
    <t>DESCRIPTION</t>
  </si>
  <si>
    <t xml:space="preserve">  Yr.</t>
  </si>
  <si>
    <t xml:space="preserve"> Mo.</t>
  </si>
  <si>
    <t>Depn</t>
  </si>
  <si>
    <t>Depn.</t>
  </si>
  <si>
    <t>EOP Investment</t>
  </si>
  <si>
    <t>B</t>
  </si>
  <si>
    <t>C.</t>
  </si>
  <si>
    <t>SL</t>
  </si>
  <si>
    <t>Beg of yr.</t>
  </si>
  <si>
    <t>ROLLOFF EQUIPMENT:</t>
  </si>
  <si>
    <t>TOTAL ROLLOFF EQUIPMENT</t>
  </si>
  <si>
    <t>BINS &amp; CONTAINERS:</t>
  </si>
  <si>
    <t xml:space="preserve">TOTAL BINS &amp; CONTAINERS </t>
  </si>
  <si>
    <t>TOTERS:</t>
  </si>
  <si>
    <t>TOTAL TOTERS</t>
  </si>
  <si>
    <t>ROLLOFF CONTAINERS:</t>
  </si>
  <si>
    <t xml:space="preserve">TOTAL ROLLOFF CONTAINERS </t>
  </si>
  <si>
    <t>RECYCLING TOTERS:</t>
  </si>
  <si>
    <t>TOTAL RECYCLING EQUIP.</t>
  </si>
  <si>
    <t>RECYCLING EQUIPMENT:</t>
  </si>
  <si>
    <t>SHOP EQUIPMENT:</t>
  </si>
  <si>
    <t>TOTAL SHOP EQUIP.</t>
  </si>
  <si>
    <t>TOTAL OTHER EQUIP.</t>
  </si>
  <si>
    <t>OFFICE EQUIP./FURNITURE:</t>
  </si>
  <si>
    <t>TOTAL OFFICE EQUIPMENT</t>
  </si>
  <si>
    <t>TOTAL EQUIPMENT</t>
  </si>
  <si>
    <t>eoy</t>
  </si>
  <si>
    <t>boy</t>
  </si>
  <si>
    <t>Less Other equipment</t>
  </si>
  <si>
    <t>Total WUTC Book Depr</t>
  </si>
  <si>
    <t>NOTE:</t>
  </si>
  <si>
    <t xml:space="preserve"> Set up for calendar year test period</t>
  </si>
  <si>
    <t>12 months in first year</t>
  </si>
  <si>
    <t>0 months in second year</t>
  </si>
  <si>
    <t>XXXX</t>
  </si>
  <si>
    <t>test period year</t>
  </si>
  <si>
    <t>next year</t>
  </si>
  <si>
    <t>Summary of Route Hours, Miles, and Man Hours</t>
  </si>
  <si>
    <t>Net</t>
  </si>
  <si>
    <t>Truck Hours:</t>
  </si>
  <si>
    <t>Employee Hours:</t>
  </si>
  <si>
    <t>Drivers &amp; Helpers Wage Allocation</t>
  </si>
  <si>
    <t>Commingled wages tracked seperately</t>
  </si>
  <si>
    <t>Drivers Wages - Delivery  Allocation</t>
  </si>
  <si>
    <t>Delivery not involved in Commercial Recycling</t>
  </si>
  <si>
    <t>Truck Miles:</t>
  </si>
  <si>
    <t>Fuel allocation</t>
  </si>
  <si>
    <t>Commingled fuel tracked seperately</t>
  </si>
  <si>
    <t>Rolloff Employee Hours (not included in above numbers)</t>
  </si>
  <si>
    <t>As a percentage of Total Truck Hours</t>
  </si>
  <si>
    <t>As a percentage of Total Driving Hours</t>
  </si>
  <si>
    <t>Rolloff Miles (not included in above numbers)</t>
  </si>
  <si>
    <t>As a percentage of Total Truck Miles</t>
  </si>
  <si>
    <t>Rolloff Revenue as a percentage of total revenue (excluding pass through)</t>
  </si>
  <si>
    <t>Container &amp; Toter Counts</t>
  </si>
  <si>
    <t>Toters:</t>
  </si>
  <si>
    <t>45 Toter</t>
  </si>
  <si>
    <t>65 Toter</t>
  </si>
  <si>
    <t>95 Toter</t>
  </si>
  <si>
    <t>95 Recycle</t>
  </si>
  <si>
    <t>Containers:</t>
  </si>
  <si>
    <t>YD-1</t>
  </si>
  <si>
    <t>YD-1.5</t>
  </si>
  <si>
    <t>YD-2</t>
  </si>
  <si>
    <t>YD-3</t>
  </si>
  <si>
    <t>YD-4</t>
  </si>
  <si>
    <t>YD-6</t>
  </si>
  <si>
    <t>YD-8</t>
  </si>
  <si>
    <t>ZIPPY DISPOSAL SERVICE, INC</t>
  </si>
  <si>
    <t>BALANCE SHEET - WUTC</t>
  </si>
  <si>
    <t>ASSETS</t>
  </si>
  <si>
    <t xml:space="preserve">From  </t>
  </si>
  <si>
    <t xml:space="preserve">Company </t>
  </si>
  <si>
    <t>F/S</t>
  </si>
  <si>
    <t>CURRENT ASSETS:</t>
  </si>
  <si>
    <t>Cash on hand</t>
  </si>
  <si>
    <t>WF Cash checking</t>
  </si>
  <si>
    <t>NCNB-MMF savings</t>
  </si>
  <si>
    <t>WF Cash savings</t>
  </si>
  <si>
    <t>CVB Cash savings</t>
  </si>
  <si>
    <t>Edward D. Jones MMF</t>
  </si>
  <si>
    <t>Edward D. Jones Brokerage</t>
  </si>
  <si>
    <t>Accounts receivable</t>
  </si>
  <si>
    <t>Accounts rec.-Other</t>
  </si>
  <si>
    <t>Accounts rec.-Towns</t>
  </si>
  <si>
    <t>Prepaid insurance</t>
  </si>
  <si>
    <t>`</t>
  </si>
  <si>
    <t>Total current assets</t>
  </si>
  <si>
    <t>Prior year</t>
  </si>
  <si>
    <t>PROPERTY &amp; EQUIPMENT:</t>
  </si>
  <si>
    <t>Garbage collection equip.</t>
  </si>
  <si>
    <t>ok</t>
  </si>
  <si>
    <t>Containers &amp; Toters</t>
  </si>
  <si>
    <t>Recycling equipment</t>
  </si>
  <si>
    <t>Service cars &amp; equipment</t>
  </si>
  <si>
    <t>Shop &amp; garage equipment</t>
  </si>
  <si>
    <t>Office furniture &amp; equip</t>
  </si>
  <si>
    <t>depr</t>
  </si>
  <si>
    <t>Less accumulated depr</t>
  </si>
  <si>
    <t>Property &amp; equipment-net</t>
  </si>
  <si>
    <t>OTHER ASSETS:</t>
  </si>
  <si>
    <t>Loan rec.-stockholder</t>
  </si>
  <si>
    <t>Total other assets</t>
  </si>
  <si>
    <t>Total assets</t>
  </si>
  <si>
    <t>ZIPPY DISPOSAL SERVICE, INC.</t>
  </si>
  <si>
    <t>LIABILITIES AND</t>
  </si>
  <si>
    <t>STOCKHOLDERS' EQUITY</t>
  </si>
  <si>
    <t>CURRENT LIABILITIES:</t>
  </si>
  <si>
    <t>Accounts payable</t>
  </si>
  <si>
    <t>Pension plan payable</t>
  </si>
  <si>
    <t>Federal W/H &amp; Fica</t>
  </si>
  <si>
    <t>State unemployment pay</t>
  </si>
  <si>
    <t>State family leave</t>
  </si>
  <si>
    <t>FUTA payable</t>
  </si>
  <si>
    <t>State industrial payable</t>
  </si>
  <si>
    <t>Refuse &amp; B&amp;O tax payable</t>
  </si>
  <si>
    <t>City excise tax payable</t>
  </si>
  <si>
    <t>Chelan County Waste Fee</t>
  </si>
  <si>
    <t>Current portion LTD</t>
  </si>
  <si>
    <t>Total current liabilities</t>
  </si>
  <si>
    <t>LONG TERM DEBT:</t>
  </si>
  <si>
    <t>Notes payable-Wells Fargo</t>
  </si>
  <si>
    <t>Notes payable-Wells Fargo Isuzu</t>
  </si>
  <si>
    <t>Notes payable-Bell Bank</t>
  </si>
  <si>
    <t>Less current portion</t>
  </si>
  <si>
    <t>Total long term debt</t>
  </si>
  <si>
    <t>DEFERRED CREDITS:</t>
  </si>
  <si>
    <t>Deferred gain</t>
  </si>
  <si>
    <t>Total deferred credits</t>
  </si>
  <si>
    <t>STOCKHOLDERS' EQUITY:</t>
  </si>
  <si>
    <t>Beg retained earnings</t>
  </si>
  <si>
    <t>Common stock</t>
  </si>
  <si>
    <t>Less prior period AJE</t>
  </si>
  <si>
    <t>Staff Depr Changes</t>
  </si>
  <si>
    <t>Retained Earnings</t>
  </si>
  <si>
    <t>Less distributions</t>
  </si>
  <si>
    <t>Current Earnings</t>
  </si>
  <si>
    <t>Total stockholder equity</t>
  </si>
  <si>
    <t>Total Liab. &amp; Equity</t>
  </si>
  <si>
    <t>Diff</t>
  </si>
  <si>
    <t>Plug from last year</t>
  </si>
  <si>
    <t>Debt to Equity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</si>
  <si>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</si>
  <si>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Twelve Months</t>
  </si>
  <si>
    <t>Ending</t>
  </si>
  <si>
    <t>Per Books if different</t>
  </si>
  <si>
    <t>Employee Salaries</t>
  </si>
  <si>
    <t>Wages - Truck maintenance - R/O</t>
  </si>
  <si>
    <t>Employee Benefits</t>
  </si>
  <si>
    <t>Truck Operating Costs</t>
  </si>
  <si>
    <t>Wages - Container maint. R/O</t>
  </si>
  <si>
    <t>Repair &amp; Maintenance</t>
  </si>
  <si>
    <t>Insurance &amp; Safety</t>
  </si>
  <si>
    <t>Disposal &amp; Processing</t>
  </si>
  <si>
    <t>Repairs - Trucks R/O</t>
  </si>
  <si>
    <t>Selling &amp; Advertising</t>
  </si>
  <si>
    <t>Repairs - Containers R/O</t>
  </si>
  <si>
    <t>Office and Administration</t>
  </si>
  <si>
    <t>Management Fees</t>
  </si>
  <si>
    <t>Taxes and Licensese</t>
  </si>
  <si>
    <t>Tires and tubes-R/O</t>
  </si>
  <si>
    <t>Rents</t>
  </si>
  <si>
    <t>Tires and tubes-Recycle</t>
  </si>
  <si>
    <t>Other Expenses</t>
  </si>
  <si>
    <t>Gain on equipment sales</t>
  </si>
  <si>
    <t>Customer Price-Out, Regulated - Douglas County</t>
  </si>
  <si>
    <t>c</t>
  </si>
  <si>
    <t xml:space="preserve">            Douglas County </t>
  </si>
  <si>
    <t>Carry Out-Additional</t>
  </si>
  <si>
    <t>Customer Price-Out, Regulated - Okanogan County</t>
  </si>
  <si>
    <t xml:space="preserve">            Okanogan County </t>
  </si>
  <si>
    <t>Lurito - Douglas County</t>
  </si>
  <si>
    <t>Lurito - Okanogan County</t>
  </si>
  <si>
    <t>County Overhead Allocation</t>
  </si>
  <si>
    <t>Regulated/Non-Regulated Alloc.</t>
  </si>
  <si>
    <t>Average of Percentages:</t>
  </si>
  <si>
    <t>County</t>
  </si>
  <si>
    <t>Revenue Break Down</t>
  </si>
  <si>
    <t>Revenue Break Down (No drop box)</t>
  </si>
  <si>
    <t xml:space="preserve">Service Count Break Down </t>
  </si>
  <si>
    <t>Service Count Break Down (Residential and Commercial Only)</t>
  </si>
  <si>
    <t xml:space="preserve"># of Customers </t>
  </si>
  <si>
    <t>Container Count</t>
  </si>
  <si>
    <t>Employee Hours</t>
  </si>
  <si>
    <t>Employee Truck Hours</t>
  </si>
  <si>
    <t>Average % Allocation</t>
  </si>
  <si>
    <t>Revenue Break Down by County (From Counts):</t>
  </si>
  <si>
    <t>Average of Percentages - Recycling</t>
  </si>
  <si>
    <t>Commingle</t>
  </si>
  <si>
    <t xml:space="preserve">Chelan </t>
  </si>
  <si>
    <t>Revenue Break Down by County Excluding Drop Box</t>
  </si>
  <si>
    <t>Revenue Break Down by County Excluding Drop Box  (From Counts):</t>
  </si>
  <si>
    <t xml:space="preserve"> After Proforma Adjustment (9) For Previous Rate Increases:</t>
  </si>
  <si>
    <t>Service Count Break Down by County: ( Should exclude drop box container rents and mileage-fix next time)</t>
  </si>
  <si>
    <t>Total # of Customers By County:</t>
  </si>
  <si>
    <t>Employee Truck Hours:</t>
  </si>
  <si>
    <t>Container Counts by County</t>
  </si>
  <si>
    <t>Drop Box Allocations</t>
  </si>
  <si>
    <t>Drop Box Revenue by County After Profroma</t>
  </si>
  <si>
    <t>Drop Box Revenue by County from Service Counts:</t>
  </si>
  <si>
    <t xml:space="preserve"> Adjustment (9) For Previous Rate Increases:</t>
  </si>
  <si>
    <t>Pass Through Disposal Fees by County:</t>
  </si>
  <si>
    <t>Chelan Transfer Station from Service Counts:</t>
  </si>
  <si>
    <t>Bridgeport Transfer Station from Service Counts:</t>
  </si>
  <si>
    <t>Total Pass Through from Service Counts:</t>
  </si>
  <si>
    <t>Disposal Fee Breakdown</t>
  </si>
  <si>
    <t>Disposal Fees and Yardage - From Yardage Allocation Report</t>
  </si>
  <si>
    <t>Bridgeport Yardage:</t>
  </si>
  <si>
    <t>Bridgeport Disposal Fees:</t>
  </si>
  <si>
    <t>Regulated Total</t>
  </si>
  <si>
    <t>Total yards?</t>
  </si>
  <si>
    <t>By County</t>
  </si>
  <si>
    <t>Chelan Yardage:</t>
  </si>
  <si>
    <t>Chelan Disposal Fees:</t>
  </si>
  <si>
    <t>Service Counts - By County</t>
  </si>
  <si>
    <t xml:space="preserve">!!! Note: Cell references will change from year to year depending on </t>
  </si>
  <si>
    <t>rates in effect during different periods</t>
  </si>
  <si>
    <t xml:space="preserve">       Chelan County </t>
  </si>
  <si>
    <t xml:space="preserve">       Douglas County </t>
  </si>
  <si>
    <t xml:space="preserve">          Okanogan County </t>
  </si>
  <si>
    <t xml:space="preserve">     Okanogan County </t>
  </si>
  <si>
    <t xml:space="preserve">          Full Year</t>
  </si>
  <si>
    <t>Anuual</t>
  </si>
  <si>
    <t xml:space="preserve">Toter Removal </t>
  </si>
  <si>
    <t>Carry Out-Additional feet</t>
  </si>
  <si>
    <t>2 yard Bear</t>
  </si>
  <si>
    <t>Total revenue per counts</t>
  </si>
  <si>
    <t>Monthly Subscribers</t>
  </si>
  <si>
    <t>Add finance charges</t>
  </si>
  <si>
    <t>Less bad debts</t>
  </si>
  <si>
    <t>Add Fuel Surcharge</t>
  </si>
  <si>
    <t>Pass Through Disposal Fees:</t>
  </si>
  <si>
    <t>Compacted Yards</t>
  </si>
  <si>
    <t>Loose Yards</t>
  </si>
  <si>
    <t>Loose Yards-Brush</t>
  </si>
  <si>
    <t>Tons</t>
  </si>
  <si>
    <t>1-95 gal Recycle Tote</t>
  </si>
  <si>
    <t>Commercial Cardboard</t>
  </si>
  <si>
    <t>Wage Summary</t>
  </si>
  <si>
    <t xml:space="preserve"> Month</t>
  </si>
  <si>
    <t xml:space="preserve">Last </t>
  </si>
  <si>
    <t xml:space="preserve">Pay </t>
  </si>
  <si>
    <t xml:space="preserve">     Total Test Period</t>
  </si>
  <si>
    <t xml:space="preserve">Rolloff </t>
  </si>
  <si>
    <t>Name</t>
  </si>
  <si>
    <t>Period</t>
  </si>
  <si>
    <t xml:space="preserve">Hours </t>
  </si>
  <si>
    <t>Raises</t>
  </si>
  <si>
    <t>Effect</t>
  </si>
  <si>
    <t>Month</t>
  </si>
  <si>
    <t>a</t>
  </si>
  <si>
    <t>Carrie Austin</t>
  </si>
  <si>
    <t>Hour</t>
  </si>
  <si>
    <t>Chet Belmont</t>
  </si>
  <si>
    <t>Chance Belmont</t>
  </si>
  <si>
    <t>Narciso Cortes</t>
  </si>
  <si>
    <t>Felipe De La Mora</t>
  </si>
  <si>
    <t>Paul Hunter</t>
  </si>
  <si>
    <t>Randy Lloyd</t>
  </si>
  <si>
    <t>Jerry Mckinney</t>
  </si>
  <si>
    <t>Leo Miller</t>
  </si>
  <si>
    <t>Douglas Ramsey</t>
  </si>
  <si>
    <t>Frank Simpson</t>
  </si>
  <si>
    <t>Eric Straub</t>
  </si>
  <si>
    <t>David Suess</t>
  </si>
  <si>
    <t>Julie Cooper</t>
  </si>
  <si>
    <t>Roberto Vejar</t>
  </si>
  <si>
    <t>Next</t>
  </si>
  <si>
    <t>Old</t>
  </si>
  <si>
    <t>Wage Increases:</t>
  </si>
  <si>
    <t>Payroll</t>
  </si>
  <si>
    <t>Quarter</t>
  </si>
  <si>
    <t>Admin</t>
  </si>
  <si>
    <t>Ended</t>
  </si>
  <si>
    <t>Less amount withheld from employees</t>
  </si>
  <si>
    <t>Average price per hour</t>
  </si>
  <si>
    <t>Current price per hour</t>
  </si>
  <si>
    <t>Current employee w/h rate</t>
  </si>
  <si>
    <t>Current price x total hours</t>
  </si>
  <si>
    <t>Less current w/h x total hours</t>
  </si>
  <si>
    <t>Less test years total</t>
  </si>
  <si>
    <t>Premium</t>
  </si>
  <si>
    <t>Employee</t>
  </si>
  <si>
    <t>Per Month</t>
  </si>
  <si>
    <t>Narciso Cortez</t>
  </si>
  <si>
    <t xml:space="preserve">City Contract Summary </t>
  </si>
  <si>
    <t xml:space="preserve">       City of Bridgeport</t>
  </si>
  <si>
    <t xml:space="preserve">        City of Pateros</t>
  </si>
  <si>
    <t>Proforma Adjustments for Rate Increases</t>
  </si>
  <si>
    <t>October</t>
  </si>
  <si>
    <t>November</t>
  </si>
  <si>
    <t>December</t>
  </si>
  <si>
    <t>April</t>
  </si>
  <si>
    <t>May</t>
  </si>
  <si>
    <t>June</t>
  </si>
  <si>
    <t>July</t>
  </si>
  <si>
    <t>August</t>
  </si>
  <si>
    <t>September</t>
  </si>
  <si>
    <t>Proforma Revenue</t>
  </si>
  <si>
    <t>Less Per Books</t>
  </si>
  <si>
    <t>Disposal Fees</t>
  </si>
  <si>
    <t xml:space="preserve">Rate </t>
  </si>
  <si>
    <t>Per</t>
  </si>
  <si>
    <t>Yards</t>
  </si>
  <si>
    <t>Yard</t>
  </si>
  <si>
    <t>Rate per yard beginning 10/1/2022</t>
  </si>
  <si>
    <t xml:space="preserve">Proforma Adjustment </t>
  </si>
  <si>
    <t xml:space="preserve">Disposal </t>
  </si>
  <si>
    <t>Old Rate</t>
  </si>
  <si>
    <t>New Rate</t>
  </si>
  <si>
    <t>Fees</t>
  </si>
  <si>
    <t>Per Ton</t>
  </si>
  <si>
    <t>Rate per yard beginning 3/1/2019</t>
  </si>
  <si>
    <t>Proforma Effects of Prior Rate Increases - By County</t>
  </si>
  <si>
    <t xml:space="preserve">!!! Note: Cell references will change from year to year depending </t>
  </si>
  <si>
    <t>on rates in effect during different periods</t>
  </si>
  <si>
    <t>Revenue at Prior Rates</t>
  </si>
  <si>
    <t>Revenue at Current Rates</t>
  </si>
  <si>
    <t xml:space="preserve">             Chelan County </t>
  </si>
  <si>
    <t xml:space="preserve">              Chelan County </t>
  </si>
  <si>
    <t xml:space="preserve">Proforma </t>
  </si>
  <si>
    <t xml:space="preserve">  October 2021 - September 2022</t>
  </si>
  <si>
    <t>Prior</t>
  </si>
  <si>
    <t>1-45 gal Toter Monthly</t>
  </si>
  <si>
    <t>1-65 gal Toter Monthly</t>
  </si>
  <si>
    <t>Toter removal</t>
  </si>
  <si>
    <t>Fuel Summary</t>
  </si>
  <si>
    <t>Green Petroleum - Gasoline Only</t>
  </si>
  <si>
    <t>AMEX- Gas</t>
  </si>
  <si>
    <t>Certified Laboratories</t>
  </si>
  <si>
    <t>Employee reimbursement</t>
  </si>
  <si>
    <t>Wage</t>
  </si>
  <si>
    <t>Base</t>
  </si>
  <si>
    <t>Limit</t>
  </si>
  <si>
    <t xml:space="preserve">Less per books </t>
  </si>
  <si>
    <t>Rent Expense</t>
  </si>
  <si>
    <t>Rent Expense:</t>
  </si>
  <si>
    <t>Proforma Adj</t>
  </si>
  <si>
    <t>Refuse Operations:</t>
  </si>
  <si>
    <t>60 Chelan Falls Rd</t>
  </si>
  <si>
    <t>61 Chelan Falls Rd</t>
  </si>
  <si>
    <t>62 Chelan Falls Rd</t>
  </si>
  <si>
    <t>63 Chelan Falls Rd</t>
  </si>
  <si>
    <t xml:space="preserve">Per Books </t>
  </si>
  <si>
    <t>Recycle Operations:</t>
  </si>
  <si>
    <t>64 Chelan Falls Rd</t>
  </si>
  <si>
    <t>Rate Case Checklist</t>
  </si>
  <si>
    <t xml:space="preserve">A = </t>
  </si>
  <si>
    <t>Awaiting Data</t>
  </si>
  <si>
    <t xml:space="preserve">P = </t>
  </si>
  <si>
    <t>Partially Completed</t>
  </si>
  <si>
    <t>C =</t>
  </si>
  <si>
    <t>Completed</t>
  </si>
  <si>
    <t>Annual Report Data Template</t>
  </si>
  <si>
    <t>General Data:</t>
  </si>
  <si>
    <t>Monthly Data-Hours &amp; Miles</t>
  </si>
  <si>
    <t>Monthly Data-Container counts</t>
  </si>
  <si>
    <t>Monthly Data-Disposal fees</t>
  </si>
  <si>
    <t>Service Count Data</t>
  </si>
  <si>
    <t>Pateros Service Counts</t>
  </si>
  <si>
    <t>Bridgeport Service Counts</t>
  </si>
  <si>
    <t>Total Operations</t>
  </si>
  <si>
    <t>Lurito</t>
  </si>
  <si>
    <t>Results of Operations - Regulated</t>
  </si>
  <si>
    <t>Cost Allocations</t>
  </si>
  <si>
    <t>Cost Allocations - Contracts</t>
  </si>
  <si>
    <t>Cost Allocations - Recycle</t>
  </si>
  <si>
    <t>Cost Allocations - Rolloff</t>
  </si>
  <si>
    <t>Depr Allocation</t>
  </si>
  <si>
    <t>Hours and Miles</t>
  </si>
  <si>
    <t>Wutc Balance Sheet</t>
  </si>
  <si>
    <t>Monthly income statements</t>
  </si>
  <si>
    <t>L&amp;I</t>
  </si>
  <si>
    <t>Health Insurance</t>
  </si>
  <si>
    <t>City Contracts</t>
  </si>
  <si>
    <t>Previous Rate Increases</t>
  </si>
  <si>
    <t>Fuel Proforma</t>
  </si>
  <si>
    <t>Employment Security</t>
  </si>
  <si>
    <t>Priceout - Chelan</t>
  </si>
  <si>
    <t>Priceout - Douglas</t>
  </si>
  <si>
    <t>Priceout - Okanogan</t>
  </si>
  <si>
    <t>Lurito- Chelan</t>
  </si>
  <si>
    <t>Lurito - Douglas</t>
  </si>
  <si>
    <t>Lurito - Okanogan</t>
  </si>
  <si>
    <t>Overhead Allocations</t>
  </si>
  <si>
    <t>Drop Box Allocation</t>
  </si>
  <si>
    <t>Service Counts</t>
  </si>
  <si>
    <t>Copies: (Put in Back Tab of Notebook)</t>
  </si>
  <si>
    <t>Landfill rate ordinances</t>
  </si>
  <si>
    <t>A</t>
  </si>
  <si>
    <t>Building &amp; Property Rent</t>
  </si>
  <si>
    <t>Supporting Documents for Staff:</t>
  </si>
  <si>
    <t>(These can be sent later directly to staff)</t>
  </si>
  <si>
    <t>Equipment receipts</t>
  </si>
  <si>
    <t>Loan documents</t>
  </si>
  <si>
    <t>L&amp;I rate notice</t>
  </si>
  <si>
    <t>Employment Security rate notice</t>
  </si>
  <si>
    <t>Quarterly reports</t>
  </si>
  <si>
    <t>B&amp;O reports</t>
  </si>
  <si>
    <t>General Data</t>
  </si>
  <si>
    <t>Tax Rates:</t>
  </si>
  <si>
    <t>State B&amp;O tax - Services</t>
  </si>
  <si>
    <t>State B&amp;O tax - Retailing</t>
  </si>
  <si>
    <t>State Refuse Collection tax</t>
  </si>
  <si>
    <t>Info from WUTC Depreciation Schedule:</t>
  </si>
  <si>
    <t xml:space="preserve">Recycling </t>
  </si>
  <si>
    <t>Non</t>
  </si>
  <si>
    <t>Operating</t>
  </si>
  <si>
    <t>Depreciation Expense</t>
  </si>
  <si>
    <t>(Recheck cell references after updating Depr schedule)</t>
  </si>
  <si>
    <t>Total Net Average Investment</t>
  </si>
  <si>
    <t>Number of Customers By County:</t>
  </si>
  <si>
    <t>Number of Customers by Customer Class:</t>
  </si>
  <si>
    <t xml:space="preserve">Douglas </t>
  </si>
  <si>
    <t>Residential</t>
  </si>
  <si>
    <t>From Monthly Reports</t>
  </si>
  <si>
    <t>Yards per County</t>
  </si>
  <si>
    <t xml:space="preserve">October </t>
  </si>
  <si>
    <t>Cardboard</t>
  </si>
  <si>
    <t>Net Chelan</t>
  </si>
  <si>
    <t>Rolloff Employee Hours</t>
  </si>
  <si>
    <t>From Payroll Reports</t>
  </si>
  <si>
    <t>Rolloff Miles</t>
  </si>
  <si>
    <t>2013 Freighliner Rolloff</t>
  </si>
  <si>
    <t>Goes to Hours &amp; Miles</t>
  </si>
  <si>
    <t>2001 Ford Rolloff</t>
  </si>
  <si>
    <t>RO10</t>
  </si>
  <si>
    <t>RO20</t>
  </si>
  <si>
    <t>RO30</t>
  </si>
  <si>
    <t>YD1</t>
  </si>
  <si>
    <t>YD1.5</t>
  </si>
  <si>
    <t>YD2</t>
  </si>
  <si>
    <t>YD3</t>
  </si>
  <si>
    <t>YD4</t>
  </si>
  <si>
    <t>YD6</t>
  </si>
  <si>
    <t>YD8</t>
  </si>
  <si>
    <t>Chelan Commingled Recycling Yardage:</t>
  </si>
  <si>
    <t>Chelan Commingled Recycling Processing Fees:</t>
  </si>
  <si>
    <t>Chelan Commercial Recycling Yardage:</t>
  </si>
  <si>
    <t>Chelan Commercial Recycling Processing Fees:</t>
  </si>
  <si>
    <t xml:space="preserve">INPUT FROM MONTHLY REVENUE REPORT PER SERVICE PER COUNTY PER DAY/ROUTE </t>
  </si>
  <si>
    <t>Split Year Totals</t>
  </si>
  <si>
    <t xml:space="preserve">January </t>
  </si>
  <si>
    <t>CAN1</t>
  </si>
  <si>
    <t>CHE</t>
  </si>
  <si>
    <t xml:space="preserve">  </t>
  </si>
  <si>
    <t>DOU</t>
  </si>
  <si>
    <t>OKA</t>
  </si>
  <si>
    <t>CAN2</t>
  </si>
  <si>
    <t xml:space="preserve">CAN3 </t>
  </si>
  <si>
    <t>CAN4</t>
  </si>
  <si>
    <t>CAN5</t>
  </si>
  <si>
    <t>CAN6</t>
  </si>
  <si>
    <t>CAN41</t>
  </si>
  <si>
    <t>CAN45</t>
  </si>
  <si>
    <t>CAN61</t>
  </si>
  <si>
    <t>CAN65</t>
  </si>
  <si>
    <t>CAN66</t>
  </si>
  <si>
    <t>CAN95</t>
  </si>
  <si>
    <t>CAN96</t>
  </si>
  <si>
    <t>CANM</t>
  </si>
  <si>
    <t>CANM1</t>
  </si>
  <si>
    <t>CANR95</t>
  </si>
  <si>
    <t>CANU1</t>
  </si>
  <si>
    <t>CANU2</t>
  </si>
  <si>
    <t>CANU3</t>
  </si>
  <si>
    <t>CANU4</t>
  </si>
  <si>
    <t>CANU5</t>
  </si>
  <si>
    <t>CANU6</t>
  </si>
  <si>
    <t>CANX</t>
  </si>
  <si>
    <t>CO100</t>
  </si>
  <si>
    <t>CO125</t>
  </si>
  <si>
    <t>CO25</t>
  </si>
  <si>
    <t>CO50*</t>
  </si>
  <si>
    <t>CP100*</t>
  </si>
  <si>
    <t>CP25</t>
  </si>
  <si>
    <t>CP50*</t>
  </si>
  <si>
    <t>CQ25</t>
  </si>
  <si>
    <t>CQ50</t>
  </si>
  <si>
    <t>CR25*</t>
  </si>
  <si>
    <t>CR50*</t>
  </si>
  <si>
    <t>D1YD</t>
  </si>
  <si>
    <t>D1.5YD</t>
  </si>
  <si>
    <t>D2YD</t>
  </si>
  <si>
    <t>D3YD</t>
  </si>
  <si>
    <t>D4YD</t>
  </si>
  <si>
    <t>D6YD</t>
  </si>
  <si>
    <t>DE10Y</t>
  </si>
  <si>
    <t>DE20Y</t>
  </si>
  <si>
    <t>DE30Y</t>
  </si>
  <si>
    <t>DI</t>
  </si>
  <si>
    <t>DRUMS</t>
  </si>
  <si>
    <t>FC</t>
  </si>
  <si>
    <t>HOURC</t>
  </si>
  <si>
    <t>HOURT</t>
  </si>
  <si>
    <t>HOURX</t>
  </si>
  <si>
    <t>LOCK</t>
  </si>
  <si>
    <t>LOOSE</t>
  </si>
  <si>
    <t>MILES</t>
  </si>
  <si>
    <t>MISC</t>
  </si>
  <si>
    <t>R1YD</t>
  </si>
  <si>
    <t>R1.5YD</t>
  </si>
  <si>
    <t>R2YD</t>
  </si>
  <si>
    <t>R3YD</t>
  </si>
  <si>
    <t>R45,65,95</t>
  </si>
  <si>
    <t>R4YD</t>
  </si>
  <si>
    <t>R6YD</t>
  </si>
  <si>
    <t>RC20</t>
  </si>
  <si>
    <t>RC30</t>
  </si>
  <si>
    <t>RCTURN</t>
  </si>
  <si>
    <t>RO10R</t>
  </si>
  <si>
    <t>RO20R</t>
  </si>
  <si>
    <t>RO30R</t>
  </si>
  <si>
    <t>ROCY</t>
  </si>
  <si>
    <t>ROLL</t>
  </si>
  <si>
    <t>ROLY</t>
  </si>
  <si>
    <t>ROTON</t>
  </si>
  <si>
    <t>ROBR</t>
  </si>
  <si>
    <t>YD1B</t>
  </si>
  <si>
    <t>YD2B</t>
  </si>
  <si>
    <t>YDM1</t>
  </si>
  <si>
    <t>City of Pateros Service Counts</t>
  </si>
  <si>
    <t>Service:</t>
  </si>
  <si>
    <t>1 Can</t>
  </si>
  <si>
    <t>65 gal tote</t>
  </si>
  <si>
    <t>95 gal tote</t>
  </si>
  <si>
    <t>2-95 gal tote</t>
  </si>
  <si>
    <t>Extra Cans</t>
  </si>
  <si>
    <t>1 Yard Rental</t>
  </si>
  <si>
    <t>2 Yard Rental</t>
  </si>
  <si>
    <t>4 Yard Rental</t>
  </si>
  <si>
    <t>6 Yard Rental</t>
  </si>
  <si>
    <t>1 Yard 2x</t>
  </si>
  <si>
    <t>2 Yard 2x</t>
  </si>
  <si>
    <t>4 Yard 2x</t>
  </si>
  <si>
    <t>6 Yard 2x</t>
  </si>
  <si>
    <t>Loose</t>
  </si>
  <si>
    <t>Service Count</t>
  </si>
  <si>
    <t>Total Per Books</t>
  </si>
  <si>
    <t>City of Bridgeport Service Counts</t>
  </si>
  <si>
    <t>Senior 64 gal tote</t>
  </si>
  <si>
    <t>64 gal tote</t>
  </si>
  <si>
    <t>96 gal tote</t>
  </si>
  <si>
    <t>64-gal tote</t>
  </si>
  <si>
    <t>96-gal tote</t>
  </si>
  <si>
    <t>Difference due to delayed cash receipts from City customers and standbys</t>
  </si>
  <si>
    <t>Pickups:</t>
  </si>
  <si>
    <t>Recycling Customers by Month</t>
  </si>
  <si>
    <t xml:space="preserve">December </t>
  </si>
  <si>
    <t xml:space="preserve">July </t>
  </si>
  <si>
    <t xml:space="preserve">September </t>
  </si>
  <si>
    <t>CANB95</t>
  </si>
  <si>
    <t>CANB65</t>
  </si>
  <si>
    <t>DI250</t>
  </si>
  <si>
    <t>TOR</t>
  </si>
  <si>
    <t>TOS</t>
  </si>
  <si>
    <t>TOT</t>
  </si>
  <si>
    <t xml:space="preserve">  January 1 - December 31, 2022</t>
  </si>
  <si>
    <t>Drive In 250</t>
  </si>
  <si>
    <t>1-65 gal Bear Toter</t>
  </si>
  <si>
    <t>1-95 gal Bear Toter</t>
  </si>
  <si>
    <t xml:space="preserve">November </t>
  </si>
  <si>
    <t>RV RC60 FORKLIFT</t>
  </si>
  <si>
    <t>State long term care</t>
  </si>
  <si>
    <t>REBUILT 6YDS</t>
  </si>
  <si>
    <t>4-4YD CONTAINERS</t>
  </si>
  <si>
    <t>18-2YD CONTAINERS</t>
  </si>
  <si>
    <t>20-1YD BEAR LID CONTAINERS</t>
  </si>
  <si>
    <t>2024 CHEVY 3500 W/FLATBED</t>
  </si>
  <si>
    <t>2024 GMC TRUCK</t>
  </si>
  <si>
    <t xml:space="preserve">2003 Peterbilt S/L </t>
  </si>
  <si>
    <t>2017 GMC Truck traded in on 2024 GMC</t>
  </si>
  <si>
    <t>2021 Dodge 5500 Flatbed wrecked &amp; replaced</t>
  </si>
  <si>
    <t>1994 Chevy Hooklift</t>
  </si>
  <si>
    <t>Total WUTC gain</t>
  </si>
  <si>
    <t>Deferred</t>
  </si>
  <si>
    <t>Assets</t>
  </si>
  <si>
    <t>Sold</t>
  </si>
  <si>
    <t xml:space="preserve"> 7/1/23 thru 9/30/23</t>
  </si>
  <si>
    <t xml:space="preserve"> 10/1/23 thru 12/31/23</t>
  </si>
  <si>
    <t>Fernando Loza</t>
  </si>
  <si>
    <t>New Rate for 2024</t>
  </si>
  <si>
    <t>2024 proforma amount</t>
  </si>
  <si>
    <t>AMEX- DEF</t>
  </si>
  <si>
    <t>2 months</t>
  </si>
  <si>
    <t>(8/31 Count)</t>
  </si>
  <si>
    <t xml:space="preserve">2017 Isuzu </t>
  </si>
  <si>
    <t>8/31/23</t>
  </si>
  <si>
    <t>Premera</t>
  </si>
  <si>
    <t>Delta Dental</t>
  </si>
  <si>
    <t>Proforma disposal fees</t>
  </si>
  <si>
    <t>2024 disposal fees</t>
  </si>
  <si>
    <t>7/1/23 - 6/30/24</t>
  </si>
  <si>
    <t>6/30/24</t>
  </si>
  <si>
    <t>7/1/2023 - 6/30/2024</t>
  </si>
  <si>
    <t>Container Count - Aug 31, 2023</t>
  </si>
  <si>
    <t>For The Twelve Months Ending June 30, 2024</t>
  </si>
  <si>
    <t>7/01/2023 - 6/30/2024</t>
  </si>
  <si>
    <t>Baling wire</t>
  </si>
  <si>
    <t>12 Months Ended June 30, 2024</t>
  </si>
  <si>
    <t xml:space="preserve">  July 1, 2023 - June 30, 2024</t>
  </si>
  <si>
    <t>N/A</t>
  </si>
  <si>
    <t>7/1 - 6/30/24</t>
  </si>
  <si>
    <t>12 Months</t>
  </si>
  <si>
    <t>7/1/2023 -</t>
  </si>
  <si>
    <t>Proforma adjustment June 30, 2024</t>
  </si>
  <si>
    <t>Proforma adjustment June 30,2024</t>
  </si>
  <si>
    <t>2024+</t>
  </si>
  <si>
    <t>For The Twelve Months Ending June 30,2024</t>
  </si>
  <si>
    <t>Dobbs Peterbilt Oil</t>
  </si>
  <si>
    <t>Sept</t>
  </si>
  <si>
    <t>2023-24 Chelan Transfer Station Yardage:</t>
  </si>
  <si>
    <t>July 2023</t>
  </si>
  <si>
    <t>August 2023</t>
  </si>
  <si>
    <t>September 2023</t>
  </si>
  <si>
    <t>October 2023</t>
  </si>
  <si>
    <t>November 2023</t>
  </si>
  <si>
    <t>December 2023</t>
  </si>
  <si>
    <t>2023-24 Bridgeport Transfer Station Tonnage:</t>
  </si>
  <si>
    <t>For the twelve months ending June 30, 2024</t>
  </si>
  <si>
    <t xml:space="preserve">  1/1/24 thru 3/31/24</t>
  </si>
  <si>
    <t xml:space="preserve"> 4/1/24 thru 6/30/24</t>
  </si>
  <si>
    <t>Regular</t>
  </si>
  <si>
    <t xml:space="preserve">Overtime </t>
  </si>
  <si>
    <t xml:space="preserve">Regular </t>
  </si>
  <si>
    <t>Overtime</t>
  </si>
  <si>
    <t>Test Period</t>
  </si>
  <si>
    <t>2018 PETERBILT SL W/29YD REBUILD ARM</t>
  </si>
  <si>
    <t>2024 PETERBILT SL W/22YD LABRIE</t>
  </si>
  <si>
    <t>2024 FREIGHTLINER ROLLOFF</t>
  </si>
  <si>
    <t>CONATINERS 1-4YD</t>
  </si>
  <si>
    <t>7/1/23 -</t>
  </si>
  <si>
    <t>Current Monthly Dues 12x $650</t>
  </si>
  <si>
    <t>June 30, 2024</t>
  </si>
  <si>
    <t>2013 Freightliner Rolloff</t>
  </si>
  <si>
    <t>WUTC</t>
  </si>
  <si>
    <t>FY 23-24</t>
  </si>
  <si>
    <t xml:space="preserve">1 Can Occasional </t>
  </si>
  <si>
    <t>Customer Price-Out, Regulated - Chelan County</t>
  </si>
  <si>
    <t>12 months ended June 30, 2024</t>
  </si>
  <si>
    <t xml:space="preserve">            Chlean County </t>
  </si>
  <si>
    <t>Avg Investment</t>
  </si>
  <si>
    <t xml:space="preserve">Results of Operations </t>
  </si>
  <si>
    <t>From Results of Operations Regulated</t>
  </si>
  <si>
    <t>From 2023 Douglas County Solid Waste Reporting Form</t>
  </si>
  <si>
    <t>Not Applicable this time</t>
  </si>
  <si>
    <t>For the Twelve Months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</si>
</sst>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#,##0.0000_);\(#,##0.0000\)"/>
    <numFmt numFmtId="167" formatCode="0_)"/>
    <numFmt numFmtId="168" formatCode="#,##0.000_);\(#,##0.000\)"/>
    <numFmt numFmtId="169" formatCode="0.0000%"/>
    <numFmt numFmtId="170" formatCode="#,##0.000000_);\(#,##0.000000\)"/>
    <numFmt numFmtId="171" formatCode="&quot;$&quot;#,##0.00"/>
    <numFmt numFmtId="172" formatCode="0.0"/>
    <numFmt numFmtId="173" formatCode="0.00000"/>
    <numFmt numFmtId="174" formatCode="0.0000"/>
    <numFmt numFmtId="175" formatCode="0.000"/>
    <numFmt numFmtId="176" formatCode="_(* #,##0.00_);_(* \(#,##0.00\);_(* &quot;-&quot;_);_(@_)"/>
    <numFmt numFmtId="177" formatCode="0.000%"/>
    <numFmt numFmtId="178" formatCode="_(* #,##0_);_(* \(#,##0\);_(* &quot;-&quot;??_);_(@_)"/>
    <numFmt numFmtId="179" formatCode="_(* #,##0.000_);_(* \(#,##0.000\);_(* &quot;-&quot;??_);_(@_)"/>
    <numFmt numFmtId="180" formatCode="_(&quot;$&quot;* #,##0_);_(&quot;$&quot;* \(#,##0\);_(&quot;$&quot;* &quot;-&quot;??_);_(@_)"/>
    <numFmt numFmtId="181" formatCode="0.00000%"/>
    <numFmt numFmtId="182" formatCode="#,##0.00;[Red]#,##0.00"/>
    <numFmt numFmtId="183" formatCode="0.00_);[Red]\(0.00\)"/>
    <numFmt numFmtId="184" formatCode="#,##0.0_);\(#,##0.0\)"/>
    <numFmt numFmtId="185" formatCode="&quot;$&quot;#,##0"/>
    <numFmt numFmtId="186" formatCode="#,##0.00000_);\(#,##0.00000\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1"/>
      <name val="Arial"/>
      <family val="2"/>
    </font>
    <font>
      <sz val="10"/>
      <name val="Times New Roman"/>
      <family val="1"/>
    </font>
    <font>
      <sz val="12"/>
      <name val="SWISS"/>
    </font>
    <font>
      <sz val="10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sz val="12"/>
      <name val="Helv"/>
    </font>
    <font>
      <sz val="12"/>
      <color indexed="10"/>
      <name val="Helv"/>
    </font>
    <font>
      <sz val="14"/>
      <color indexed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b/>
      <sz val="10"/>
      <color theme="9" tint="-0.499984740745262"/>
      <name val="Arial"/>
      <family val="2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indexed="18"/>
      <name val="Times New Roman"/>
      <family val="1"/>
    </font>
    <font>
      <sz val="10"/>
      <color indexed="39"/>
      <name val="Times New Roman"/>
      <family val="1"/>
    </font>
    <font>
      <sz val="12"/>
      <color indexed="18"/>
      <name val="SWISS"/>
    </font>
    <font>
      <sz val="12"/>
      <color indexed="56"/>
      <name val="SWISS"/>
    </font>
    <font>
      <i/>
      <sz val="12"/>
      <name val="SWISS"/>
    </font>
    <font>
      <b/>
      <sz val="10"/>
      <name val="SWISS"/>
    </font>
    <font>
      <b/>
      <sz val="12"/>
      <name val="SWISS"/>
    </font>
    <font>
      <sz val="12"/>
      <color indexed="32"/>
      <name val="SWISS"/>
    </font>
    <font>
      <sz val="12"/>
      <name val="Times New Roman"/>
      <family val="1"/>
    </font>
    <font>
      <sz val="12"/>
      <color indexed="39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8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u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9"/>
      <color indexed="39"/>
      <name val="Times New Roman"/>
      <family val="1"/>
    </font>
    <font>
      <sz val="12"/>
      <color indexed="39"/>
      <name val="SWISS"/>
    </font>
    <font>
      <sz val="14"/>
      <color indexed="9"/>
      <name val="Calibri"/>
      <family val="2"/>
    </font>
    <font>
      <sz val="9"/>
      <color rgb="FF0070C0"/>
      <name val="SWISS"/>
    </font>
    <font>
      <b/>
      <sz val="14"/>
      <name val="SWISS"/>
    </font>
    <font>
      <sz val="8"/>
      <color indexed="9"/>
      <name val="Calibri"/>
      <family val="2"/>
    </font>
    <font>
      <sz val="12"/>
      <color indexed="12"/>
      <name val="SWISS"/>
    </font>
    <font>
      <sz val="10"/>
      <color theme="9" tint="-0.499984740745262"/>
      <name val="Arial"/>
      <family val="2"/>
    </font>
    <font>
      <sz val="12"/>
      <color rgb="FFFF0000"/>
      <name val="Helv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1" fontId="8" fillId="3" borderId="0">
      <alignment horizontal="left"/>
    </xf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2" borderId="0"/>
    <xf numFmtId="0" fontId="19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13" borderId="0" applyNumberFormat="0" applyBorder="0" applyAlignment="0" applyProtection="0"/>
    <xf numFmtId="10" fontId="8" fillId="3" borderId="0"/>
    <xf numFmtId="0" fontId="2" fillId="0" borderId="0"/>
    <xf numFmtId="0" fontId="62" fillId="0" borderId="0"/>
    <xf numFmtId="0" fontId="6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14">
    <xf numFmtId="0" fontId="0" fillId="0" borderId="0" xfId="0"/>
    <xf numFmtId="0" fontId="0" fillId="0" borderId="0" xfId="0" quotePrefix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39" fontId="0" fillId="0" borderId="0" xfId="0" applyNumberFormat="1"/>
    <xf numFmtId="39" fontId="0" fillId="0" borderId="2" xfId="0" applyNumberFormat="1" applyBorder="1"/>
    <xf numFmtId="39" fontId="0" fillId="0" borderId="3" xfId="0" applyNumberFormat="1" applyBorder="1"/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4" fillId="0" borderId="0" xfId="0" applyNumberFormat="1" applyFont="1"/>
    <xf numFmtId="0" fontId="0" fillId="0" borderId="0" xfId="0" applyAlignment="1">
      <alignment horizontal="left"/>
    </xf>
    <xf numFmtId="40" fontId="0" fillId="0" borderId="0" xfId="0" applyNumberFormat="1"/>
    <xf numFmtId="40" fontId="0" fillId="0" borderId="4" xfId="0" applyNumberFormat="1" applyBorder="1"/>
    <xf numFmtId="0" fontId="0" fillId="0" borderId="2" xfId="0" applyBorder="1" applyAlignment="1">
      <alignment horizontal="center"/>
    </xf>
    <xf numFmtId="40" fontId="0" fillId="0" borderId="3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0" borderId="3" xfId="0" applyNumberFormat="1" applyBorder="1"/>
    <xf numFmtId="164" fontId="4" fillId="0" borderId="2" xfId="0" applyNumberFormat="1" applyFont="1" applyBorder="1"/>
    <xf numFmtId="164" fontId="5" fillId="0" borderId="0" xfId="0" applyNumberFormat="1" applyFont="1"/>
    <xf numFmtId="5" fontId="0" fillId="0" borderId="0" xfId="0" applyNumberFormat="1"/>
    <xf numFmtId="37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horizontal="fill"/>
    </xf>
    <xf numFmtId="170" fontId="0" fillId="0" borderId="0" xfId="0" applyNumberFormat="1"/>
    <xf numFmtId="9" fontId="0" fillId="0" borderId="0" xfId="0" applyNumberFormat="1"/>
    <xf numFmtId="9" fontId="4" fillId="0" borderId="0" xfId="0" applyNumberFormat="1" applyFont="1"/>
    <xf numFmtId="10" fontId="4" fillId="0" borderId="0" xfId="0" applyNumberFormat="1" applyFont="1"/>
    <xf numFmtId="10" fontId="0" fillId="0" borderId="4" xfId="0" applyNumberFormat="1" applyBorder="1"/>
    <xf numFmtId="39" fontId="0" fillId="0" borderId="4" xfId="0" applyNumberFormat="1" applyBorder="1"/>
    <xf numFmtId="39" fontId="4" fillId="0" borderId="4" xfId="0" applyNumberFormat="1" applyFont="1" applyBorder="1"/>
    <xf numFmtId="39" fontId="0" fillId="0" borderId="5" xfId="0" applyNumberFormat="1" applyBorder="1"/>
    <xf numFmtId="168" fontId="4" fillId="0" borderId="0" xfId="0" applyNumberFormat="1" applyFont="1"/>
    <xf numFmtId="43" fontId="0" fillId="0" borderId="0" xfId="0" applyNumberFormat="1"/>
    <xf numFmtId="39" fontId="4" fillId="0" borderId="2" xfId="0" applyNumberFormat="1" applyFont="1" applyBorder="1"/>
    <xf numFmtId="39" fontId="5" fillId="0" borderId="3" xfId="0" applyNumberFormat="1" applyFont="1" applyBorder="1"/>
    <xf numFmtId="39" fontId="5" fillId="0" borderId="0" xfId="0" applyNumberFormat="1" applyFont="1"/>
    <xf numFmtId="10" fontId="5" fillId="0" borderId="0" xfId="0" applyNumberFormat="1" applyFont="1"/>
    <xf numFmtId="8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quotePrefix="1" applyNumberFormat="1"/>
    <xf numFmtId="7" fontId="0" fillId="0" borderId="0" xfId="0" applyNumberFormat="1"/>
    <xf numFmtId="4" fontId="0" fillId="0" borderId="4" xfId="0" applyNumberFormat="1" applyBorder="1"/>
    <xf numFmtId="9" fontId="0" fillId="0" borderId="0" xfId="8" applyFont="1"/>
    <xf numFmtId="8" fontId="0" fillId="0" borderId="3" xfId="0" applyNumberFormat="1" applyBorder="1"/>
    <xf numFmtId="44" fontId="0" fillId="0" borderId="0" xfId="4" applyFont="1" applyAlignment="1"/>
    <xf numFmtId="43" fontId="0" fillId="0" borderId="4" xfId="0" applyNumberFormat="1" applyBorder="1"/>
    <xf numFmtId="171" fontId="0" fillId="0" borderId="0" xfId="0" applyNumberFormat="1"/>
    <xf numFmtId="171" fontId="0" fillId="0" borderId="5" xfId="0" applyNumberFormat="1" applyBorder="1"/>
    <xf numFmtId="7" fontId="0" fillId="0" borderId="2" xfId="0" applyNumberFormat="1" applyBorder="1"/>
    <xf numFmtId="0" fontId="6" fillId="0" borderId="0" xfId="0" applyFont="1"/>
    <xf numFmtId="0" fontId="7" fillId="0" borderId="0" xfId="0" applyFont="1"/>
    <xf numFmtId="44" fontId="0" fillId="0" borderId="0" xfId="4" applyFont="1"/>
    <xf numFmtId="44" fontId="0" fillId="0" borderId="0" xfId="0" applyNumberFormat="1"/>
    <xf numFmtId="171" fontId="0" fillId="0" borderId="0" xfId="4" applyNumberFormat="1" applyFont="1" applyAlignment="1">
      <alignment horizontal="right"/>
    </xf>
    <xf numFmtId="0" fontId="0" fillId="0" borderId="4" xfId="0" applyBorder="1"/>
    <xf numFmtId="170" fontId="4" fillId="0" borderId="0" xfId="0" applyNumberFormat="1" applyFont="1"/>
    <xf numFmtId="43" fontId="0" fillId="0" borderId="0" xfId="1" applyFont="1"/>
    <xf numFmtId="43" fontId="0" fillId="0" borderId="4" xfId="1" applyFont="1" applyBorder="1"/>
    <xf numFmtId="2" fontId="0" fillId="0" borderId="0" xfId="0" applyNumberFormat="1"/>
    <xf numFmtId="2" fontId="0" fillId="0" borderId="4" xfId="0" applyNumberFormat="1" applyBorder="1"/>
    <xf numFmtId="164" fontId="27" fillId="0" borderId="0" xfId="0" applyNumberFormat="1" applyFont="1"/>
    <xf numFmtId="164" fontId="0" fillId="0" borderId="0" xfId="8" applyNumberFormat="1" applyFont="1"/>
    <xf numFmtId="171" fontId="0" fillId="0" borderId="0" xfId="1" applyNumberFormat="1" applyFont="1"/>
    <xf numFmtId="41" fontId="0" fillId="0" borderId="0" xfId="0" applyNumberFormat="1"/>
    <xf numFmtId="176" fontId="0" fillId="0" borderId="0" xfId="0" applyNumberFormat="1"/>
    <xf numFmtId="10" fontId="0" fillId="0" borderId="0" xfId="8" applyNumberFormat="1" applyFont="1"/>
    <xf numFmtId="44" fontId="0" fillId="0" borderId="2" xfId="0" applyNumberFormat="1" applyBorder="1"/>
    <xf numFmtId="164" fontId="27" fillId="0" borderId="2" xfId="0" applyNumberFormat="1" applyFont="1" applyBorder="1"/>
    <xf numFmtId="164" fontId="0" fillId="6" borderId="0" xfId="0" applyNumberFormat="1" applyFill="1"/>
    <xf numFmtId="178" fontId="0" fillId="0" borderId="0" xfId="1" applyNumberFormat="1" applyFont="1"/>
    <xf numFmtId="180" fontId="0" fillId="0" borderId="0" xfId="4" applyNumberFormat="1" applyFont="1"/>
    <xf numFmtId="180" fontId="0" fillId="0" borderId="2" xfId="4" applyNumberFormat="1" applyFont="1" applyBorder="1"/>
    <xf numFmtId="180" fontId="5" fillId="0" borderId="0" xfId="4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180" fontId="0" fillId="0" borderId="6" xfId="4" applyNumberFormat="1" applyFont="1" applyBorder="1"/>
    <xf numFmtId="180" fontId="0" fillId="0" borderId="8" xfId="4" applyNumberFormat="1" applyFont="1" applyBorder="1"/>
    <xf numFmtId="39" fontId="0" fillId="0" borderId="6" xfId="0" applyNumberFormat="1" applyBorder="1"/>
    <xf numFmtId="172" fontId="0" fillId="0" borderId="0" xfId="0" applyNumberFormat="1"/>
    <xf numFmtId="10" fontId="11" fillId="0" borderId="0" xfId="0" applyNumberFormat="1" applyFont="1"/>
    <xf numFmtId="44" fontId="11" fillId="0" borderId="0" xfId="5" applyFont="1"/>
    <xf numFmtId="0" fontId="11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quotePrefix="1" applyBorder="1"/>
    <xf numFmtId="10" fontId="4" fillId="0" borderId="0" xfId="9" applyNumberFormat="1" applyFont="1"/>
    <xf numFmtId="10" fontId="0" fillId="0" borderId="0" xfId="9" applyNumberFormat="1" applyFont="1"/>
    <xf numFmtId="181" fontId="11" fillId="0" borderId="0" xfId="9" applyNumberFormat="1" applyFont="1"/>
    <xf numFmtId="171" fontId="11" fillId="0" borderId="0" xfId="0" applyNumberFormat="1" applyFont="1"/>
    <xf numFmtId="0" fontId="0" fillId="0" borderId="16" xfId="0" applyBorder="1"/>
    <xf numFmtId="10" fontId="0" fillId="0" borderId="6" xfId="0" applyNumberFormat="1" applyBorder="1"/>
    <xf numFmtId="39" fontId="0" fillId="0" borderId="16" xfId="0" applyNumberFormat="1" applyBorder="1"/>
    <xf numFmtId="4" fontId="0" fillId="0" borderId="6" xfId="0" applyNumberFormat="1" applyBorder="1"/>
    <xf numFmtId="10" fontId="0" fillId="0" borderId="16" xfId="0" applyNumberFormat="1" applyBorder="1"/>
    <xf numFmtId="39" fontId="0" fillId="0" borderId="17" xfId="0" applyNumberFormat="1" applyBorder="1"/>
    <xf numFmtId="39" fontId="0" fillId="0" borderId="8" xfId="0" applyNumberFormat="1" applyBorder="1"/>
    <xf numFmtId="39" fontId="0" fillId="7" borderId="2" xfId="0" applyNumberFormat="1" applyFill="1" applyBorder="1"/>
    <xf numFmtId="0" fontId="0" fillId="0" borderId="18" xfId="0" applyBorder="1"/>
    <xf numFmtId="0" fontId="0" fillId="0" borderId="19" xfId="0" applyBorder="1"/>
    <xf numFmtId="181" fontId="4" fillId="0" borderId="0" xfId="0" applyNumberFormat="1" applyFont="1"/>
    <xf numFmtId="174" fontId="4" fillId="0" borderId="0" xfId="9" applyNumberFormat="1" applyFont="1"/>
    <xf numFmtId="174" fontId="4" fillId="0" borderId="0" xfId="0" applyNumberFormat="1" applyFont="1"/>
    <xf numFmtId="0" fontId="27" fillId="0" borderId="0" xfId="0" applyFont="1"/>
    <xf numFmtId="39" fontId="27" fillId="0" borderId="0" xfId="0" applyNumberFormat="1" applyFont="1"/>
    <xf numFmtId="43" fontId="0" fillId="0" borderId="3" xfId="0" applyNumberFormat="1" applyBorder="1"/>
    <xf numFmtId="164" fontId="0" fillId="0" borderId="4" xfId="0" applyNumberFormat="1" applyBorder="1"/>
    <xf numFmtId="41" fontId="0" fillId="0" borderId="3" xfId="0" applyNumberFormat="1" applyBorder="1"/>
    <xf numFmtId="37" fontId="0" fillId="0" borderId="3" xfId="0" applyNumberFormat="1" applyBorder="1"/>
    <xf numFmtId="37" fontId="0" fillId="0" borderId="4" xfId="0" applyNumberFormat="1" applyBorder="1"/>
    <xf numFmtId="10" fontId="0" fillId="0" borderId="20" xfId="0" applyNumberFormat="1" applyBorder="1"/>
    <xf numFmtId="164" fontId="0" fillId="0" borderId="20" xfId="0" applyNumberFormat="1" applyBorder="1"/>
    <xf numFmtId="14" fontId="0" fillId="0" borderId="0" xfId="0" applyNumberFormat="1"/>
    <xf numFmtId="37" fontId="0" fillId="0" borderId="2" xfId="0" applyNumberFormat="1" applyBorder="1"/>
    <xf numFmtId="7" fontId="0" fillId="0" borderId="3" xfId="0" applyNumberFormat="1" applyBorder="1"/>
    <xf numFmtId="7" fontId="0" fillId="0" borderId="11" xfId="0" applyNumberFormat="1" applyBorder="1"/>
    <xf numFmtId="39" fontId="0" fillId="0" borderId="12" xfId="0" applyNumberFormat="1" applyBorder="1"/>
    <xf numFmtId="0" fontId="0" fillId="0" borderId="11" xfId="0" applyBorder="1"/>
    <xf numFmtId="0" fontId="0" fillId="0" borderId="12" xfId="0" applyBorder="1"/>
    <xf numFmtId="39" fontId="0" fillId="0" borderId="9" xfId="0" applyNumberFormat="1" applyBorder="1"/>
    <xf numFmtId="37" fontId="0" fillId="0" borderId="10" xfId="0" applyNumberFormat="1" applyBorder="1"/>
    <xf numFmtId="7" fontId="4" fillId="0" borderId="0" xfId="0" applyNumberFormat="1" applyFont="1"/>
    <xf numFmtId="39" fontId="0" fillId="0" borderId="11" xfId="0" applyNumberFormat="1" applyBorder="1"/>
    <xf numFmtId="37" fontId="0" fillId="0" borderId="12" xfId="0" applyNumberFormat="1" applyBorder="1"/>
    <xf numFmtId="10" fontId="0" fillId="0" borderId="11" xfId="0" applyNumberFormat="1" applyBorder="1"/>
    <xf numFmtId="7" fontId="0" fillId="0" borderId="4" xfId="0" applyNumberFormat="1" applyBorder="1"/>
    <xf numFmtId="171" fontId="0" fillId="0" borderId="11" xfId="0" applyNumberFormat="1" applyBorder="1"/>
    <xf numFmtId="37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0" xfId="0" applyFill="1"/>
    <xf numFmtId="4" fontId="0" fillId="6" borderId="0" xfId="0" applyNumberFormat="1" applyFill="1"/>
    <xf numFmtId="4" fontId="0" fillId="6" borderId="4" xfId="0" applyNumberFormat="1" applyFill="1" applyBorder="1"/>
    <xf numFmtId="3" fontId="0" fillId="0" borderId="0" xfId="0" applyNumberFormat="1"/>
    <xf numFmtId="0" fontId="0" fillId="6" borderId="4" xfId="0" applyFill="1" applyBorder="1"/>
    <xf numFmtId="2" fontId="0" fillId="6" borderId="0" xfId="0" applyNumberFormat="1" applyFill="1"/>
    <xf numFmtId="3" fontId="0" fillId="0" borderId="4" xfId="0" applyNumberFormat="1" applyBorder="1"/>
    <xf numFmtId="3" fontId="0" fillId="6" borderId="0" xfId="0" applyNumberFormat="1" applyFill="1"/>
    <xf numFmtId="14" fontId="12" fillId="6" borderId="0" xfId="0" quotePrefix="1" applyNumberFormat="1" applyFont="1" applyFill="1" applyAlignment="1">
      <alignment horizontal="right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quotePrefix="1" applyNumberFormat="1" applyFill="1" applyAlignment="1">
      <alignment horizontal="center"/>
    </xf>
    <xf numFmtId="7" fontId="5" fillId="0" borderId="3" xfId="0" applyNumberFormat="1" applyFont="1" applyBorder="1"/>
    <xf numFmtId="0" fontId="5" fillId="0" borderId="0" xfId="0" applyFont="1"/>
    <xf numFmtId="182" fontId="0" fillId="0" borderId="0" xfId="0" applyNumberFormat="1"/>
    <xf numFmtId="39" fontId="5" fillId="0" borderId="2" xfId="0" applyNumberFormat="1" applyFont="1" applyBorder="1"/>
    <xf numFmtId="182" fontId="5" fillId="0" borderId="0" xfId="0" applyNumberFormat="1" applyFont="1"/>
    <xf numFmtId="173" fontId="4" fillId="0" borderId="0" xfId="0" applyNumberFormat="1" applyFont="1"/>
    <xf numFmtId="173" fontId="0" fillId="0" borderId="0" xfId="0" applyNumberFormat="1"/>
    <xf numFmtId="182" fontId="0" fillId="0" borderId="3" xfId="0" applyNumberFormat="1" applyBorder="1"/>
    <xf numFmtId="4" fontId="4" fillId="0" borderId="0" xfId="0" applyNumberFormat="1" applyFont="1"/>
    <xf numFmtId="3" fontId="4" fillId="0" borderId="0" xfId="0" applyNumberFormat="1" applyFont="1"/>
    <xf numFmtId="0" fontId="0" fillId="0" borderId="0" xfId="0" quotePrefix="1" applyAlignment="1">
      <alignment horizontal="left"/>
    </xf>
    <xf numFmtId="171" fontId="0" fillId="0" borderId="3" xfId="0" applyNumberFormat="1" applyBorder="1"/>
    <xf numFmtId="4" fontId="0" fillId="0" borderId="2" xfId="0" applyNumberFormat="1" applyBorder="1"/>
    <xf numFmtId="4" fontId="4" fillId="0" borderId="2" xfId="0" applyNumberFormat="1" applyFont="1" applyBorder="1"/>
    <xf numFmtId="171" fontId="0" fillId="0" borderId="4" xfId="0" applyNumberFormat="1" applyBorder="1"/>
    <xf numFmtId="171" fontId="4" fillId="0" borderId="4" xfId="0" applyNumberFormat="1" applyFont="1" applyBorder="1"/>
    <xf numFmtId="44" fontId="0" fillId="0" borderId="0" xfId="5" applyFont="1" applyBorder="1"/>
    <xf numFmtId="44" fontId="4" fillId="0" borderId="0" xfId="5" applyFont="1" applyBorder="1"/>
    <xf numFmtId="43" fontId="0" fillId="0" borderId="0" xfId="3" applyFont="1"/>
    <xf numFmtId="37" fontId="4" fillId="0" borderId="0" xfId="0" applyNumberFormat="1" applyFont="1"/>
    <xf numFmtId="43" fontId="0" fillId="0" borderId="2" xfId="0" applyNumberFormat="1" applyBorder="1"/>
    <xf numFmtId="7" fontId="13" fillId="0" borderId="2" xfId="5" applyNumberFormat="1" applyFont="1" applyBorder="1"/>
    <xf numFmtId="7" fontId="13" fillId="0" borderId="0" xfId="5" applyNumberFormat="1" applyFont="1"/>
    <xf numFmtId="44" fontId="13" fillId="0" borderId="0" xfId="5" applyFont="1"/>
    <xf numFmtId="184" fontId="0" fillId="0" borderId="2" xfId="0" applyNumberFormat="1" applyBorder="1"/>
    <xf numFmtId="184" fontId="0" fillId="0" borderId="0" xfId="0" applyNumberFormat="1"/>
    <xf numFmtId="0" fontId="4" fillId="0" borderId="0" xfId="0" applyFont="1"/>
    <xf numFmtId="0" fontId="13" fillId="0" borderId="0" xfId="0" applyFont="1"/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0" fillId="6" borderId="2" xfId="0" applyNumberFormat="1" applyFill="1" applyBorder="1"/>
    <xf numFmtId="3" fontId="0" fillId="6" borderId="2" xfId="0" applyNumberFormat="1" applyFill="1" applyBorder="1"/>
    <xf numFmtId="4" fontId="0" fillId="0" borderId="3" xfId="0" applyNumberFormat="1" applyBorder="1"/>
    <xf numFmtId="16" fontId="0" fillId="0" borderId="0" xfId="0" quotePrefix="1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centerContinuous"/>
    </xf>
    <xf numFmtId="3" fontId="0" fillId="0" borderId="2" xfId="0" applyNumberFormat="1" applyBorder="1"/>
    <xf numFmtId="3" fontId="0" fillId="0" borderId="3" xfId="0" applyNumberFormat="1" applyBorder="1"/>
    <xf numFmtId="171" fontId="0" fillId="0" borderId="2" xfId="0" applyNumberFormat="1" applyBorder="1"/>
    <xf numFmtId="16" fontId="0" fillId="0" borderId="2" xfId="0" quotePrefix="1" applyNumberFormat="1" applyBorder="1"/>
    <xf numFmtId="7" fontId="0" fillId="0" borderId="4" xfId="5" applyNumberFormat="1" applyFont="1" applyBorder="1"/>
    <xf numFmtId="7" fontId="0" fillId="0" borderId="0" xfId="5" applyNumberFormat="1" applyFont="1"/>
    <xf numFmtId="179" fontId="0" fillId="0" borderId="3" xfId="3" applyNumberFormat="1" applyFont="1" applyBorder="1"/>
    <xf numFmtId="43" fontId="0" fillId="0" borderId="4" xfId="3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1" fontId="4" fillId="0" borderId="0" xfId="0" applyNumberFormat="1" applyFont="1"/>
    <xf numFmtId="185" fontId="0" fillId="0" borderId="0" xfId="0" applyNumberFormat="1"/>
    <xf numFmtId="0" fontId="28" fillId="0" borderId="0" xfId="0" applyFont="1"/>
    <xf numFmtId="4" fontId="13" fillId="0" borderId="0" xfId="0" applyNumberFormat="1" applyFont="1"/>
    <xf numFmtId="0" fontId="17" fillId="0" borderId="0" xfId="0" applyFont="1"/>
    <xf numFmtId="0" fontId="29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40" fontId="0" fillId="0" borderId="0" xfId="0" applyNumberFormat="1" applyAlignment="1">
      <alignment horizontal="right"/>
    </xf>
    <xf numFmtId="178" fontId="0" fillId="0" borderId="0" xfId="3" applyNumberFormat="1" applyFont="1"/>
    <xf numFmtId="10" fontId="0" fillId="0" borderId="2" xfId="9" applyNumberFormat="1" applyFont="1" applyBorder="1" applyAlignment="1">
      <alignment horizontal="right"/>
    </xf>
    <xf numFmtId="40" fontId="0" fillId="0" borderId="2" xfId="0" applyNumberFormat="1" applyBorder="1" applyAlignment="1">
      <alignment horizontal="right"/>
    </xf>
    <xf numFmtId="10" fontId="0" fillId="0" borderId="0" xfId="9" applyNumberFormat="1" applyFont="1" applyAlignment="1">
      <alignment horizontal="right"/>
    </xf>
    <xf numFmtId="2" fontId="27" fillId="0" borderId="2" xfId="0" applyNumberFormat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10" fontId="0" fillId="0" borderId="2" xfId="0" applyNumberForma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40" fontId="4" fillId="0" borderId="0" xfId="0" applyNumberFormat="1" applyFont="1" applyAlignment="1">
      <alignment horizontal="right"/>
    </xf>
    <xf numFmtId="38" fontId="0" fillId="0" borderId="2" xfId="0" applyNumberFormat="1" applyBorder="1" applyAlignment="1">
      <alignment horizontal="right"/>
    </xf>
    <xf numFmtId="0" fontId="27" fillId="0" borderId="2" xfId="0" applyFont="1" applyBorder="1" applyAlignment="1">
      <alignment horizontal="right"/>
    </xf>
    <xf numFmtId="38" fontId="0" fillId="0" borderId="0" xfId="0" applyNumberFormat="1" applyAlignment="1">
      <alignment horizontal="right"/>
    </xf>
    <xf numFmtId="0" fontId="27" fillId="0" borderId="0" xfId="0" applyFont="1" applyAlignment="1">
      <alignment horizontal="right"/>
    </xf>
    <xf numFmtId="38" fontId="4" fillId="0" borderId="2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10" fontId="0" fillId="0" borderId="14" xfId="9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10" fontId="0" fillId="0" borderId="3" xfId="0" applyNumberFormat="1" applyBorder="1" applyAlignment="1">
      <alignment horizontal="right"/>
    </xf>
    <xf numFmtId="38" fontId="0" fillId="0" borderId="3" xfId="0" applyNumberFormat="1" applyBorder="1" applyAlignment="1">
      <alignment horizontal="right"/>
    </xf>
    <xf numFmtId="38" fontId="0" fillId="0" borderId="22" xfId="0" applyNumberFormat="1" applyBorder="1" applyAlignment="1">
      <alignment horizontal="right"/>
    </xf>
    <xf numFmtId="40" fontId="0" fillId="0" borderId="12" xfId="0" applyNumberForma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0" fillId="0" borderId="10" xfId="0" applyNumberForma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0" fillId="0" borderId="12" xfId="0" applyNumberFormat="1" applyBorder="1" applyAlignment="1">
      <alignment horizontal="right"/>
    </xf>
    <xf numFmtId="38" fontId="27" fillId="0" borderId="12" xfId="0" applyNumberFormat="1" applyFont="1" applyBorder="1" applyAlignment="1">
      <alignment horizontal="right"/>
    </xf>
    <xf numFmtId="37" fontId="4" fillId="0" borderId="2" xfId="0" applyNumberFormat="1" applyFont="1" applyBorder="1"/>
    <xf numFmtId="39" fontId="4" fillId="0" borderId="0" xfId="0" applyNumberFormat="1" applyFont="1"/>
    <xf numFmtId="165" fontId="0" fillId="0" borderId="0" xfId="0" applyNumberFormat="1"/>
    <xf numFmtId="0" fontId="18" fillId="0" borderId="0" xfId="0" applyFont="1"/>
    <xf numFmtId="1" fontId="0" fillId="0" borderId="0" xfId="0" applyNumberFormat="1"/>
    <xf numFmtId="14" fontId="0" fillId="0" borderId="0" xfId="0" quotePrefix="1" applyNumberFormat="1" applyAlignment="1">
      <alignment horizontal="center"/>
    </xf>
    <xf numFmtId="0" fontId="19" fillId="0" borderId="0" xfId="7"/>
    <xf numFmtId="0" fontId="20" fillId="0" borderId="0" xfId="7" applyFont="1"/>
    <xf numFmtId="0" fontId="21" fillId="0" borderId="0" xfId="7" applyFont="1"/>
    <xf numFmtId="41" fontId="19" fillId="0" borderId="0" xfId="7" applyNumberFormat="1"/>
    <xf numFmtId="41" fontId="19" fillId="0" borderId="0" xfId="7" applyNumberFormat="1" applyAlignment="1">
      <alignment horizontal="fill"/>
    </xf>
    <xf numFmtId="0" fontId="19" fillId="0" borderId="0" xfId="7" applyAlignment="1">
      <alignment horizontal="left"/>
    </xf>
    <xf numFmtId="4" fontId="22" fillId="0" borderId="0" xfId="7" applyNumberFormat="1" applyFont="1"/>
    <xf numFmtId="4" fontId="23" fillId="0" borderId="5" xfId="7" applyNumberFormat="1" applyFont="1" applyBorder="1"/>
    <xf numFmtId="0" fontId="22" fillId="0" borderId="0" xfId="7" applyFont="1"/>
    <xf numFmtId="41" fontId="20" fillId="0" borderId="0" xfId="7" applyNumberFormat="1" applyFont="1"/>
    <xf numFmtId="41" fontId="24" fillId="0" borderId="5" xfId="7" applyNumberFormat="1" applyFont="1" applyBorder="1" applyAlignment="1">
      <alignment horizontal="fill"/>
    </xf>
    <xf numFmtId="175" fontId="19" fillId="0" borderId="0" xfId="7" applyNumberFormat="1"/>
    <xf numFmtId="1" fontId="19" fillId="0" borderId="0" xfId="7" applyNumberFormat="1"/>
    <xf numFmtId="10" fontId="19" fillId="0" borderId="0" xfId="7" applyNumberFormat="1"/>
    <xf numFmtId="1" fontId="22" fillId="0" borderId="0" xfId="7" applyNumberFormat="1" applyFont="1"/>
    <xf numFmtId="9" fontId="22" fillId="0" borderId="0" xfId="7" applyNumberFormat="1" applyFont="1"/>
    <xf numFmtId="41" fontId="24" fillId="0" borderId="0" xfId="7" applyNumberFormat="1" applyFont="1" applyAlignment="1">
      <alignment horizontal="fill"/>
    </xf>
    <xf numFmtId="0" fontId="19" fillId="0" borderId="21" xfId="7" applyBorder="1"/>
    <xf numFmtId="0" fontId="19" fillId="0" borderId="0" xfId="7" applyAlignment="1">
      <alignment horizontal="center"/>
    </xf>
    <xf numFmtId="41" fontId="19" fillId="0" borderId="4" xfId="7" applyNumberFormat="1" applyBorder="1"/>
    <xf numFmtId="0" fontId="19" fillId="0" borderId="4" xfId="7" applyBorder="1"/>
    <xf numFmtId="41" fontId="24" fillId="0" borderId="5" xfId="7" applyNumberFormat="1" applyFont="1" applyBorder="1"/>
    <xf numFmtId="41" fontId="19" fillId="0" borderId="4" xfId="7" applyNumberFormat="1" applyBorder="1" applyAlignment="1">
      <alignment horizontal="fill"/>
    </xf>
    <xf numFmtId="0" fontId="19" fillId="0" borderId="4" xfId="7" applyBorder="1" applyAlignment="1">
      <alignment horizontal="fill"/>
    </xf>
    <xf numFmtId="43" fontId="19" fillId="0" borderId="0" xfId="7" applyNumberFormat="1"/>
    <xf numFmtId="14" fontId="19" fillId="0" borderId="0" xfId="7" applyNumberFormat="1"/>
    <xf numFmtId="0" fontId="19" fillId="0" borderId="0" xfId="7" applyAlignment="1">
      <alignment horizontal="fill"/>
    </xf>
    <xf numFmtId="0" fontId="19" fillId="0" borderId="4" xfId="7" applyBorder="1" applyAlignment="1">
      <alignment horizontal="center"/>
    </xf>
    <xf numFmtId="14" fontId="24" fillId="0" borderId="4" xfId="7" applyNumberFormat="1" applyFont="1" applyBorder="1" applyAlignment="1">
      <alignment horizontal="center"/>
    </xf>
    <xf numFmtId="14" fontId="19" fillId="0" borderId="4" xfId="7" applyNumberFormat="1" applyBorder="1" applyAlignment="1">
      <alignment horizontal="center"/>
    </xf>
    <xf numFmtId="0" fontId="24" fillId="0" borderId="4" xfId="7" applyFont="1" applyBorder="1" applyAlignment="1">
      <alignment horizontal="center"/>
    </xf>
    <xf numFmtId="0" fontId="19" fillId="0" borderId="4" xfId="7" applyBorder="1" applyAlignment="1">
      <alignment horizontal="left"/>
    </xf>
    <xf numFmtId="0" fontId="24" fillId="0" borderId="0" xfId="7" applyFont="1" applyAlignment="1">
      <alignment horizontal="center"/>
    </xf>
    <xf numFmtId="0" fontId="19" fillId="4" borderId="0" xfId="7" applyFill="1"/>
    <xf numFmtId="14" fontId="19" fillId="0" borderId="0" xfId="7" quotePrefix="1" applyNumberFormat="1" applyAlignment="1">
      <alignment horizontal="left"/>
    </xf>
    <xf numFmtId="0" fontId="24" fillId="0" borderId="0" xfId="7" applyFont="1" applyAlignment="1">
      <alignment horizontal="left"/>
    </xf>
    <xf numFmtId="180" fontId="0" fillId="0" borderId="6" xfId="0" applyNumberFormat="1" applyBorder="1"/>
    <xf numFmtId="0" fontId="0" fillId="8" borderId="0" xfId="0" applyFill="1"/>
    <xf numFmtId="0" fontId="0" fillId="5" borderId="0" xfId="0" applyFill="1"/>
    <xf numFmtId="3" fontId="22" fillId="0" borderId="0" xfId="7" applyNumberFormat="1" applyFont="1"/>
    <xf numFmtId="3" fontId="19" fillId="0" borderId="4" xfId="7" applyNumberFormat="1" applyBorder="1" applyAlignment="1">
      <alignment horizontal="fill"/>
    </xf>
    <xf numFmtId="3" fontId="19" fillId="0" borderId="0" xfId="7" applyNumberFormat="1"/>
    <xf numFmtId="0" fontId="22" fillId="10" borderId="0" xfId="7" applyFont="1" applyFill="1"/>
    <xf numFmtId="0" fontId="19" fillId="10" borderId="0" xfId="7" applyFill="1" applyAlignment="1">
      <alignment horizontal="center"/>
    </xf>
    <xf numFmtId="0" fontId="19" fillId="10" borderId="4" xfId="7" applyFill="1" applyBorder="1" applyAlignment="1">
      <alignment horizontal="center"/>
    </xf>
    <xf numFmtId="0" fontId="19" fillId="11" borderId="0" xfId="7" applyFill="1"/>
    <xf numFmtId="41" fontId="19" fillId="10" borderId="0" xfId="7" applyNumberFormat="1" applyFill="1"/>
    <xf numFmtId="10" fontId="19" fillId="10" borderId="0" xfId="7" applyNumberFormat="1" applyFill="1"/>
    <xf numFmtId="0" fontId="19" fillId="9" borderId="0" xfId="7" applyFill="1"/>
    <xf numFmtId="0" fontId="22" fillId="9" borderId="0" xfId="7" applyFont="1" applyFill="1"/>
    <xf numFmtId="164" fontId="4" fillId="8" borderId="0" xfId="0" applyNumberFormat="1" applyFont="1" applyFill="1"/>
    <xf numFmtId="164" fontId="27" fillId="8" borderId="0" xfId="0" applyNumberFormat="1" applyFont="1" applyFill="1"/>
    <xf numFmtId="164" fontId="0" fillId="8" borderId="0" xfId="0" applyNumberFormat="1" applyFill="1"/>
    <xf numFmtId="164" fontId="0" fillId="12" borderId="0" xfId="0" applyNumberFormat="1" applyFill="1"/>
    <xf numFmtId="164" fontId="27" fillId="8" borderId="2" xfId="0" applyNumberFormat="1" applyFont="1" applyFill="1" applyBorder="1"/>
    <xf numFmtId="164" fontId="27" fillId="10" borderId="0" xfId="0" applyNumberFormat="1" applyFont="1" applyFill="1"/>
    <xf numFmtId="43" fontId="0" fillId="0" borderId="12" xfId="0" applyNumberFormat="1" applyBorder="1"/>
    <xf numFmtId="0" fontId="0" fillId="12" borderId="0" xfId="0" applyFill="1"/>
    <xf numFmtId="164" fontId="4" fillId="12" borderId="0" xfId="0" applyNumberFormat="1" applyFont="1" applyFill="1"/>
    <xf numFmtId="180" fontId="19" fillId="0" borderId="0" xfId="4" applyNumberFormat="1" applyFont="1"/>
    <xf numFmtId="180" fontId="19" fillId="0" borderId="0" xfId="7" applyNumberFormat="1"/>
    <xf numFmtId="44" fontId="19" fillId="0" borderId="0" xfId="7" applyNumberFormat="1"/>
    <xf numFmtId="0" fontId="9" fillId="2" borderId="0" xfId="6"/>
    <xf numFmtId="0" fontId="9" fillId="2" borderId="0" xfId="6" applyAlignment="1">
      <alignment horizontal="center"/>
    </xf>
    <xf numFmtId="0" fontId="9" fillId="2" borderId="6" xfId="6" applyBorder="1"/>
    <xf numFmtId="0" fontId="9" fillId="3" borderId="0" xfId="6" applyFill="1"/>
    <xf numFmtId="166" fontId="9" fillId="2" borderId="0" xfId="6" applyNumberFormat="1"/>
    <xf numFmtId="39" fontId="9" fillId="2" borderId="0" xfId="6" applyNumberFormat="1"/>
    <xf numFmtId="168" fontId="9" fillId="2" borderId="0" xfId="6" applyNumberFormat="1"/>
    <xf numFmtId="37" fontId="9" fillId="2" borderId="0" xfId="6" applyNumberFormat="1"/>
    <xf numFmtId="166" fontId="9" fillId="2" borderId="23" xfId="6" applyNumberFormat="1" applyBorder="1"/>
    <xf numFmtId="168" fontId="9" fillId="2" borderId="4" xfId="6" applyNumberFormat="1" applyBorder="1"/>
    <xf numFmtId="39" fontId="9" fillId="2" borderId="4" xfId="6" applyNumberFormat="1" applyBorder="1"/>
    <xf numFmtId="0" fontId="9" fillId="2" borderId="24" xfId="6" applyBorder="1"/>
    <xf numFmtId="10" fontId="31" fillId="3" borderId="16" xfId="11" applyFont="1" applyBorder="1"/>
    <xf numFmtId="10" fontId="31" fillId="3" borderId="0" xfId="11" applyFont="1"/>
    <xf numFmtId="10" fontId="9" fillId="2" borderId="16" xfId="6" applyNumberFormat="1" applyBorder="1"/>
    <xf numFmtId="0" fontId="8" fillId="2" borderId="0" xfId="6" applyFont="1"/>
    <xf numFmtId="0" fontId="32" fillId="2" borderId="0" xfId="6" applyFont="1"/>
    <xf numFmtId="0" fontId="33" fillId="2" borderId="0" xfId="6" applyFont="1"/>
    <xf numFmtId="0" fontId="9" fillId="14" borderId="0" xfId="6" applyFill="1"/>
    <xf numFmtId="0" fontId="33" fillId="2" borderId="16" xfId="6" applyFont="1" applyBorder="1"/>
    <xf numFmtId="0" fontId="33" fillId="2" borderId="6" xfId="6" applyFont="1" applyBorder="1"/>
    <xf numFmtId="0" fontId="34" fillId="14" borderId="0" xfId="6" applyFont="1" applyFill="1"/>
    <xf numFmtId="173" fontId="9" fillId="2" borderId="0" xfId="6" applyNumberFormat="1"/>
    <xf numFmtId="10" fontId="31" fillId="3" borderId="23" xfId="11" applyFont="1" applyBorder="1"/>
    <xf numFmtId="10" fontId="31" fillId="3" borderId="4" xfId="11" applyFont="1" applyBorder="1"/>
    <xf numFmtId="10" fontId="9" fillId="2" borderId="4" xfId="6" applyNumberFormat="1" applyBorder="1"/>
    <xf numFmtId="173" fontId="9" fillId="2" borderId="23" xfId="6" applyNumberFormat="1" applyBorder="1" applyAlignment="1">
      <alignment horizontal="center"/>
    </xf>
    <xf numFmtId="173" fontId="35" fillId="2" borderId="4" xfId="6" applyNumberFormat="1" applyFont="1" applyBorder="1" applyAlignment="1">
      <alignment horizontal="left"/>
    </xf>
    <xf numFmtId="0" fontId="9" fillId="2" borderId="4" xfId="6" applyBorder="1" applyAlignment="1">
      <alignment horizontal="right"/>
    </xf>
    <xf numFmtId="177" fontId="31" fillId="3" borderId="16" xfId="11" applyNumberFormat="1" applyFont="1" applyBorder="1"/>
    <xf numFmtId="0" fontId="9" fillId="14" borderId="0" xfId="6" applyFill="1" applyAlignment="1">
      <alignment horizontal="right"/>
    </xf>
    <xf numFmtId="0" fontId="34" fillId="14" borderId="0" xfId="6" applyFont="1" applyFill="1" applyAlignment="1">
      <alignment horizontal="fill"/>
    </xf>
    <xf numFmtId="173" fontId="9" fillId="2" borderId="16" xfId="6" applyNumberFormat="1" applyBorder="1" applyAlignment="1">
      <alignment horizontal="center"/>
    </xf>
    <xf numFmtId="0" fontId="36" fillId="2" borderId="0" xfId="6" applyFont="1" applyAlignment="1">
      <alignment horizontal="centerContinuous"/>
    </xf>
    <xf numFmtId="10" fontId="9" fillId="2" borderId="0" xfId="6" applyNumberFormat="1"/>
    <xf numFmtId="173" fontId="35" fillId="2" borderId="16" xfId="6" applyNumberFormat="1" applyFont="1" applyBorder="1" applyAlignment="1">
      <alignment horizontal="center"/>
    </xf>
    <xf numFmtId="0" fontId="9" fillId="2" borderId="0" xfId="6" applyAlignment="1">
      <alignment horizontal="left"/>
    </xf>
    <xf numFmtId="173" fontId="35" fillId="2" borderId="0" xfId="6" applyNumberFormat="1" applyFont="1" applyAlignment="1">
      <alignment horizontal="center"/>
    </xf>
    <xf numFmtId="0" fontId="9" fillId="2" borderId="6" xfId="6" applyBorder="1" applyAlignment="1">
      <alignment horizontal="left"/>
    </xf>
    <xf numFmtId="0" fontId="9" fillId="2" borderId="0" xfId="6" applyAlignment="1">
      <alignment horizontal="centerContinuous"/>
    </xf>
    <xf numFmtId="0" fontId="38" fillId="2" borderId="0" xfId="6" applyFont="1" applyAlignment="1">
      <alignment horizontal="centerContinuous"/>
    </xf>
    <xf numFmtId="186" fontId="9" fillId="2" borderId="0" xfId="6" applyNumberFormat="1"/>
    <xf numFmtId="0" fontId="34" fillId="2" borderId="23" xfId="6" applyFont="1" applyBorder="1"/>
    <xf numFmtId="0" fontId="9" fillId="2" borderId="4" xfId="6" applyBorder="1"/>
    <xf numFmtId="10" fontId="9" fillId="2" borderId="24" xfId="6" applyNumberFormat="1" applyBorder="1" applyAlignment="1">
      <alignment horizontal="center"/>
    </xf>
    <xf numFmtId="2" fontId="39" fillId="14" borderId="0" xfId="6" applyNumberFormat="1" applyFont="1" applyFill="1"/>
    <xf numFmtId="0" fontId="39" fillId="14" borderId="0" xfId="6" applyFont="1" applyFill="1"/>
    <xf numFmtId="0" fontId="9" fillId="2" borderId="16" xfId="6" applyBorder="1"/>
    <xf numFmtId="0" fontId="9" fillId="2" borderId="6" xfId="6" applyBorder="1" applyAlignment="1">
      <alignment horizontal="center"/>
    </xf>
    <xf numFmtId="0" fontId="9" fillId="2" borderId="0" xfId="6" quotePrefix="1" applyAlignment="1">
      <alignment horizontal="left"/>
    </xf>
    <xf numFmtId="0" fontId="40" fillId="2" borderId="0" xfId="6" applyFont="1"/>
    <xf numFmtId="10" fontId="41" fillId="2" borderId="0" xfId="6" applyNumberFormat="1" applyFont="1"/>
    <xf numFmtId="0" fontId="41" fillId="2" borderId="0" xfId="6" applyFont="1"/>
    <xf numFmtId="0" fontId="40" fillId="2" borderId="6" xfId="6" applyFont="1" applyBorder="1"/>
    <xf numFmtId="0" fontId="41" fillId="2" borderId="25" xfId="6" applyFont="1" applyBorder="1" applyAlignment="1">
      <alignment horizontal="center"/>
    </xf>
    <xf numFmtId="41" fontId="41" fillId="2" borderId="0" xfId="6" applyNumberFormat="1" applyFont="1"/>
    <xf numFmtId="177" fontId="41" fillId="2" borderId="0" xfId="6" applyNumberFormat="1" applyFont="1"/>
    <xf numFmtId="0" fontId="42" fillId="2" borderId="0" xfId="6" applyFont="1"/>
    <xf numFmtId="41" fontId="41" fillId="2" borderId="26" xfId="6" applyNumberFormat="1" applyFont="1" applyBorder="1"/>
    <xf numFmtId="177" fontId="41" fillId="2" borderId="26" xfId="6" applyNumberFormat="1" applyFont="1" applyBorder="1"/>
    <xf numFmtId="0" fontId="9" fillId="2" borderId="23" xfId="6" applyBorder="1"/>
    <xf numFmtId="0" fontId="9" fillId="2" borderId="23" xfId="6" applyBorder="1" applyAlignment="1">
      <alignment horizontal="center"/>
    </xf>
    <xf numFmtId="0" fontId="9" fillId="2" borderId="24" xfId="6" applyBorder="1" applyAlignment="1">
      <alignment horizontal="center"/>
    </xf>
    <xf numFmtId="178" fontId="41" fillId="2" borderId="0" xfId="6" applyNumberFormat="1" applyFont="1" applyProtection="1">
      <protection locked="0"/>
    </xf>
    <xf numFmtId="0" fontId="43" fillId="2" borderId="0" xfId="6" applyFont="1"/>
    <xf numFmtId="10" fontId="9" fillId="2" borderId="0" xfId="6" applyNumberFormat="1" applyAlignment="1">
      <alignment horizontal="center"/>
    </xf>
    <xf numFmtId="41" fontId="9" fillId="2" borderId="0" xfId="6" applyNumberFormat="1"/>
    <xf numFmtId="10" fontId="9" fillId="2" borderId="16" xfId="6" applyNumberFormat="1" applyBorder="1" applyAlignment="1">
      <alignment horizontal="right"/>
    </xf>
    <xf numFmtId="0" fontId="9" fillId="2" borderId="16" xfId="6" applyBorder="1" applyAlignment="1">
      <alignment horizontal="center"/>
    </xf>
    <xf numFmtId="0" fontId="9" fillId="2" borderId="0" xfId="6" quotePrefix="1" applyAlignment="1">
      <alignment horizontal="right"/>
    </xf>
    <xf numFmtId="0" fontId="9" fillId="2" borderId="16" xfId="6" applyBorder="1" applyAlignment="1">
      <alignment horizontal="centerContinuous"/>
    </xf>
    <xf numFmtId="0" fontId="9" fillId="2" borderId="6" xfId="6" applyBorder="1" applyAlignment="1">
      <alignment horizontal="centerContinuous"/>
    </xf>
    <xf numFmtId="0" fontId="44" fillId="2" borderId="4" xfId="6" applyFont="1" applyBorder="1" applyAlignment="1">
      <alignment horizontal="center"/>
    </xf>
    <xf numFmtId="0" fontId="44" fillId="2" borderId="4" xfId="6" applyFont="1" applyBorder="1" applyAlignment="1">
      <alignment horizontal="right"/>
    </xf>
    <xf numFmtId="10" fontId="8" fillId="3" borderId="0" xfId="11"/>
    <xf numFmtId="0" fontId="45" fillId="2" borderId="0" xfId="6" applyFont="1"/>
    <xf numFmtId="0" fontId="46" fillId="2" borderId="0" xfId="6" applyFont="1"/>
    <xf numFmtId="41" fontId="9" fillId="2" borderId="16" xfId="6" applyNumberFormat="1" applyBorder="1"/>
    <xf numFmtId="41" fontId="9" fillId="2" borderId="6" xfId="6" applyNumberFormat="1" applyBorder="1"/>
    <xf numFmtId="10" fontId="47" fillId="2" borderId="0" xfId="6" applyNumberFormat="1" applyFont="1"/>
    <xf numFmtId="166" fontId="9" fillId="2" borderId="4" xfId="6" applyNumberFormat="1" applyBorder="1"/>
    <xf numFmtId="2" fontId="9" fillId="2" borderId="6" xfId="6" applyNumberFormat="1" applyBorder="1" applyAlignment="1">
      <alignment horizontal="center"/>
    </xf>
    <xf numFmtId="0" fontId="9" fillId="2" borderId="25" xfId="6" applyBorder="1"/>
    <xf numFmtId="166" fontId="48" fillId="2" borderId="0" xfId="6" applyNumberFormat="1" applyFont="1"/>
    <xf numFmtId="0" fontId="48" fillId="2" borderId="6" xfId="6" applyFont="1" applyBorder="1" applyAlignment="1">
      <alignment horizontal="center"/>
    </xf>
    <xf numFmtId="39" fontId="41" fillId="2" borderId="0" xfId="6" applyNumberFormat="1" applyFont="1"/>
    <xf numFmtId="0" fontId="41" fillId="2" borderId="0" xfId="6" quotePrefix="1" applyFont="1" applyAlignment="1">
      <alignment horizontal="left"/>
    </xf>
    <xf numFmtId="10" fontId="9" fillId="14" borderId="0" xfId="6" applyNumberFormat="1" applyFill="1"/>
    <xf numFmtId="0" fontId="46" fillId="2" borderId="0" xfId="6" applyFont="1" applyAlignment="1">
      <alignment horizontal="right"/>
    </xf>
    <xf numFmtId="0" fontId="44" fillId="2" borderId="0" xfId="6" applyFont="1"/>
    <xf numFmtId="0" fontId="44" fillId="2" borderId="0" xfId="6" applyFont="1" applyAlignment="1">
      <alignment horizontal="center"/>
    </xf>
    <xf numFmtId="10" fontId="41" fillId="2" borderId="26" xfId="6" applyNumberFormat="1" applyFont="1" applyBorder="1" applyAlignment="1">
      <alignment horizontal="center"/>
    </xf>
    <xf numFmtId="0" fontId="40" fillId="2" borderId="0" xfId="6" applyFont="1" applyAlignment="1">
      <alignment horizontal="right"/>
    </xf>
    <xf numFmtId="9" fontId="41" fillId="2" borderId="0" xfId="6" applyNumberFormat="1" applyFont="1" applyAlignment="1">
      <alignment horizontal="center"/>
    </xf>
    <xf numFmtId="0" fontId="41" fillId="2" borderId="0" xfId="6" applyFont="1" applyAlignment="1">
      <alignment horizontal="right"/>
    </xf>
    <xf numFmtId="10" fontId="41" fillId="2" borderId="0" xfId="6" applyNumberFormat="1" applyFont="1" applyAlignment="1">
      <alignment horizontal="center"/>
    </xf>
    <xf numFmtId="10" fontId="41" fillId="2" borderId="0" xfId="6" applyNumberFormat="1" applyFont="1" applyAlignment="1">
      <alignment horizontal="right"/>
    </xf>
    <xf numFmtId="41" fontId="41" fillId="2" borderId="4" xfId="6" applyNumberFormat="1" applyFont="1" applyBorder="1" applyProtection="1">
      <protection locked="0"/>
    </xf>
    <xf numFmtId="41" fontId="41" fillId="2" borderId="0" xfId="6" applyNumberFormat="1" applyFont="1" applyProtection="1">
      <protection locked="0"/>
    </xf>
    <xf numFmtId="0" fontId="49" fillId="2" borderId="0" xfId="6" applyFont="1" applyAlignment="1">
      <alignment horizontal="center"/>
    </xf>
    <xf numFmtId="0" fontId="49" fillId="2" borderId="0" xfId="6" applyFont="1" applyAlignment="1">
      <alignment horizontal="right"/>
    </xf>
    <xf numFmtId="41" fontId="49" fillId="2" borderId="0" xfId="6" applyNumberFormat="1" applyFont="1" applyAlignment="1">
      <alignment horizontal="center"/>
    </xf>
    <xf numFmtId="0" fontId="50" fillId="3" borderId="0" xfId="6" applyFont="1" applyFill="1" applyAlignment="1">
      <alignment horizontal="centerContinuous"/>
    </xf>
    <xf numFmtId="0" fontId="50" fillId="15" borderId="0" xfId="6" applyFont="1" applyFill="1" applyAlignment="1">
      <alignment horizontal="right"/>
    </xf>
    <xf numFmtId="41" fontId="44" fillId="2" borderId="27" xfId="6" applyNumberFormat="1" applyFont="1" applyBorder="1"/>
    <xf numFmtId="0" fontId="44" fillId="2" borderId="0" xfId="6" applyFont="1" applyAlignment="1">
      <alignment horizontal="right"/>
    </xf>
    <xf numFmtId="41" fontId="44" fillId="2" borderId="5" xfId="6" applyNumberFormat="1" applyFont="1" applyBorder="1"/>
    <xf numFmtId="0" fontId="38" fillId="14" borderId="0" xfId="6" applyFont="1" applyFill="1"/>
    <xf numFmtId="41" fontId="41" fillId="2" borderId="16" xfId="6" applyNumberFormat="1" applyFont="1" applyBorder="1"/>
    <xf numFmtId="0" fontId="51" fillId="2" borderId="0" xfId="6" applyFont="1" applyAlignment="1">
      <alignment horizontal="left"/>
    </xf>
    <xf numFmtId="41" fontId="9" fillId="14" borderId="0" xfId="6" applyNumberFormat="1" applyFill="1"/>
    <xf numFmtId="0" fontId="9" fillId="2" borderId="0" xfId="6" applyAlignment="1">
      <alignment horizontal="right"/>
    </xf>
    <xf numFmtId="41" fontId="40" fillId="3" borderId="0" xfId="2" applyFont="1" applyAlignment="1">
      <alignment horizontal="right"/>
    </xf>
    <xf numFmtId="41" fontId="40" fillId="2" borderId="0" xfId="6" applyNumberFormat="1" applyFont="1"/>
    <xf numFmtId="0" fontId="9" fillId="5" borderId="0" xfId="6" applyFill="1"/>
    <xf numFmtId="0" fontId="41" fillId="2" borderId="28" xfId="6" applyFont="1" applyBorder="1" applyAlignment="1">
      <alignment horizontal="right"/>
    </xf>
    <xf numFmtId="0" fontId="41" fillId="2" borderId="25" xfId="6" applyFont="1" applyBorder="1" applyAlignment="1">
      <alignment horizontal="right"/>
    </xf>
    <xf numFmtId="0" fontId="44" fillId="2" borderId="25" xfId="6" applyFont="1" applyBorder="1" applyAlignment="1">
      <alignment horizontal="right"/>
    </xf>
    <xf numFmtId="0" fontId="44" fillId="15" borderId="4" xfId="6" applyFont="1" applyFill="1" applyBorder="1" applyAlignment="1">
      <alignment horizontal="center"/>
    </xf>
    <xf numFmtId="0" fontId="44" fillId="15" borderId="4" xfId="6" applyFont="1" applyFill="1" applyBorder="1"/>
    <xf numFmtId="0" fontId="50" fillId="15" borderId="4" xfId="6" applyFont="1" applyFill="1" applyBorder="1"/>
    <xf numFmtId="0" fontId="41" fillId="2" borderId="24" xfId="6" applyFont="1" applyBorder="1"/>
    <xf numFmtId="0" fontId="44" fillId="15" borderId="0" xfId="6" applyFont="1" applyFill="1" applyAlignment="1">
      <alignment horizontal="center"/>
    </xf>
    <xf numFmtId="0" fontId="50" fillId="15" borderId="0" xfId="6" applyFont="1" applyFill="1" applyAlignment="1">
      <alignment horizontal="center"/>
    </xf>
    <xf numFmtId="0" fontId="41" fillId="2" borderId="6" xfId="6" applyFont="1" applyBorder="1"/>
    <xf numFmtId="0" fontId="52" fillId="14" borderId="0" xfId="6" applyFont="1" applyFill="1"/>
    <xf numFmtId="0" fontId="53" fillId="13" borderId="29" xfId="10" applyNumberFormat="1" applyFont="1" applyBorder="1" applyAlignment="1">
      <alignment horizontal="left"/>
    </xf>
    <xf numFmtId="0" fontId="54" fillId="2" borderId="0" xfId="6" applyFont="1" applyAlignment="1">
      <alignment horizontal="center"/>
    </xf>
    <xf numFmtId="0" fontId="40" fillId="2" borderId="30" xfId="6" applyFont="1" applyBorder="1"/>
    <xf numFmtId="0" fontId="56" fillId="13" borderId="31" xfId="10" applyNumberFormat="1" applyFont="1" applyBorder="1" applyAlignment="1">
      <alignment horizontal="centerContinuous"/>
    </xf>
    <xf numFmtId="0" fontId="53" fillId="13" borderId="20" xfId="10" applyNumberFormat="1" applyFont="1" applyBorder="1" applyAlignment="1">
      <alignment horizontal="centerContinuous"/>
    </xf>
    <xf numFmtId="0" fontId="53" fillId="13" borderId="20" xfId="10" applyNumberFormat="1" applyFont="1" applyBorder="1" applyAlignment="1">
      <alignment horizontal="left"/>
    </xf>
    <xf numFmtId="0" fontId="57" fillId="0" borderId="0" xfId="6" applyFont="1" applyFill="1"/>
    <xf numFmtId="0" fontId="57" fillId="0" borderId="0" xfId="6" applyFont="1" applyFill="1" applyAlignment="1">
      <alignment horizontal="center"/>
    </xf>
    <xf numFmtId="0" fontId="57" fillId="0" borderId="6" xfId="6" applyFont="1" applyFill="1" applyBorder="1"/>
    <xf numFmtId="0" fontId="57" fillId="14" borderId="0" xfId="6" applyFont="1" applyFill="1"/>
    <xf numFmtId="0" fontId="57" fillId="14" borderId="2" xfId="6" applyFont="1" applyFill="1" applyBorder="1"/>
    <xf numFmtId="39" fontId="5" fillId="10" borderId="4" xfId="0" applyNumberFormat="1" applyFont="1" applyFill="1" applyBorder="1"/>
    <xf numFmtId="44" fontId="0" fillId="10" borderId="0" xfId="4" applyFont="1" applyFill="1"/>
    <xf numFmtId="0" fontId="0" fillId="10" borderId="0" xfId="0" applyFill="1"/>
    <xf numFmtId="44" fontId="0" fillId="10" borderId="4" xfId="4" applyFont="1" applyFill="1" applyBorder="1"/>
    <xf numFmtId="44" fontId="0" fillId="10" borderId="0" xfId="0" applyNumberFormat="1" applyFill="1"/>
    <xf numFmtId="44" fontId="0" fillId="10" borderId="4" xfId="0" applyNumberFormat="1" applyFill="1" applyBorder="1"/>
    <xf numFmtId="9" fontId="0" fillId="10" borderId="0" xfId="0" applyNumberFormat="1" applyFill="1"/>
    <xf numFmtId="39" fontId="27" fillId="0" borderId="2" xfId="0" applyNumberFormat="1" applyFont="1" applyBorder="1"/>
    <xf numFmtId="0" fontId="27" fillId="0" borderId="2" xfId="0" applyFont="1" applyBorder="1"/>
    <xf numFmtId="2" fontId="12" fillId="6" borderId="0" xfId="0" applyNumberFormat="1" applyFont="1" applyFill="1"/>
    <xf numFmtId="2" fontId="27" fillId="6" borderId="0" xfId="0" applyNumberFormat="1" applyFont="1" applyFill="1"/>
    <xf numFmtId="43" fontId="0" fillId="0" borderId="3" xfId="3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4" fontId="22" fillId="6" borderId="0" xfId="7" applyNumberFormat="1" applyFont="1" applyFill="1"/>
    <xf numFmtId="0" fontId="3" fillId="0" borderId="0" xfId="0" applyFont="1" applyAlignment="1">
      <alignment horizontal="center"/>
    </xf>
    <xf numFmtId="39" fontId="0" fillId="5" borderId="0" xfId="0" applyNumberFormat="1" applyFill="1"/>
    <xf numFmtId="38" fontId="27" fillId="0" borderId="0" xfId="0" applyNumberFormat="1" applyFont="1"/>
    <xf numFmtId="0" fontId="3" fillId="0" borderId="0" xfId="0" quotePrefix="1" applyFont="1"/>
    <xf numFmtId="49" fontId="3" fillId="0" borderId="0" xfId="0" applyNumberFormat="1" applyFont="1"/>
    <xf numFmtId="0" fontId="3" fillId="0" borderId="2" xfId="0" quotePrefix="1" applyFont="1" applyBorder="1"/>
    <xf numFmtId="0" fontId="3" fillId="6" borderId="0" xfId="0" applyFont="1" applyFill="1"/>
    <xf numFmtId="7" fontId="27" fillId="0" borderId="0" xfId="0" applyNumberFormat="1" applyFont="1"/>
    <xf numFmtId="44" fontId="27" fillId="0" borderId="0" xfId="5" applyFont="1"/>
    <xf numFmtId="171" fontId="27" fillId="0" borderId="0" xfId="0" applyNumberFormat="1" applyFont="1"/>
    <xf numFmtId="0" fontId="19" fillId="6" borderId="0" xfId="7" applyFill="1"/>
    <xf numFmtId="178" fontId="19" fillId="0" borderId="0" xfId="1" applyNumberFormat="1" applyFont="1"/>
    <xf numFmtId="0" fontId="59" fillId="0" borderId="0" xfId="7" applyFont="1"/>
    <xf numFmtId="41" fontId="59" fillId="0" borderId="0" xfId="7" applyNumberFormat="1" applyFont="1"/>
    <xf numFmtId="0" fontId="29" fillId="6" borderId="0" xfId="0" applyFont="1" applyFill="1"/>
    <xf numFmtId="0" fontId="58" fillId="6" borderId="0" xfId="0" applyFont="1" applyFill="1"/>
    <xf numFmtId="44" fontId="27" fillId="0" borderId="0" xfId="4" applyFont="1"/>
    <xf numFmtId="7" fontId="0" fillId="0" borderId="0" xfId="5" applyNumberFormat="1" applyFont="1" applyBorder="1"/>
    <xf numFmtId="14" fontId="3" fillId="0" borderId="0" xfId="0" quotePrefix="1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0" xfId="0" quotePrefix="1" applyNumberFormat="1" applyFont="1"/>
    <xf numFmtId="166" fontId="4" fillId="0" borderId="0" xfId="0" applyNumberFormat="1" applyFont="1"/>
    <xf numFmtId="173" fontId="0" fillId="0" borderId="4" xfId="0" applyNumberFormat="1" applyBorder="1"/>
    <xf numFmtId="0" fontId="3" fillId="0" borderId="4" xfId="0" applyFont="1" applyBorder="1" applyAlignment="1">
      <alignment horizontal="center"/>
    </xf>
    <xf numFmtId="15" fontId="3" fillId="0" borderId="0" xfId="0" quotePrefix="1" applyNumberFormat="1" applyFont="1" applyAlignment="1">
      <alignment horizontal="left"/>
    </xf>
    <xf numFmtId="0" fontId="60" fillId="6" borderId="0" xfId="0" applyFont="1" applyFill="1"/>
    <xf numFmtId="43" fontId="19" fillId="0" borderId="4" xfId="7" applyNumberFormat="1" applyBorder="1"/>
    <xf numFmtId="41" fontId="24" fillId="0" borderId="0" xfId="7" applyNumberFormat="1" applyFont="1"/>
    <xf numFmtId="41" fontId="24" fillId="0" borderId="4" xfId="7" applyNumberFormat="1" applyFont="1" applyBorder="1" applyAlignment="1">
      <alignment horizontal="fill"/>
    </xf>
    <xf numFmtId="4" fontId="22" fillId="0" borderId="5" xfId="7" applyNumberFormat="1" applyFont="1" applyBorder="1"/>
    <xf numFmtId="176" fontId="19" fillId="0" borderId="4" xfId="7" applyNumberFormat="1" applyBorder="1"/>
    <xf numFmtId="0" fontId="24" fillId="0" borderId="0" xfId="7" applyFont="1"/>
    <xf numFmtId="176" fontId="24" fillId="0" borderId="5" xfId="7" applyNumberFormat="1" applyFont="1" applyBorder="1"/>
    <xf numFmtId="41" fontId="19" fillId="5" borderId="0" xfId="7" applyNumberFormat="1" applyFill="1"/>
    <xf numFmtId="180" fontId="19" fillId="0" borderId="0" xfId="4" applyNumberFormat="1" applyFont="1" applyBorder="1"/>
    <xf numFmtId="3" fontId="59" fillId="0" borderId="0" xfId="7" applyNumberFormat="1" applyFont="1"/>
    <xf numFmtId="9" fontId="22" fillId="6" borderId="0" xfId="7" applyNumberFormat="1" applyFont="1" applyFill="1"/>
    <xf numFmtId="164" fontId="61" fillId="6" borderId="0" xfId="0" applyNumberFormat="1" applyFont="1" applyFill="1"/>
    <xf numFmtId="0" fontId="3" fillId="6" borderId="0" xfId="0" applyFont="1" applyFill="1" applyAlignment="1">
      <alignment horizontal="center"/>
    </xf>
    <xf numFmtId="14" fontId="3" fillId="0" borderId="0" xfId="0" applyNumberFormat="1" applyFont="1"/>
    <xf numFmtId="17" fontId="3" fillId="0" borderId="0" xfId="0" quotePrefix="1" applyNumberFormat="1" applyFont="1"/>
    <xf numFmtId="41" fontId="3" fillId="0" borderId="0" xfId="0" applyNumberFormat="1" applyFont="1"/>
    <xf numFmtId="41" fontId="3" fillId="0" borderId="4" xfId="0" applyNumberFormat="1" applyFont="1" applyBorder="1"/>
    <xf numFmtId="178" fontId="0" fillId="0" borderId="0" xfId="0" applyNumberFormat="1"/>
    <xf numFmtId="39" fontId="4" fillId="6" borderId="0" xfId="0" applyNumberFormat="1" applyFont="1" applyFill="1"/>
    <xf numFmtId="37" fontId="0" fillId="5" borderId="0" xfId="0" applyNumberFormat="1" applyFill="1"/>
    <xf numFmtId="178" fontId="0" fillId="5" borderId="0" xfId="1" applyNumberFormat="1" applyFont="1" applyFill="1"/>
    <xf numFmtId="16" fontId="3" fillId="0" borderId="0" xfId="0" quotePrefix="1" applyNumberFormat="1" applyFont="1"/>
    <xf numFmtId="10" fontId="44" fillId="2" borderId="4" xfId="6" applyNumberFormat="1" applyFont="1" applyBorder="1" applyAlignment="1">
      <alignment horizontal="center" vertical="center"/>
    </xf>
    <xf numFmtId="0" fontId="41" fillId="2" borderId="4" xfId="6" applyFont="1" applyBorder="1" applyAlignment="1">
      <alignment horizontal="right" vertical="center"/>
    </xf>
    <xf numFmtId="41" fontId="40" fillId="0" borderId="23" xfId="2" applyFont="1" applyFill="1" applyBorder="1">
      <alignment horizontal="left"/>
    </xf>
    <xf numFmtId="0" fontId="22" fillId="6" borderId="0" xfId="7" applyFont="1" applyFill="1"/>
    <xf numFmtId="39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center"/>
    </xf>
    <xf numFmtId="164" fontId="0" fillId="5" borderId="0" xfId="0" applyNumberFormat="1" applyFill="1"/>
    <xf numFmtId="0" fontId="27" fillId="5" borderId="0" xfId="0" applyFont="1" applyFill="1"/>
    <xf numFmtId="39" fontId="27" fillId="5" borderId="0" xfId="0" applyNumberFormat="1" applyFont="1" applyFill="1"/>
    <xf numFmtId="164" fontId="27" fillId="5" borderId="0" xfId="0" applyNumberFormat="1" applyFont="1" applyFill="1"/>
    <xf numFmtId="164" fontId="5" fillId="5" borderId="0" xfId="0" applyNumberFormat="1" applyFont="1" applyFill="1"/>
    <xf numFmtId="0" fontId="0" fillId="16" borderId="0" xfId="0" applyFill="1"/>
    <xf numFmtId="39" fontId="0" fillId="16" borderId="0" xfId="0" applyNumberFormat="1" applyFill="1"/>
    <xf numFmtId="164" fontId="0" fillId="16" borderId="0" xfId="0" applyNumberFormat="1" applyFill="1"/>
    <xf numFmtId="43" fontId="0" fillId="5" borderId="0" xfId="0" applyNumberFormat="1" applyFill="1"/>
    <xf numFmtId="0" fontId="19" fillId="8" borderId="0" xfId="7" applyFill="1"/>
    <xf numFmtId="8" fontId="19" fillId="0" borderId="0" xfId="7" applyNumberFormat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7" borderId="0" xfId="8" applyNumberFormat="1" applyFont="1" applyFill="1"/>
    <xf numFmtId="164" fontId="3" fillId="5" borderId="0" xfId="0" applyNumberFormat="1" applyFont="1" applyFill="1"/>
    <xf numFmtId="164" fontId="3" fillId="16" borderId="0" xfId="0" applyNumberFormat="1" applyFont="1" applyFill="1"/>
    <xf numFmtId="164" fontId="3" fillId="8" borderId="0" xfId="0" applyNumberFormat="1" applyFont="1" applyFill="1"/>
    <xf numFmtId="164" fontId="3" fillId="12" borderId="0" xfId="0" applyNumberFormat="1" applyFont="1" applyFill="1"/>
    <xf numFmtId="43" fontId="3" fillId="0" borderId="0" xfId="0" applyNumberFormat="1" applyFont="1"/>
    <xf numFmtId="164" fontId="3" fillId="6" borderId="0" xfId="0" applyNumberFormat="1" applyFont="1" applyFill="1"/>
    <xf numFmtId="39" fontId="3" fillId="6" borderId="0" xfId="0" applyNumberFormat="1" applyFont="1" applyFill="1"/>
    <xf numFmtId="164" fontId="3" fillId="0" borderId="0" xfId="8" applyNumberFormat="1" applyFont="1"/>
    <xf numFmtId="44" fontId="4" fillId="0" borderId="0" xfId="0" applyNumberFormat="1" applyFont="1"/>
    <xf numFmtId="8" fontId="4" fillId="0" borderId="0" xfId="0" applyNumberFormat="1" applyFont="1"/>
    <xf numFmtId="0" fontId="55" fillId="2" borderId="33" xfId="6" applyFont="1" applyBorder="1" applyAlignment="1">
      <alignment horizontal="centerContinuous"/>
    </xf>
    <xf numFmtId="0" fontId="55" fillId="2" borderId="34" xfId="6" applyFont="1" applyBorder="1" applyAlignment="1">
      <alignment horizontal="centerContinuous"/>
    </xf>
    <xf numFmtId="0" fontId="9" fillId="2" borderId="34" xfId="6" applyBorder="1" applyAlignment="1">
      <alignment horizontal="centerContinuous"/>
    </xf>
    <xf numFmtId="0" fontId="53" fillId="13" borderId="33" xfId="10" applyNumberFormat="1" applyFont="1" applyBorder="1" applyAlignment="1">
      <alignment horizontal="left"/>
    </xf>
    <xf numFmtId="10" fontId="40" fillId="0" borderId="34" xfId="11" applyFont="1" applyFill="1" applyBorder="1"/>
    <xf numFmtId="177" fontId="40" fillId="0" borderId="34" xfId="11" applyNumberFormat="1" applyFont="1" applyFill="1" applyBorder="1"/>
    <xf numFmtId="0" fontId="9" fillId="2" borderId="35" xfId="6" applyBorder="1" applyAlignment="1">
      <alignment horizontal="center"/>
    </xf>
    <xf numFmtId="2" fontId="9" fillId="2" borderId="35" xfId="6" applyNumberFormat="1" applyBorder="1" applyAlignment="1">
      <alignment horizontal="center"/>
    </xf>
    <xf numFmtId="166" fontId="9" fillId="2" borderId="36" xfId="6" applyNumberFormat="1" applyBorder="1"/>
    <xf numFmtId="10" fontId="47" fillId="2" borderId="36" xfId="6" applyNumberFormat="1" applyFont="1" applyBorder="1"/>
    <xf numFmtId="41" fontId="9" fillId="2" borderId="37" xfId="6" applyNumberFormat="1" applyBorder="1"/>
    <xf numFmtId="41" fontId="9" fillId="2" borderId="35" xfId="6" applyNumberFormat="1" applyBorder="1"/>
    <xf numFmtId="41" fontId="9" fillId="2" borderId="36" xfId="6" applyNumberFormat="1" applyBorder="1"/>
    <xf numFmtId="0" fontId="9" fillId="2" borderId="35" xfId="6" applyBorder="1" applyAlignment="1">
      <alignment horizontal="centerContinuous"/>
    </xf>
    <xf numFmtId="0" fontId="9" fillId="2" borderId="37" xfId="6" applyBorder="1" applyAlignment="1">
      <alignment horizontal="centerContinuous"/>
    </xf>
    <xf numFmtId="39" fontId="9" fillId="2" borderId="35" xfId="6" applyNumberFormat="1" applyBorder="1" applyAlignment="1">
      <alignment horizontal="center"/>
    </xf>
    <xf numFmtId="0" fontId="9" fillId="2" borderId="36" xfId="6" quotePrefix="1" applyBorder="1" applyAlignment="1">
      <alignment horizontal="left"/>
    </xf>
    <xf numFmtId="0" fontId="9" fillId="2" borderId="35" xfId="6" applyBorder="1"/>
    <xf numFmtId="0" fontId="37" fillId="2" borderId="36" xfId="6" applyFont="1" applyBorder="1" applyAlignment="1">
      <alignment horizontal="center"/>
    </xf>
    <xf numFmtId="0" fontId="37" fillId="2" borderId="37" xfId="6" applyFont="1" applyBorder="1" applyAlignment="1">
      <alignment horizontal="center"/>
    </xf>
    <xf numFmtId="0" fontId="9" fillId="2" borderId="35" xfId="6" applyBorder="1" applyAlignment="1">
      <alignment horizontal="left"/>
    </xf>
    <xf numFmtId="173" fontId="35" fillId="2" borderId="36" xfId="6" applyNumberFormat="1" applyFont="1" applyBorder="1" applyAlignment="1">
      <alignment horizontal="center"/>
    </xf>
    <xf numFmtId="0" fontId="9" fillId="2" borderId="36" xfId="6" applyBorder="1" applyAlignment="1">
      <alignment horizontal="left"/>
    </xf>
    <xf numFmtId="173" fontId="35" fillId="2" borderId="37" xfId="6" applyNumberFormat="1" applyFont="1" applyBorder="1" applyAlignment="1">
      <alignment horizontal="center"/>
    </xf>
    <xf numFmtId="0" fontId="33" fillId="2" borderId="36" xfId="6" applyFont="1" applyBorder="1"/>
    <xf numFmtId="39" fontId="3" fillId="0" borderId="3" xfId="0" applyNumberFormat="1" applyFont="1" applyBorder="1"/>
    <xf numFmtId="37" fontId="3" fillId="0" borderId="0" xfId="0" applyNumberFormat="1" applyFont="1"/>
    <xf numFmtId="37" fontId="3" fillId="0" borderId="2" xfId="0" applyNumberFormat="1" applyFont="1" applyBorder="1"/>
    <xf numFmtId="39" fontId="3" fillId="0" borderId="2" xfId="0" applyNumberFormat="1" applyFont="1" applyBorder="1"/>
    <xf numFmtId="2" fontId="3" fillId="6" borderId="0" xfId="0" applyNumberFormat="1" applyFont="1" applyFill="1"/>
    <xf numFmtId="183" fontId="3" fillId="0" borderId="0" xfId="0" applyNumberFormat="1" applyFont="1"/>
    <xf numFmtId="37" fontId="3" fillId="0" borderId="4" xfId="0" applyNumberFormat="1" applyFont="1" applyBorder="1"/>
    <xf numFmtId="0" fontId="3" fillId="0" borderId="2" xfId="0" applyFont="1" applyBorder="1"/>
    <xf numFmtId="39" fontId="3" fillId="0" borderId="4" xfId="0" applyNumberFormat="1" applyFont="1" applyBorder="1"/>
    <xf numFmtId="14" fontId="3" fillId="0" borderId="0" xfId="0" applyNumberFormat="1" applyFont="1" applyAlignment="1">
      <alignment horizontal="left"/>
    </xf>
    <xf numFmtId="37" fontId="3" fillId="0" borderId="3" xfId="0" applyNumberFormat="1" applyFont="1" applyBorder="1"/>
    <xf numFmtId="185" fontId="3" fillId="10" borderId="0" xfId="5" applyNumberFormat="1" applyFont="1" applyFill="1"/>
    <xf numFmtId="0" fontId="3" fillId="0" borderId="10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78" fontId="3" fillId="0" borderId="0" xfId="1" applyNumberFormat="1" applyFont="1"/>
    <xf numFmtId="41" fontId="9" fillId="5" borderId="0" xfId="6" applyNumberFormat="1" applyFill="1"/>
    <xf numFmtId="43" fontId="9" fillId="5" borderId="0" xfId="6" applyNumberFormat="1" applyFill="1"/>
    <xf numFmtId="43" fontId="9" fillId="5" borderId="39" xfId="6" applyNumberFormat="1" applyFill="1" applyBorder="1"/>
    <xf numFmtId="10" fontId="9" fillId="14" borderId="0" xfId="8" applyNumberFormat="1" applyFont="1" applyFill="1"/>
    <xf numFmtId="10" fontId="9" fillId="5" borderId="0" xfId="8" applyNumberFormat="1" applyFont="1" applyFill="1"/>
    <xf numFmtId="0" fontId="1" fillId="0" borderId="0" xfId="19"/>
    <xf numFmtId="0" fontId="41" fillId="2" borderId="40" xfId="6" applyFont="1" applyBorder="1" applyAlignment="1">
      <alignment horizontal="center"/>
    </xf>
    <xf numFmtId="41" fontId="41" fillId="2" borderId="38" xfId="6" applyNumberFormat="1" applyFont="1" applyBorder="1"/>
    <xf numFmtId="5" fontId="41" fillId="2" borderId="38" xfId="6" applyNumberFormat="1" applyFont="1" applyBorder="1"/>
    <xf numFmtId="41" fontId="41" fillId="2" borderId="41" xfId="6" applyNumberFormat="1" applyFont="1" applyBorder="1"/>
    <xf numFmtId="0" fontId="41" fillId="2" borderId="42" xfId="6" applyFont="1" applyBorder="1" applyAlignment="1">
      <alignment horizontal="right"/>
    </xf>
    <xf numFmtId="0" fontId="9" fillId="2" borderId="43" xfId="6" applyBorder="1" applyAlignment="1">
      <alignment horizontal="center"/>
    </xf>
    <xf numFmtId="2" fontId="9" fillId="2" borderId="43" xfId="6" applyNumberFormat="1" applyBorder="1" applyAlignment="1">
      <alignment horizontal="center"/>
    </xf>
    <xf numFmtId="166" fontId="9" fillId="2" borderId="44" xfId="6" applyNumberFormat="1" applyBorder="1"/>
    <xf numFmtId="10" fontId="47" fillId="2" borderId="44" xfId="6" applyNumberFormat="1" applyFont="1" applyBorder="1"/>
    <xf numFmtId="41" fontId="9" fillId="2" borderId="45" xfId="6" applyNumberFormat="1" applyBorder="1"/>
    <xf numFmtId="41" fontId="9" fillId="2" borderId="43" xfId="6" applyNumberFormat="1" applyBorder="1"/>
    <xf numFmtId="41" fontId="9" fillId="2" borderId="44" xfId="6" applyNumberFormat="1" applyBorder="1"/>
    <xf numFmtId="0" fontId="50" fillId="15" borderId="43" xfId="6" applyFont="1" applyFill="1" applyBorder="1" applyAlignment="1">
      <alignment horizontal="left"/>
    </xf>
    <xf numFmtId="0" fontId="9" fillId="2" borderId="44" xfId="6" applyBorder="1"/>
    <xf numFmtId="0" fontId="9" fillId="2" borderId="45" xfId="6" applyBorder="1"/>
    <xf numFmtId="41" fontId="41" fillId="2" borderId="47" xfId="6" applyNumberFormat="1" applyFont="1" applyBorder="1"/>
    <xf numFmtId="0" fontId="41" fillId="2" borderId="48" xfId="6" applyFont="1" applyBorder="1" applyAlignment="1">
      <alignment horizontal="right"/>
    </xf>
    <xf numFmtId="0" fontId="9" fillId="2" borderId="49" xfId="6" applyBorder="1" applyAlignment="1">
      <alignment horizontal="center"/>
    </xf>
    <xf numFmtId="2" fontId="9" fillId="2" borderId="49" xfId="6" applyNumberFormat="1" applyBorder="1" applyAlignment="1">
      <alignment horizontal="center"/>
    </xf>
    <xf numFmtId="166" fontId="9" fillId="2" borderId="50" xfId="6" applyNumberFormat="1" applyBorder="1"/>
    <xf numFmtId="10" fontId="47" fillId="2" borderId="50" xfId="6" applyNumberFormat="1" applyFont="1" applyBorder="1"/>
    <xf numFmtId="41" fontId="9" fillId="2" borderId="51" xfId="6" applyNumberFormat="1" applyBorder="1"/>
    <xf numFmtId="41" fontId="9" fillId="2" borderId="49" xfId="6" applyNumberFormat="1" applyBorder="1"/>
    <xf numFmtId="41" fontId="9" fillId="2" borderId="50" xfId="6" applyNumberFormat="1" applyBorder="1"/>
    <xf numFmtId="0" fontId="50" fillId="15" borderId="49" xfId="6" applyFont="1" applyFill="1" applyBorder="1" applyAlignment="1">
      <alignment horizontal="left"/>
    </xf>
    <xf numFmtId="0" fontId="9" fillId="2" borderId="50" xfId="6" applyBorder="1"/>
    <xf numFmtId="0" fontId="9" fillId="2" borderId="51" xfId="6" applyBorder="1"/>
    <xf numFmtId="0" fontId="9" fillId="2" borderId="49" xfId="6" applyBorder="1" applyAlignment="1">
      <alignment horizontal="centerContinuous"/>
    </xf>
    <xf numFmtId="0" fontId="9" fillId="2" borderId="51" xfId="6" applyBorder="1" applyAlignment="1">
      <alignment horizontal="centerContinuous"/>
    </xf>
    <xf numFmtId="39" fontId="9" fillId="2" borderId="49" xfId="6" applyNumberFormat="1" applyBorder="1" applyAlignment="1">
      <alignment horizontal="center"/>
    </xf>
    <xf numFmtId="0" fontId="9" fillId="2" borderId="50" xfId="6" quotePrefix="1" applyBorder="1" applyAlignment="1">
      <alignment horizontal="left"/>
    </xf>
    <xf numFmtId="0" fontId="9" fillId="2" borderId="49" xfId="6" applyBorder="1"/>
    <xf numFmtId="0" fontId="37" fillId="2" borderId="50" xfId="6" applyFont="1" applyBorder="1" applyAlignment="1">
      <alignment horizontal="center"/>
    </xf>
    <xf numFmtId="0" fontId="37" fillId="2" borderId="51" xfId="6" applyFont="1" applyBorder="1" applyAlignment="1">
      <alignment horizontal="center"/>
    </xf>
    <xf numFmtId="0" fontId="9" fillId="2" borderId="49" xfId="6" applyBorder="1" applyAlignment="1">
      <alignment horizontal="left"/>
    </xf>
    <xf numFmtId="173" fontId="35" fillId="2" borderId="50" xfId="6" applyNumberFormat="1" applyFont="1" applyBorder="1" applyAlignment="1">
      <alignment horizontal="center"/>
    </xf>
    <xf numFmtId="0" fontId="9" fillId="2" borderId="50" xfId="6" applyBorder="1" applyAlignment="1">
      <alignment horizontal="left"/>
    </xf>
    <xf numFmtId="173" fontId="35" fillId="2" borderId="51" xfId="6" applyNumberFormat="1" applyFont="1" applyBorder="1" applyAlignment="1">
      <alignment horizontal="center"/>
    </xf>
    <xf numFmtId="0" fontId="33" fillId="2" borderId="50" xfId="6" applyFont="1" applyBorder="1"/>
    <xf numFmtId="41" fontId="41" fillId="2" borderId="53" xfId="6" applyNumberFormat="1" applyFont="1" applyBorder="1"/>
    <xf numFmtId="0" fontId="41" fillId="2" borderId="54" xfId="6" applyFont="1" applyBorder="1" applyAlignment="1">
      <alignment horizontal="right"/>
    </xf>
    <xf numFmtId="0" fontId="9" fillId="2" borderId="55" xfId="6" applyBorder="1" applyAlignment="1">
      <alignment horizontal="center"/>
    </xf>
    <xf numFmtId="2" fontId="9" fillId="2" borderId="55" xfId="6" applyNumberFormat="1" applyBorder="1" applyAlignment="1">
      <alignment horizontal="center"/>
    </xf>
    <xf numFmtId="166" fontId="9" fillId="2" borderId="56" xfId="6" applyNumberFormat="1" applyBorder="1"/>
    <xf numFmtId="10" fontId="47" fillId="2" borderId="56" xfId="6" applyNumberFormat="1" applyFont="1" applyBorder="1"/>
    <xf numFmtId="41" fontId="9" fillId="2" borderId="57" xfId="6" applyNumberFormat="1" applyBorder="1"/>
    <xf numFmtId="41" fontId="9" fillId="2" borderId="55" xfId="6" applyNumberFormat="1" applyBorder="1"/>
    <xf numFmtId="41" fontId="9" fillId="2" borderId="56" xfId="6" applyNumberFormat="1" applyBorder="1"/>
    <xf numFmtId="0" fontId="50" fillId="15" borderId="55" xfId="6" applyFont="1" applyFill="1" applyBorder="1" applyAlignment="1">
      <alignment horizontal="left"/>
    </xf>
    <xf numFmtId="0" fontId="9" fillId="2" borderId="56" xfId="6" applyBorder="1"/>
    <xf numFmtId="0" fontId="9" fillId="2" borderId="57" xfId="6" applyBorder="1"/>
    <xf numFmtId="0" fontId="9" fillId="2" borderId="55" xfId="6" applyBorder="1" applyAlignment="1">
      <alignment horizontal="centerContinuous"/>
    </xf>
    <xf numFmtId="0" fontId="9" fillId="2" borderId="57" xfId="6" applyBorder="1" applyAlignment="1">
      <alignment horizontal="centerContinuous"/>
    </xf>
    <xf numFmtId="39" fontId="9" fillId="2" borderId="55" xfId="6" applyNumberFormat="1" applyBorder="1" applyAlignment="1">
      <alignment horizontal="center"/>
    </xf>
    <xf numFmtId="0" fontId="9" fillId="2" borderId="56" xfId="6" quotePrefix="1" applyBorder="1" applyAlignment="1">
      <alignment horizontal="left"/>
    </xf>
    <xf numFmtId="0" fontId="9" fillId="2" borderId="55" xfId="6" applyBorder="1"/>
    <xf numFmtId="0" fontId="37" fillId="2" borderId="56" xfId="6" applyFont="1" applyBorder="1" applyAlignment="1">
      <alignment horizontal="center"/>
    </xf>
    <xf numFmtId="0" fontId="37" fillId="2" borderId="57" xfId="6" applyFont="1" applyBorder="1" applyAlignment="1">
      <alignment horizontal="center"/>
    </xf>
    <xf numFmtId="0" fontId="9" fillId="2" borderId="55" xfId="6" applyBorder="1" applyAlignment="1">
      <alignment horizontal="left"/>
    </xf>
    <xf numFmtId="173" fontId="35" fillId="2" borderId="56" xfId="6" applyNumberFormat="1" applyFont="1" applyBorder="1" applyAlignment="1">
      <alignment horizontal="center"/>
    </xf>
    <xf numFmtId="0" fontId="9" fillId="2" borderId="56" xfId="6" applyBorder="1" applyAlignment="1">
      <alignment horizontal="left"/>
    </xf>
    <xf numFmtId="173" fontId="35" fillId="2" borderId="57" xfId="6" applyNumberFormat="1" applyFont="1" applyBorder="1" applyAlignment="1">
      <alignment horizontal="center"/>
    </xf>
    <xf numFmtId="0" fontId="33" fillId="2" borderId="56" xfId="6" applyFont="1" applyBorder="1"/>
    <xf numFmtId="0" fontId="19" fillId="6" borderId="56" xfId="7" applyFill="1" applyBorder="1"/>
    <xf numFmtId="0" fontId="22" fillId="0" borderId="56" xfId="7" applyFont="1" applyBorder="1"/>
    <xf numFmtId="9" fontId="22" fillId="0" borderId="56" xfId="7" applyNumberFormat="1" applyFont="1" applyBorder="1"/>
    <xf numFmtId="0" fontId="19" fillId="0" borderId="56" xfId="7" applyBorder="1"/>
    <xf numFmtId="4" fontId="22" fillId="6" borderId="56" xfId="7" applyNumberFormat="1" applyFont="1" applyFill="1" applyBorder="1"/>
    <xf numFmtId="41" fontId="19" fillId="0" borderId="56" xfId="7" applyNumberFormat="1" applyBorder="1"/>
    <xf numFmtId="10" fontId="19" fillId="0" borderId="56" xfId="7" applyNumberFormat="1" applyBorder="1"/>
    <xf numFmtId="1" fontId="19" fillId="0" borderId="56" xfId="7" applyNumberFormat="1" applyBorder="1"/>
    <xf numFmtId="175" fontId="19" fillId="0" borderId="56" xfId="7" applyNumberFormat="1" applyBorder="1"/>
    <xf numFmtId="41" fontId="41" fillId="2" borderId="59" xfId="6" applyNumberFormat="1" applyFont="1" applyBorder="1"/>
    <xf numFmtId="0" fontId="41" fillId="2" borderId="60" xfId="6" applyFont="1" applyBorder="1" applyAlignment="1">
      <alignment horizontal="right"/>
    </xf>
    <xf numFmtId="0" fontId="9" fillId="2" borderId="61" xfId="6" applyBorder="1" applyAlignment="1">
      <alignment horizontal="center"/>
    </xf>
    <xf numFmtId="2" fontId="9" fillId="2" borderId="61" xfId="6" applyNumberFormat="1" applyBorder="1" applyAlignment="1">
      <alignment horizontal="center"/>
    </xf>
    <xf numFmtId="166" fontId="9" fillId="2" borderId="62" xfId="6" applyNumberFormat="1" applyBorder="1"/>
    <xf numFmtId="10" fontId="47" fillId="2" borderId="62" xfId="6" applyNumberFormat="1" applyFont="1" applyBorder="1"/>
    <xf numFmtId="41" fontId="9" fillId="2" borderId="63" xfId="6" applyNumberFormat="1" applyBorder="1"/>
    <xf numFmtId="41" fontId="9" fillId="2" borderId="61" xfId="6" applyNumberFormat="1" applyBorder="1"/>
    <xf numFmtId="41" fontId="9" fillId="2" borderId="62" xfId="6" applyNumberFormat="1" applyBorder="1"/>
    <xf numFmtId="0" fontId="50" fillId="15" borderId="61" xfId="6" applyFont="1" applyFill="1" applyBorder="1" applyAlignment="1">
      <alignment horizontal="left"/>
    </xf>
    <xf numFmtId="0" fontId="9" fillId="2" borderId="62" xfId="6" applyBorder="1"/>
    <xf numFmtId="0" fontId="9" fillId="2" borderId="63" xfId="6" applyBorder="1"/>
    <xf numFmtId="0" fontId="9" fillId="2" borderId="61" xfId="6" applyBorder="1" applyAlignment="1">
      <alignment horizontal="centerContinuous"/>
    </xf>
    <xf numFmtId="0" fontId="9" fillId="2" borderId="63" xfId="6" applyBorder="1" applyAlignment="1">
      <alignment horizontal="centerContinuous"/>
    </xf>
    <xf numFmtId="39" fontId="9" fillId="2" borderId="61" xfId="6" applyNumberFormat="1" applyBorder="1" applyAlignment="1">
      <alignment horizontal="center"/>
    </xf>
    <xf numFmtId="0" fontId="9" fillId="2" borderId="62" xfId="6" quotePrefix="1" applyBorder="1" applyAlignment="1">
      <alignment horizontal="left"/>
    </xf>
    <xf numFmtId="0" fontId="9" fillId="2" borderId="61" xfId="6" applyBorder="1"/>
    <xf numFmtId="0" fontId="37" fillId="2" borderId="62" xfId="6" applyFont="1" applyBorder="1" applyAlignment="1">
      <alignment horizontal="center"/>
    </xf>
    <xf numFmtId="0" fontId="37" fillId="2" borderId="63" xfId="6" applyFont="1" applyBorder="1" applyAlignment="1">
      <alignment horizontal="center"/>
    </xf>
    <xf numFmtId="0" fontId="9" fillId="2" borderId="61" xfId="6" applyBorder="1" applyAlignment="1">
      <alignment horizontal="left"/>
    </xf>
    <xf numFmtId="173" fontId="35" fillId="2" borderId="62" xfId="6" applyNumberFormat="1" applyFont="1" applyBorder="1" applyAlignment="1">
      <alignment horizontal="center"/>
    </xf>
    <xf numFmtId="0" fontId="9" fillId="2" borderId="62" xfId="6" applyBorder="1" applyAlignment="1">
      <alignment horizontal="left"/>
    </xf>
    <xf numFmtId="173" fontId="35" fillId="2" borderId="63" xfId="6" applyNumberFormat="1" applyFont="1" applyBorder="1" applyAlignment="1">
      <alignment horizontal="center"/>
    </xf>
    <xf numFmtId="0" fontId="33" fillId="2" borderId="62" xfId="6" applyFont="1" applyBorder="1"/>
    <xf numFmtId="0" fontId="55" fillId="2" borderId="65" xfId="6" applyFont="1" applyBorder="1" applyAlignment="1">
      <alignment horizontal="centerContinuous"/>
    </xf>
    <xf numFmtId="0" fontId="55" fillId="2" borderId="66" xfId="6" applyFont="1" applyBorder="1" applyAlignment="1">
      <alignment horizontal="centerContinuous"/>
    </xf>
    <xf numFmtId="0" fontId="9" fillId="2" borderId="66" xfId="6" applyBorder="1" applyAlignment="1">
      <alignment horizontal="centerContinuous"/>
    </xf>
    <xf numFmtId="0" fontId="53" fillId="13" borderId="65" xfId="10" applyNumberFormat="1" applyFont="1" applyBorder="1" applyAlignment="1">
      <alignment horizontal="left"/>
    </xf>
    <xf numFmtId="0" fontId="41" fillId="2" borderId="67" xfId="6" applyFont="1" applyBorder="1" applyAlignment="1">
      <alignment horizontal="center"/>
    </xf>
    <xf numFmtId="10" fontId="40" fillId="0" borderId="66" xfId="11" applyFont="1" applyFill="1" applyBorder="1"/>
    <xf numFmtId="41" fontId="41" fillId="2" borderId="64" xfId="6" applyNumberFormat="1" applyFont="1" applyBorder="1"/>
    <xf numFmtId="5" fontId="41" fillId="2" borderId="64" xfId="6" applyNumberFormat="1" applyFont="1" applyBorder="1"/>
    <xf numFmtId="177" fontId="40" fillId="0" borderId="66" xfId="11" applyNumberFormat="1" applyFont="1" applyFill="1" applyBorder="1"/>
    <xf numFmtId="41" fontId="41" fillId="2" borderId="68" xfId="6" applyNumberFormat="1" applyFont="1" applyBorder="1"/>
    <xf numFmtId="0" fontId="41" fillId="2" borderId="69" xfId="6" applyFont="1" applyBorder="1" applyAlignment="1">
      <alignment horizontal="right"/>
    </xf>
    <xf numFmtId="0" fontId="9" fillId="2" borderId="70" xfId="6" applyBorder="1" applyAlignment="1">
      <alignment horizontal="center"/>
    </xf>
    <xf numFmtId="2" fontId="9" fillId="2" borderId="70" xfId="6" applyNumberFormat="1" applyBorder="1" applyAlignment="1">
      <alignment horizontal="center"/>
    </xf>
    <xf numFmtId="166" fontId="9" fillId="2" borderId="71" xfId="6" applyNumberFormat="1" applyBorder="1"/>
    <xf numFmtId="10" fontId="47" fillId="2" borderId="71" xfId="6" applyNumberFormat="1" applyFont="1" applyBorder="1"/>
    <xf numFmtId="41" fontId="9" fillId="2" borderId="72" xfId="6" applyNumberFormat="1" applyBorder="1"/>
    <xf numFmtId="41" fontId="9" fillId="2" borderId="70" xfId="6" applyNumberFormat="1" applyBorder="1"/>
    <xf numFmtId="41" fontId="9" fillId="2" borderId="71" xfId="6" applyNumberFormat="1" applyBorder="1"/>
    <xf numFmtId="0" fontId="50" fillId="15" borderId="70" xfId="6" applyFont="1" applyFill="1" applyBorder="1" applyAlignment="1">
      <alignment horizontal="left"/>
    </xf>
    <xf numFmtId="0" fontId="9" fillId="2" borderId="71" xfId="6" applyBorder="1"/>
    <xf numFmtId="0" fontId="9" fillId="2" borderId="72" xfId="6" applyBorder="1"/>
    <xf numFmtId="0" fontId="9" fillId="2" borderId="70" xfId="6" applyBorder="1" applyAlignment="1">
      <alignment horizontal="centerContinuous"/>
    </xf>
    <xf numFmtId="0" fontId="9" fillId="2" borderId="72" xfId="6" applyBorder="1" applyAlignment="1">
      <alignment horizontal="centerContinuous"/>
    </xf>
    <xf numFmtId="39" fontId="9" fillId="2" borderId="70" xfId="6" applyNumberFormat="1" applyBorder="1" applyAlignment="1">
      <alignment horizontal="center"/>
    </xf>
    <xf numFmtId="0" fontId="9" fillId="2" borderId="71" xfId="6" quotePrefix="1" applyBorder="1" applyAlignment="1">
      <alignment horizontal="left"/>
    </xf>
    <xf numFmtId="0" fontId="9" fillId="2" borderId="70" xfId="6" applyBorder="1"/>
    <xf numFmtId="0" fontId="37" fillId="2" borderId="71" xfId="6" applyFont="1" applyBorder="1" applyAlignment="1">
      <alignment horizontal="center"/>
    </xf>
    <xf numFmtId="0" fontId="37" fillId="2" borderId="72" xfId="6" applyFont="1" applyBorder="1" applyAlignment="1">
      <alignment horizontal="center"/>
    </xf>
    <xf numFmtId="0" fontId="9" fillId="2" borderId="70" xfId="6" applyBorder="1" applyAlignment="1">
      <alignment horizontal="left"/>
    </xf>
    <xf numFmtId="173" fontId="35" fillId="2" borderId="71" xfId="6" applyNumberFormat="1" applyFont="1" applyBorder="1" applyAlignment="1">
      <alignment horizontal="center"/>
    </xf>
    <xf numFmtId="0" fontId="9" fillId="2" borderId="71" xfId="6" applyBorder="1" applyAlignment="1">
      <alignment horizontal="left"/>
    </xf>
    <xf numFmtId="173" fontId="35" fillId="2" borderId="72" xfId="6" applyNumberFormat="1" applyFont="1" applyBorder="1" applyAlignment="1">
      <alignment horizontal="center"/>
    </xf>
    <xf numFmtId="0" fontId="33" fillId="2" borderId="71" xfId="6" applyFont="1" applyBorder="1"/>
    <xf numFmtId="10" fontId="0" fillId="0" borderId="71" xfId="0" applyNumberFormat="1" applyBorder="1"/>
    <xf numFmtId="0" fontId="22" fillId="17" borderId="0" xfId="7" applyFont="1" applyFill="1"/>
    <xf numFmtId="9" fontId="22" fillId="17" borderId="0" xfId="7" applyNumberFormat="1" applyFont="1" applyFill="1"/>
    <xf numFmtId="0" fontId="19" fillId="17" borderId="0" xfId="7" applyFill="1"/>
    <xf numFmtId="0" fontId="19" fillId="17" borderId="0" xfId="7" applyFill="1" applyAlignment="1">
      <alignment horizontal="center"/>
    </xf>
    <xf numFmtId="3" fontId="22" fillId="17" borderId="0" xfId="7" applyNumberFormat="1" applyFont="1" applyFill="1"/>
    <xf numFmtId="14" fontId="19" fillId="17" borderId="0" xfId="7" applyNumberFormat="1" applyFill="1"/>
    <xf numFmtId="41" fontId="19" fillId="17" borderId="0" xfId="7" applyNumberFormat="1" applyFill="1"/>
    <xf numFmtId="10" fontId="19" fillId="17" borderId="0" xfId="7" applyNumberFormat="1" applyFill="1"/>
    <xf numFmtId="1" fontId="19" fillId="17" borderId="0" xfId="7" applyNumberFormat="1" applyFill="1"/>
    <xf numFmtId="175" fontId="19" fillId="17" borderId="0" xfId="7" applyNumberFormat="1" applyFill="1"/>
    <xf numFmtId="180" fontId="19" fillId="17" borderId="0" xfId="4" applyNumberFormat="1" applyFont="1" applyFill="1"/>
    <xf numFmtId="4" fontId="22" fillId="17" borderId="0" xfId="7" applyNumberFormat="1" applyFont="1" applyFill="1"/>
    <xf numFmtId="2" fontId="19" fillId="0" borderId="0" xfId="7" applyNumberFormat="1"/>
    <xf numFmtId="178" fontId="65" fillId="0" borderId="4" xfId="1" applyNumberFormat="1" applyFont="1" applyBorder="1"/>
    <xf numFmtId="178" fontId="0" fillId="0" borderId="5" xfId="1" applyNumberFormat="1" applyFont="1" applyBorder="1"/>
    <xf numFmtId="14" fontId="3" fillId="0" borderId="0" xfId="0" quotePrefix="1" applyNumberFormat="1" applyFont="1" applyAlignment="1">
      <alignment horizontal="left"/>
    </xf>
    <xf numFmtId="178" fontId="0" fillId="0" borderId="6" xfId="1" applyNumberFormat="1" applyFont="1" applyBorder="1"/>
    <xf numFmtId="14" fontId="0" fillId="6" borderId="0" xfId="0" applyNumberFormat="1" applyFill="1"/>
    <xf numFmtId="14" fontId="3" fillId="6" borderId="0" xfId="0" applyNumberFormat="1" applyFont="1" applyFill="1"/>
    <xf numFmtId="178" fontId="0" fillId="6" borderId="0" xfId="1" applyNumberFormat="1" applyFont="1" applyFill="1" applyBorder="1"/>
    <xf numFmtId="43" fontId="0" fillId="6" borderId="0" xfId="1" applyFont="1" applyFill="1" applyBorder="1"/>
    <xf numFmtId="44" fontId="0" fillId="6" borderId="0" xfId="4" applyFont="1" applyFill="1" applyBorder="1"/>
    <xf numFmtId="44" fontId="0" fillId="6" borderId="0" xfId="0" applyNumberFormat="1" applyFill="1"/>
    <xf numFmtId="178" fontId="27" fillId="6" borderId="0" xfId="3" applyNumberFormat="1" applyFont="1" applyFill="1"/>
    <xf numFmtId="0" fontId="27" fillId="6" borderId="0" xfId="0" applyFont="1" applyFill="1"/>
    <xf numFmtId="172" fontId="27" fillId="16" borderId="0" xfId="0" applyNumberFormat="1" applyFont="1" applyFill="1"/>
    <xf numFmtId="43" fontId="0" fillId="0" borderId="0" xfId="3" applyFont="1" applyAlignment="1">
      <alignment horizontal="center"/>
    </xf>
    <xf numFmtId="180" fontId="19" fillId="0" borderId="0" xfId="4" applyNumberFormat="1" applyFont="1" applyFill="1"/>
    <xf numFmtId="14" fontId="19" fillId="0" borderId="0" xfId="7" applyNumberFormat="1" applyAlignment="1">
      <alignment horizontal="center"/>
    </xf>
    <xf numFmtId="0" fontId="19" fillId="6" borderId="0" xfId="7" applyFill="1" applyAlignment="1">
      <alignment horizontal="center"/>
    </xf>
    <xf numFmtId="3" fontId="22" fillId="6" borderId="0" xfId="7" applyNumberFormat="1" applyFont="1" applyFill="1"/>
    <xf numFmtId="41" fontId="19" fillId="6" borderId="0" xfId="7" applyNumberFormat="1" applyFill="1"/>
    <xf numFmtId="10" fontId="19" fillId="6" borderId="0" xfId="7" applyNumberFormat="1" applyFill="1"/>
    <xf numFmtId="1" fontId="19" fillId="6" borderId="0" xfId="7" applyNumberFormat="1" applyFill="1"/>
    <xf numFmtId="175" fontId="19" fillId="6" borderId="0" xfId="7" applyNumberFormat="1" applyFill="1"/>
    <xf numFmtId="180" fontId="19" fillId="6" borderId="0" xfId="4" applyNumberFormat="1" applyFont="1" applyFill="1"/>
    <xf numFmtId="180" fontId="19" fillId="6" borderId="0" xfId="4" applyNumberFormat="1" applyFont="1" applyFill="1" applyBorder="1"/>
    <xf numFmtId="1" fontId="22" fillId="6" borderId="0" xfId="7" applyNumberFormat="1" applyFont="1" applyFill="1"/>
    <xf numFmtId="0" fontId="19" fillId="16" borderId="0" xfId="7" applyFill="1"/>
    <xf numFmtId="0" fontId="22" fillId="16" borderId="0" xfId="7" applyFont="1" applyFill="1"/>
    <xf numFmtId="9" fontId="22" fillId="16" borderId="0" xfId="7" applyNumberFormat="1" applyFont="1" applyFill="1"/>
    <xf numFmtId="1" fontId="22" fillId="16" borderId="0" xfId="7" applyNumberFormat="1" applyFont="1" applyFill="1"/>
    <xf numFmtId="4" fontId="22" fillId="16" borderId="0" xfId="7" applyNumberFormat="1" applyFont="1" applyFill="1"/>
    <xf numFmtId="41" fontId="19" fillId="16" borderId="0" xfId="7" applyNumberFormat="1" applyFill="1"/>
    <xf numFmtId="10" fontId="19" fillId="16" borderId="0" xfId="7" applyNumberFormat="1" applyFill="1"/>
    <xf numFmtId="1" fontId="19" fillId="16" borderId="0" xfId="7" applyNumberFormat="1" applyFill="1"/>
    <xf numFmtId="175" fontId="19" fillId="16" borderId="0" xfId="7" applyNumberFormat="1" applyFill="1"/>
    <xf numFmtId="42" fontId="19" fillId="0" borderId="0" xfId="4" applyNumberFormat="1" applyFont="1"/>
    <xf numFmtId="2" fontId="19" fillId="16" borderId="0" xfId="7" applyNumberFormat="1" applyFill="1"/>
    <xf numFmtId="0" fontId="19" fillId="16" borderId="0" xfId="7" applyFill="1" applyAlignment="1">
      <alignment horizontal="center"/>
    </xf>
    <xf numFmtId="3" fontId="22" fillId="16" borderId="0" xfId="7" applyNumberFormat="1" applyFont="1" applyFill="1"/>
    <xf numFmtId="180" fontId="19" fillId="16" borderId="0" xfId="4" applyNumberFormat="1" applyFont="1" applyFill="1"/>
    <xf numFmtId="180" fontId="19" fillId="16" borderId="0" xfId="4" applyNumberFormat="1" applyFont="1" applyFill="1" applyBorder="1"/>
    <xf numFmtId="172" fontId="27" fillId="0" borderId="0" xfId="0" applyNumberFormat="1" applyFont="1"/>
    <xf numFmtId="14" fontId="0" fillId="0" borderId="4" xfId="0" applyNumberFormat="1" applyBorder="1"/>
    <xf numFmtId="171" fontId="60" fillId="0" borderId="0" xfId="0" applyNumberFormat="1" applyFont="1"/>
    <xf numFmtId="0" fontId="60" fillId="0" borderId="0" xfId="0" applyFont="1"/>
    <xf numFmtId="43" fontId="0" fillId="6" borderId="0" xfId="1" applyFont="1" applyFill="1"/>
    <xf numFmtId="14" fontId="0" fillId="6" borderId="0" xfId="0" applyNumberFormat="1" applyFill="1" applyAlignment="1">
      <alignment horizontal="center"/>
    </xf>
    <xf numFmtId="39" fontId="0" fillId="6" borderId="0" xfId="0" applyNumberFormat="1" applyFill="1"/>
    <xf numFmtId="43" fontId="0" fillId="6" borderId="0" xfId="0" applyNumberFormat="1" applyFill="1"/>
    <xf numFmtId="164" fontId="0" fillId="6" borderId="0" xfId="8" applyNumberFormat="1" applyFont="1" applyFill="1"/>
    <xf numFmtId="40" fontId="0" fillId="5" borderId="0" xfId="0" applyNumberFormat="1" applyFill="1"/>
    <xf numFmtId="43" fontId="0" fillId="5" borderId="4" xfId="0" applyNumberFormat="1" applyFill="1" applyBorder="1"/>
    <xf numFmtId="180" fontId="0" fillId="0" borderId="0" xfId="0" applyNumberFormat="1"/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2" borderId="32" xfId="6" applyBorder="1" applyAlignment="1">
      <alignment horizontal="center"/>
    </xf>
    <xf numFmtId="0" fontId="9" fillId="2" borderId="20" xfId="6" applyBorder="1" applyAlignment="1">
      <alignment horizontal="center"/>
    </xf>
    <xf numFmtId="0" fontId="9" fillId="2" borderId="31" xfId="6" applyBorder="1" applyAlignment="1">
      <alignment horizontal="center"/>
    </xf>
    <xf numFmtId="0" fontId="38" fillId="14" borderId="0" xfId="6" applyFont="1" applyFill="1" applyAlignment="1">
      <alignment horizontal="center"/>
    </xf>
    <xf numFmtId="0" fontId="40" fillId="14" borderId="56" xfId="6" applyFont="1" applyFill="1" applyBorder="1" applyAlignment="1">
      <alignment horizontal="center"/>
    </xf>
    <xf numFmtId="0" fontId="40" fillId="14" borderId="0" xfId="6" applyFont="1" applyFill="1" applyAlignment="1">
      <alignment horizontal="center"/>
    </xf>
    <xf numFmtId="0" fontId="40" fillId="14" borderId="58" xfId="6" applyFont="1" applyFill="1" applyBorder="1" applyAlignment="1">
      <alignment horizontal="center"/>
    </xf>
    <xf numFmtId="0" fontId="9" fillId="16" borderId="0" xfId="6" applyFill="1" applyAlignment="1">
      <alignment horizontal="center"/>
    </xf>
    <xf numFmtId="0" fontId="9" fillId="16" borderId="16" xfId="6" applyFill="1" applyBorder="1" applyAlignment="1">
      <alignment horizontal="center"/>
    </xf>
    <xf numFmtId="0" fontId="40" fillId="14" borderId="46" xfId="6" applyFont="1" applyFill="1" applyBorder="1" applyAlignment="1">
      <alignment horizontal="center"/>
    </xf>
    <xf numFmtId="0" fontId="40" fillId="14" borderId="44" xfId="6" applyFont="1" applyFill="1" applyBorder="1" applyAlignment="1">
      <alignment horizontal="center"/>
    </xf>
    <xf numFmtId="0" fontId="9" fillId="16" borderId="0" xfId="6" applyFill="1" applyAlignment="1">
      <alignment vertical="center" wrapText="1"/>
    </xf>
    <xf numFmtId="0" fontId="9" fillId="16" borderId="16" xfId="6" applyFill="1" applyBorder="1" applyAlignment="1">
      <alignment vertical="center" wrapText="1"/>
    </xf>
    <xf numFmtId="0" fontId="38" fillId="5" borderId="0" xfId="6" applyFont="1" applyFill="1" applyAlignment="1">
      <alignment horizontal="center"/>
    </xf>
    <xf numFmtId="0" fontId="38" fillId="5" borderId="16" xfId="6" applyFont="1" applyFill="1" applyBorder="1" applyAlignment="1">
      <alignment horizontal="center"/>
    </xf>
    <xf numFmtId="0" fontId="40" fillId="14" borderId="52" xfId="6" applyFont="1" applyFill="1" applyBorder="1" applyAlignment="1">
      <alignment horizontal="center"/>
    </xf>
    <xf numFmtId="0" fontId="40" fillId="14" borderId="50" xfId="6" applyFont="1" applyFill="1" applyBorder="1" applyAlignment="1">
      <alignment horizontal="center"/>
    </xf>
    <xf numFmtId="0" fontId="40" fillId="14" borderId="64" xfId="6" applyFont="1" applyFill="1" applyBorder="1" applyAlignment="1">
      <alignment horizontal="center"/>
    </xf>
    <xf numFmtId="0" fontId="40" fillId="14" borderId="62" xfId="6" applyFont="1" applyFill="1" applyBorder="1" applyAlignment="1">
      <alignment horizontal="center"/>
    </xf>
    <xf numFmtId="0" fontId="40" fillId="14" borderId="73" xfId="6" applyFont="1" applyFill="1" applyBorder="1" applyAlignment="1">
      <alignment horizontal="center"/>
    </xf>
    <xf numFmtId="0" fontId="40" fillId="14" borderId="71" xfId="6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0">
    <cellStyle name="Accent5" xfId="10" builtinId="45"/>
    <cellStyle name="Comma" xfId="1" builtinId="3"/>
    <cellStyle name="Comma 2" xfId="2" xr:uid="{00000000-0005-0000-0000-000002000000}"/>
    <cellStyle name="Comma 3" xfId="3" xr:uid="{00000000-0005-0000-0000-000003000000}"/>
    <cellStyle name="Currency" xfId="4" builtinId="4"/>
    <cellStyle name="Currency 2" xfId="5" xr:uid="{00000000-0005-0000-0000-000005000000}"/>
    <cellStyle name="Currency 3" xfId="15" xr:uid="{00000000-0005-0000-0000-000006000000}"/>
    <cellStyle name="Currency 5" xfId="17" xr:uid="{00000000-0005-0000-0000-000007000000}"/>
    <cellStyle name="Hyperlink 2" xfId="14" xr:uid="{00000000-0005-0000-0000-000008000000}"/>
    <cellStyle name="Normal" xfId="0" builtinId="0"/>
    <cellStyle name="Normal 2" xfId="6" xr:uid="{00000000-0005-0000-0000-00000A000000}"/>
    <cellStyle name="Normal 3" xfId="7" xr:uid="{00000000-0005-0000-0000-00000B000000}"/>
    <cellStyle name="Normal 4" xfId="19" xr:uid="{00000000-0005-0000-0000-00000C000000}"/>
    <cellStyle name="Normal 4 3" xfId="13" xr:uid="{00000000-0005-0000-0000-00000D000000}"/>
    <cellStyle name="Normal 8" xfId="12" xr:uid="{00000000-0005-0000-0000-00000E000000}"/>
    <cellStyle name="Percent" xfId="8" builtinId="5"/>
    <cellStyle name="Percent 2" xfId="9" xr:uid="{00000000-0005-0000-0000-000010000000}"/>
    <cellStyle name="Percent 3" xfId="11" xr:uid="{00000000-0005-0000-0000-000011000000}"/>
    <cellStyle name="Percent 4" xfId="16" xr:uid="{00000000-0005-0000-0000-000012000000}"/>
    <cellStyle name="Percent 5" xfId="18" xr:uid="{00000000-0005-0000-0000-000013000000}"/>
  </cellStyles>
  <dxfs count="12"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1.xml"/><Relationship Id="rId68" Type="http://schemas.openxmlformats.org/officeDocument/2006/relationships/externalLink" Target="externalLinks/externalLink1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74" Type="http://schemas.openxmlformats.org/officeDocument/2006/relationships/externalLink" Target="externalLinks/externalLink22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82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externalLink" Target="externalLinks/externalLink17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0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externalLink" Target="externalLinks/externalLink18.xml"/><Relationship Id="rId75" Type="http://schemas.openxmlformats.org/officeDocument/2006/relationships/theme" Target="theme/theme1.xml"/><Relationship Id="rId83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73" Type="http://schemas.openxmlformats.org/officeDocument/2006/relationships/externalLink" Target="externalLinks/externalLink2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19137" name="CheckBox1" hidden="1">
              <a:extLst>
                <a:ext uri="{63B3BB69-23CF-44E3-9099-C40C66FF867C}">
                  <a14:compatExt spid="_x0000_s219137"/>
                </a:ext>
                <a:ext uri="{FF2B5EF4-FFF2-40B4-BE49-F238E27FC236}">
                  <a16:creationId xmlns:a16="http://schemas.microsoft.com/office/drawing/2014/main" id="{00000000-0008-0000-1A00-0000015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59073" name="CheckBox1" hidden="1">
              <a:extLst>
                <a:ext uri="{63B3BB69-23CF-44E3-9099-C40C66FF867C}">
                  <a14:compatExt spid="_x0000_s259073"/>
                </a:ext>
                <a:ext uri="{FF2B5EF4-FFF2-40B4-BE49-F238E27FC236}">
                  <a16:creationId xmlns:a16="http://schemas.microsoft.com/office/drawing/2014/main" id="{00000000-0008-0000-1B00-000001F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369665" name="CheckBox1" hidden="1">
              <a:extLst>
                <a:ext uri="{63B3BB69-23CF-44E3-9099-C40C66FF867C}">
                  <a14:compatExt spid="_x0000_s369665"/>
                </a:ext>
                <a:ext uri="{FF2B5EF4-FFF2-40B4-BE49-F238E27FC236}">
                  <a16:creationId xmlns:a16="http://schemas.microsoft.com/office/drawing/2014/main" id="{00000000-0008-0000-1C00-000001A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61121" name="CheckBox1" hidden="1">
              <a:extLst>
                <a:ext uri="{63B3BB69-23CF-44E3-9099-C40C66FF867C}">
                  <a14:compatExt spid="_x0000_s261121"/>
                </a:ext>
                <a:ext uri="{FF2B5EF4-FFF2-40B4-BE49-F238E27FC236}">
                  <a16:creationId xmlns:a16="http://schemas.microsoft.com/office/drawing/2014/main" id="{00000000-0008-0000-1D00-000001F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64193" name="CheckBox1" hidden="1">
              <a:extLst>
                <a:ext uri="{63B3BB69-23CF-44E3-9099-C40C66FF867C}">
                  <a14:compatExt spid="_x0000_s264193"/>
                </a:ext>
                <a:ext uri="{FF2B5EF4-FFF2-40B4-BE49-F238E27FC236}">
                  <a16:creationId xmlns:a16="http://schemas.microsoft.com/office/drawing/2014/main" id="{00000000-0008-0000-1E00-0000010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rmode/Documents/+2018/LG%20replacement/SolidWaste-NonPublic%20LG%202018%20V5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Weldon/AppData/Local/Microsoft/Windows/Temporary%20Internet%20Files/Content.Outlook/2IU5EPBL/BDI_WUTC-GeneralRateCase_2017-Jan_v02%204%20(CB%20new)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l/Desktop/Mason_GRC_Pro_forma_11.30.20_-_(C)_Redact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Version"/>
      <sheetName val="1. BDI Rev &amp; Exp Total Sheet"/>
      <sheetName val="2. 12 Month Income Stmt. 4(c)"/>
      <sheetName val="3. ProForma"/>
      <sheetName val="4. Matrix"/>
      <sheetName val="5. BDI Gen Ledger Table"/>
      <sheetName val="6. V Lookup Tables"/>
      <sheetName val="7. GL Pivot"/>
      <sheetName val="Recon"/>
      <sheetName val="8. BDI_IS_2015-16"/>
      <sheetName val="8.1 BDI_IS_2016"/>
      <sheetName val="8.2 BDI_IS for 2015"/>
      <sheetName val="9. BDI Balance Sheet"/>
      <sheetName val="Consolidated Balance Sheet 4(g)"/>
      <sheetName val="Sheet5"/>
      <sheetName val="Sheet6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AF134"/>
  <sheetViews>
    <sheetView showGridLines="0" workbookViewId="0">
      <selection activeCell="S26" sqref="S26"/>
    </sheetView>
  </sheetViews>
  <sheetFormatPr defaultRowHeight="12.75"/>
  <cols>
    <col min="1" max="1" width="5.5703125" customWidth="1"/>
    <col min="2" max="2" width="28" customWidth="1"/>
    <col min="3" max="13" width="11.7109375" customWidth="1"/>
    <col min="14" max="14" width="12.28515625" customWidth="1"/>
    <col min="15" max="15" width="12.5703125" customWidth="1"/>
    <col min="17" max="17" width="0" hidden="1" customWidth="1"/>
    <col min="18" max="18" width="29" hidden="1" customWidth="1"/>
    <col min="19" max="19" width="12.85546875" style="67" bestFit="1" customWidth="1"/>
    <col min="20" max="21" width="0" hidden="1" customWidth="1"/>
    <col min="23" max="23" width="11.7109375" customWidth="1"/>
    <col min="26" max="26" width="11.28515625" bestFit="1" customWidth="1"/>
  </cols>
  <sheetData>
    <row r="1" spans="1:32">
      <c r="A1" t="s">
        <v>4</v>
      </c>
      <c r="Q1" t="s">
        <v>4</v>
      </c>
    </row>
    <row r="3" spans="1:32">
      <c r="A3" t="s">
        <v>662</v>
      </c>
      <c r="D3" s="459" t="s">
        <v>11</v>
      </c>
      <c r="E3" s="459" t="s">
        <v>12</v>
      </c>
      <c r="Q3" t="s">
        <v>662</v>
      </c>
    </row>
    <row r="4" spans="1:32">
      <c r="P4" s="147"/>
      <c r="Q4" s="147"/>
      <c r="R4" s="147"/>
      <c r="S4" s="781"/>
      <c r="T4" s="147"/>
      <c r="U4" s="147"/>
      <c r="V4" s="147"/>
      <c r="W4" s="147"/>
      <c r="X4" s="147"/>
      <c r="Y4" s="147"/>
    </row>
    <row r="5" spans="1:32">
      <c r="A5" t="s">
        <v>1416</v>
      </c>
      <c r="P5" s="147"/>
      <c r="Q5" s="147" t="s">
        <v>663</v>
      </c>
      <c r="R5" s="147"/>
      <c r="S5" s="781"/>
      <c r="T5" s="147"/>
      <c r="U5" s="147"/>
      <c r="V5" s="147"/>
      <c r="W5" s="147"/>
      <c r="X5" s="147"/>
      <c r="Y5" s="147"/>
    </row>
    <row r="6" spans="1:32">
      <c r="P6" s="147"/>
      <c r="Q6" s="147"/>
      <c r="R6" s="147"/>
      <c r="S6" s="781"/>
      <c r="T6" s="147"/>
      <c r="U6" s="147"/>
      <c r="V6" s="147"/>
      <c r="W6" s="147"/>
      <c r="X6" s="147"/>
      <c r="Y6" s="147"/>
    </row>
    <row r="7" spans="1:32" ht="13.5" thickBot="1">
      <c r="C7" s="2">
        <v>45138</v>
      </c>
      <c r="D7" s="2">
        <v>45169</v>
      </c>
      <c r="E7" s="2">
        <v>45199</v>
      </c>
      <c r="F7" s="2">
        <v>45230</v>
      </c>
      <c r="G7" s="2">
        <v>45260</v>
      </c>
      <c r="H7" s="2">
        <v>45291</v>
      </c>
      <c r="I7" s="2">
        <v>45322</v>
      </c>
      <c r="J7" s="2">
        <v>45351</v>
      </c>
      <c r="K7" s="2">
        <v>45382</v>
      </c>
      <c r="L7" s="2">
        <v>45412</v>
      </c>
      <c r="M7" s="2">
        <v>45443</v>
      </c>
      <c r="N7" s="2">
        <v>45473</v>
      </c>
      <c r="O7" s="3" t="s">
        <v>27</v>
      </c>
      <c r="P7" s="147"/>
      <c r="Q7" s="157"/>
      <c r="R7" s="782"/>
      <c r="S7" s="781"/>
      <c r="T7" s="147"/>
      <c r="U7" s="147"/>
      <c r="V7" s="147"/>
      <c r="W7" s="147"/>
      <c r="X7" s="147"/>
      <c r="Y7" s="147"/>
      <c r="AA7" s="49"/>
      <c r="AB7" s="49"/>
      <c r="AC7" s="49"/>
      <c r="AD7" s="49"/>
      <c r="AE7" s="49"/>
      <c r="AF7" s="49"/>
    </row>
    <row r="8" spans="1:32" ht="13.5" thickTop="1">
      <c r="P8" s="147"/>
      <c r="Q8" s="147"/>
      <c r="R8" s="147"/>
      <c r="S8" s="781"/>
      <c r="T8" s="147"/>
      <c r="U8" s="147"/>
      <c r="V8" s="147"/>
      <c r="W8" s="147"/>
      <c r="X8" s="147"/>
      <c r="Y8" s="147"/>
    </row>
    <row r="9" spans="1:32">
      <c r="A9" t="s">
        <v>230</v>
      </c>
      <c r="P9" s="147"/>
      <c r="Q9" s="147" t="s">
        <v>230</v>
      </c>
      <c r="R9" s="147"/>
      <c r="S9" s="781"/>
      <c r="T9" s="147"/>
      <c r="U9" s="147"/>
      <c r="V9" s="147"/>
      <c r="W9" s="147"/>
      <c r="X9" s="147"/>
      <c r="Y9" s="147"/>
    </row>
    <row r="10" spans="1:32">
      <c r="A10">
        <v>3100</v>
      </c>
      <c r="B10" t="s">
        <v>231</v>
      </c>
      <c r="C10" s="5">
        <v>220844.18</v>
      </c>
      <c r="D10" s="5">
        <v>234217.1</v>
      </c>
      <c r="E10" s="5">
        <v>208136.08</v>
      </c>
      <c r="F10" s="5">
        <v>206209.13</v>
      </c>
      <c r="G10" s="5">
        <v>164921.87</v>
      </c>
      <c r="H10" s="5">
        <v>133028.42000000001</v>
      </c>
      <c r="I10" s="5">
        <v>145003.95000000001</v>
      </c>
      <c r="J10" s="5">
        <v>137014.41</v>
      </c>
      <c r="K10" s="5">
        <v>135458.87</v>
      </c>
      <c r="L10" s="5">
        <v>160790.38</v>
      </c>
      <c r="M10" s="5">
        <v>180332.18</v>
      </c>
      <c r="N10" s="5">
        <v>196279.73</v>
      </c>
      <c r="O10" s="5">
        <f t="shared" ref="O10:O18" si="0">SUM(C10:N10)</f>
        <v>2122236.2999999998</v>
      </c>
      <c r="P10" s="147"/>
      <c r="Q10" s="147">
        <v>3100</v>
      </c>
      <c r="R10" s="783" t="s">
        <v>231</v>
      </c>
      <c r="S10" s="781"/>
      <c r="T10" s="147"/>
      <c r="U10" s="147"/>
      <c r="V10" s="147"/>
      <c r="W10" s="784"/>
      <c r="X10" s="785"/>
      <c r="Y10" s="147"/>
      <c r="AA10" s="5"/>
      <c r="AB10" s="5"/>
      <c r="AC10" s="5"/>
      <c r="AD10" s="5"/>
      <c r="AE10" s="5"/>
      <c r="AF10" s="5"/>
    </row>
    <row r="11" spans="1:32">
      <c r="A11">
        <v>3112</v>
      </c>
      <c r="B11" t="s">
        <v>232</v>
      </c>
      <c r="C11" s="5">
        <v>29370.36</v>
      </c>
      <c r="D11" s="514">
        <v>21439.54</v>
      </c>
      <c r="E11" s="5">
        <v>24900.46</v>
      </c>
      <c r="F11" s="5">
        <v>25659.98</v>
      </c>
      <c r="G11" s="514">
        <v>25379.73</v>
      </c>
      <c r="H11" s="5">
        <v>25782.16</v>
      </c>
      <c r="I11" s="5">
        <v>25498.799999999999</v>
      </c>
      <c r="J11" s="5">
        <v>26341.93</v>
      </c>
      <c r="K11" s="5">
        <v>26752.3</v>
      </c>
      <c r="L11" s="5">
        <v>26391.24</v>
      </c>
      <c r="M11" s="5">
        <v>27008.04</v>
      </c>
      <c r="N11" s="5">
        <v>26175.46</v>
      </c>
      <c r="O11" s="5">
        <f t="shared" si="0"/>
        <v>310699.99999999994</v>
      </c>
      <c r="P11" s="147"/>
      <c r="Q11" s="147">
        <v>3112</v>
      </c>
      <c r="R11" s="544" t="s">
        <v>232</v>
      </c>
      <c r="S11" s="781"/>
      <c r="T11" s="147"/>
      <c r="U11" s="147"/>
      <c r="V11" s="147"/>
      <c r="W11" s="784"/>
      <c r="X11" s="785"/>
      <c r="Y11" s="147"/>
      <c r="AA11" s="5"/>
      <c r="AB11" s="514"/>
      <c r="AC11" s="5"/>
      <c r="AD11" s="5"/>
      <c r="AE11" s="514"/>
      <c r="AF11" s="5"/>
    </row>
    <row r="12" spans="1:32">
      <c r="A12">
        <v>3114</v>
      </c>
      <c r="B12" t="s">
        <v>233</v>
      </c>
      <c r="C12" s="5">
        <v>9959.31</v>
      </c>
      <c r="D12" s="5">
        <v>9878.0499999999993</v>
      </c>
      <c r="E12" s="5">
        <v>9521</v>
      </c>
      <c r="F12" s="5">
        <v>9520.7199999999993</v>
      </c>
      <c r="G12" s="5">
        <v>9466.1</v>
      </c>
      <c r="H12" s="5">
        <v>9490.5499999999993</v>
      </c>
      <c r="I12" s="5">
        <v>9454.2000000000007</v>
      </c>
      <c r="J12" s="5">
        <v>9310.35</v>
      </c>
      <c r="K12" s="5">
        <v>9504.8700000000008</v>
      </c>
      <c r="L12" s="5">
        <v>9901.7199999999993</v>
      </c>
      <c r="M12" s="5">
        <v>9344.5</v>
      </c>
      <c r="N12" s="5">
        <v>9669.9</v>
      </c>
      <c r="O12" s="5">
        <f t="shared" si="0"/>
        <v>115021.26999999999</v>
      </c>
      <c r="P12" s="147"/>
      <c r="Q12" s="147">
        <v>3114</v>
      </c>
      <c r="R12" s="783" t="s">
        <v>233</v>
      </c>
      <c r="S12" s="781"/>
      <c r="T12" s="147"/>
      <c r="U12" s="147"/>
      <c r="V12" s="147"/>
      <c r="W12" s="784"/>
      <c r="X12" s="785"/>
      <c r="Y12" s="147"/>
      <c r="AA12" s="5"/>
      <c r="AB12" s="5"/>
      <c r="AC12" s="5"/>
      <c r="AD12" s="5"/>
      <c r="AE12" s="5"/>
      <c r="AF12" s="5"/>
    </row>
    <row r="13" spans="1:32">
      <c r="A13">
        <v>3300</v>
      </c>
      <c r="B13" t="s">
        <v>234</v>
      </c>
      <c r="C13" s="5">
        <v>26747.52</v>
      </c>
      <c r="D13" s="5">
        <v>28720.400000000001</v>
      </c>
      <c r="E13" s="5">
        <v>21132.87</v>
      </c>
      <c r="F13" s="5">
        <v>24581.34</v>
      </c>
      <c r="G13" s="5">
        <v>24165.91</v>
      </c>
      <c r="H13" s="5">
        <v>18336.64</v>
      </c>
      <c r="I13" s="5">
        <v>19059.37</v>
      </c>
      <c r="J13" s="5">
        <v>17056.25</v>
      </c>
      <c r="K13" s="5">
        <v>21209.56</v>
      </c>
      <c r="L13" s="5">
        <v>22076.75</v>
      </c>
      <c r="M13" s="5">
        <v>26323.77</v>
      </c>
      <c r="N13" s="5">
        <v>26141.96</v>
      </c>
      <c r="O13" s="5">
        <f t="shared" si="0"/>
        <v>275552.33999999997</v>
      </c>
      <c r="P13" s="147"/>
      <c r="Q13" s="147">
        <v>3300</v>
      </c>
      <c r="R13" s="783" t="s">
        <v>234</v>
      </c>
      <c r="S13" s="781"/>
      <c r="T13" s="147"/>
      <c r="U13" s="147"/>
      <c r="V13" s="147"/>
      <c r="W13" s="784"/>
      <c r="X13" s="785"/>
      <c r="Y13" s="147"/>
      <c r="AA13" s="5"/>
      <c r="AB13" s="5"/>
      <c r="AC13" s="5"/>
      <c r="AD13" s="5"/>
      <c r="AE13" s="5"/>
      <c r="AF13" s="5"/>
    </row>
    <row r="14" spans="1:32">
      <c r="A14">
        <v>3310</v>
      </c>
      <c r="B14" t="s">
        <v>235</v>
      </c>
      <c r="C14" s="5">
        <v>49543.32</v>
      </c>
      <c r="D14" s="5">
        <v>45133.11</v>
      </c>
      <c r="E14" s="5">
        <v>34240.92</v>
      </c>
      <c r="F14" s="5">
        <v>40317.760000000002</v>
      </c>
      <c r="G14" s="5">
        <v>37848.379999999997</v>
      </c>
      <c r="H14" s="5">
        <v>25898.7</v>
      </c>
      <c r="I14" s="5">
        <v>29991.95</v>
      </c>
      <c r="J14" s="5">
        <v>27084.76</v>
      </c>
      <c r="K14" s="5">
        <v>34922</v>
      </c>
      <c r="L14" s="5">
        <v>37173.040000000001</v>
      </c>
      <c r="M14" s="5">
        <v>44653.83</v>
      </c>
      <c r="N14" s="5">
        <v>55248.43</v>
      </c>
      <c r="O14" s="5">
        <f t="shared" si="0"/>
        <v>462056.2</v>
      </c>
      <c r="P14" s="147"/>
      <c r="Q14" s="147">
        <v>3310</v>
      </c>
      <c r="R14" s="783" t="s">
        <v>235</v>
      </c>
      <c r="S14" s="781"/>
      <c r="T14" s="147"/>
      <c r="U14" s="147"/>
      <c r="V14" s="147"/>
      <c r="W14" s="784"/>
      <c r="X14" s="785"/>
      <c r="Y14" s="147"/>
      <c r="AA14" s="5"/>
      <c r="AB14" s="5"/>
      <c r="AC14" s="5"/>
      <c r="AD14" s="5"/>
      <c r="AE14" s="5"/>
      <c r="AF14" s="5"/>
    </row>
    <row r="15" spans="1:32">
      <c r="A15">
        <v>3410</v>
      </c>
      <c r="B15" t="s">
        <v>236</v>
      </c>
      <c r="C15" s="5">
        <v>7914.92</v>
      </c>
      <c r="D15" s="5">
        <v>8038.32</v>
      </c>
      <c r="E15" s="5">
        <v>8023.96</v>
      </c>
      <c r="F15" s="5">
        <v>7681.22</v>
      </c>
      <c r="G15" s="5">
        <v>7261.73</v>
      </c>
      <c r="H15" s="5">
        <v>7185.01</v>
      </c>
      <c r="I15" s="5">
        <v>7030.4</v>
      </c>
      <c r="J15" s="5">
        <v>7089.12</v>
      </c>
      <c r="K15" s="5">
        <v>7137.06</v>
      </c>
      <c r="L15" s="5">
        <v>7364.79</v>
      </c>
      <c r="M15" s="5">
        <v>7835.85</v>
      </c>
      <c r="N15" s="5">
        <v>8083.36</v>
      </c>
      <c r="O15" s="5">
        <f>SUM(C15:N15)</f>
        <v>90645.74</v>
      </c>
      <c r="P15" s="147"/>
      <c r="Q15" s="147">
        <v>3410</v>
      </c>
      <c r="R15" s="783" t="s">
        <v>236</v>
      </c>
      <c r="S15" s="781"/>
      <c r="T15" s="147"/>
      <c r="U15" s="147"/>
      <c r="V15" s="147"/>
      <c r="W15" s="784"/>
      <c r="X15" s="785"/>
      <c r="Y15" s="147"/>
      <c r="AA15" s="5"/>
      <c r="AB15" s="5"/>
      <c r="AC15" s="5"/>
      <c r="AD15" s="5"/>
      <c r="AE15" s="5"/>
      <c r="AF15" s="5"/>
    </row>
    <row r="16" spans="1:32">
      <c r="A16">
        <v>3450</v>
      </c>
      <c r="B16" t="s">
        <v>237</v>
      </c>
      <c r="C16" s="5">
        <v>3647</v>
      </c>
      <c r="D16" s="5">
        <v>3318</v>
      </c>
      <c r="E16" s="5">
        <v>4188</v>
      </c>
      <c r="F16" s="5">
        <v>2653</v>
      </c>
      <c r="G16" s="5">
        <v>3905.5</v>
      </c>
      <c r="H16" s="5">
        <v>2497</v>
      </c>
      <c r="I16" s="5">
        <v>2197</v>
      </c>
      <c r="J16" s="5">
        <v>2124</v>
      </c>
      <c r="K16" s="5">
        <v>0</v>
      </c>
      <c r="L16" s="5">
        <v>5786</v>
      </c>
      <c r="M16" s="5">
        <v>3693</v>
      </c>
      <c r="N16" s="5">
        <v>3234</v>
      </c>
      <c r="O16" s="5">
        <f>SUM(C16:N16)</f>
        <v>37242.5</v>
      </c>
      <c r="P16" s="147"/>
      <c r="Q16" s="147">
        <v>3450</v>
      </c>
      <c r="R16" s="783" t="s">
        <v>237</v>
      </c>
      <c r="S16" s="781"/>
      <c r="T16" s="147"/>
      <c r="U16" s="147"/>
      <c r="V16" s="147"/>
      <c r="W16" s="784"/>
      <c r="X16" s="785"/>
      <c r="Y16" s="147"/>
      <c r="AA16" s="5"/>
      <c r="AB16" s="5"/>
      <c r="AC16" s="5"/>
      <c r="AD16" s="5"/>
      <c r="AE16" s="5"/>
      <c r="AF16" s="5"/>
    </row>
    <row r="17" spans="1:32">
      <c r="A17">
        <v>3460</v>
      </c>
      <c r="B17" t="s">
        <v>238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0</v>
      </c>
      <c r="P17" s="147"/>
      <c r="Q17" s="147">
        <v>3460</v>
      </c>
      <c r="R17" s="783" t="s">
        <v>238</v>
      </c>
      <c r="S17" s="781"/>
      <c r="T17" s="147"/>
      <c r="U17" s="147"/>
      <c r="V17" s="147"/>
      <c r="W17" s="784"/>
      <c r="X17" s="785"/>
      <c r="Y17" s="147"/>
      <c r="AA17" s="5"/>
      <c r="AB17" s="5"/>
      <c r="AC17" s="5"/>
      <c r="AD17" s="5"/>
      <c r="AE17" s="5"/>
      <c r="AF17" s="5"/>
    </row>
    <row r="18" spans="1:32" ht="13.5" thickBot="1">
      <c r="A18">
        <v>3500</v>
      </c>
      <c r="B18" t="s">
        <v>239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147"/>
      <c r="Q18" s="147">
        <v>3500</v>
      </c>
      <c r="R18" s="783" t="s">
        <v>239</v>
      </c>
      <c r="S18" s="781"/>
      <c r="T18" s="147"/>
      <c r="U18" s="147"/>
      <c r="V18" s="147"/>
      <c r="W18" s="784"/>
      <c r="X18" s="785"/>
      <c r="Y18" s="147"/>
      <c r="AA18" s="5"/>
      <c r="AB18" s="5"/>
      <c r="AC18" s="5"/>
      <c r="AD18" s="5"/>
      <c r="AE18" s="5"/>
      <c r="AF18" s="5"/>
    </row>
    <row r="19" spans="1:3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47"/>
      <c r="Q19" s="147"/>
      <c r="R19" s="783"/>
      <c r="S19" s="781"/>
      <c r="T19" s="147"/>
      <c r="U19" s="147"/>
      <c r="V19" s="147"/>
      <c r="W19" s="784"/>
      <c r="X19" s="785"/>
      <c r="Y19" s="147"/>
      <c r="AA19" s="5"/>
      <c r="AB19" s="5"/>
      <c r="AC19" s="5"/>
      <c r="AD19" s="5"/>
      <c r="AE19" s="5"/>
      <c r="AF19" s="5"/>
    </row>
    <row r="20" spans="1:32" ht="13.5" thickBot="1">
      <c r="B20" t="s">
        <v>240</v>
      </c>
      <c r="C20" s="6">
        <f t="shared" ref="C20:H20" si="1">SUM(C10:C18)</f>
        <v>348026.61</v>
      </c>
      <c r="D20" s="6">
        <f t="shared" si="1"/>
        <v>350744.52</v>
      </c>
      <c r="E20" s="6">
        <f t="shared" si="1"/>
        <v>310143.28999999998</v>
      </c>
      <c r="F20" s="6">
        <f t="shared" si="1"/>
        <v>316623.15000000002</v>
      </c>
      <c r="G20" s="6">
        <f t="shared" si="1"/>
        <v>272949.22000000003</v>
      </c>
      <c r="H20" s="6">
        <f t="shared" si="1"/>
        <v>222218.48000000004</v>
      </c>
      <c r="I20" s="6">
        <f t="shared" ref="I20:N20" si="2">SUM(I10:I18)</f>
        <v>238235.67</v>
      </c>
      <c r="J20" s="6">
        <f t="shared" si="2"/>
        <v>226020.82</v>
      </c>
      <c r="K20" s="6">
        <f t="shared" si="2"/>
        <v>234984.65999999997</v>
      </c>
      <c r="L20" s="6">
        <f t="shared" si="2"/>
        <v>269483.92</v>
      </c>
      <c r="M20" s="6">
        <f t="shared" si="2"/>
        <v>299191.17</v>
      </c>
      <c r="N20" s="6">
        <f t="shared" si="2"/>
        <v>324832.83999999997</v>
      </c>
      <c r="O20" s="6">
        <f>SUM(O10:O18)</f>
        <v>3413454.35</v>
      </c>
      <c r="P20" s="147"/>
      <c r="Q20" s="147"/>
      <c r="R20" s="783" t="s">
        <v>240</v>
      </c>
      <c r="S20" s="781"/>
      <c r="T20" s="147"/>
      <c r="U20" s="147"/>
      <c r="V20" s="147"/>
      <c r="W20" s="784"/>
      <c r="X20" s="785"/>
      <c r="Y20" s="147"/>
      <c r="AA20" s="5"/>
      <c r="AB20" s="5"/>
      <c r="AC20" s="5"/>
      <c r="AD20" s="5"/>
      <c r="AE20" s="5"/>
      <c r="AF20" s="5"/>
    </row>
    <row r="21" spans="1:3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47"/>
      <c r="Q21" s="147"/>
      <c r="R21" s="783"/>
      <c r="S21" s="781"/>
      <c r="T21" s="147"/>
      <c r="U21" s="147"/>
      <c r="V21" s="147"/>
      <c r="W21" s="784"/>
      <c r="X21" s="785"/>
      <c r="Y21" s="147"/>
      <c r="AA21" s="5"/>
      <c r="AB21" s="5"/>
      <c r="AC21" s="5"/>
      <c r="AD21" s="5"/>
      <c r="AE21" s="5"/>
      <c r="AF21" s="5"/>
    </row>
    <row r="22" spans="1:32">
      <c r="A22" t="s">
        <v>241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47"/>
      <c r="Q22" s="147" t="s">
        <v>241</v>
      </c>
      <c r="R22" s="783"/>
      <c r="S22" s="781"/>
      <c r="T22" s="147"/>
      <c r="U22" s="147"/>
      <c r="V22" s="147"/>
      <c r="W22" s="784"/>
      <c r="X22" s="785"/>
      <c r="Y22" s="147"/>
      <c r="AA22" s="5"/>
      <c r="AB22" s="5"/>
      <c r="AC22" s="5"/>
      <c r="AD22" s="5"/>
      <c r="AE22" s="5"/>
      <c r="AF22" s="5"/>
    </row>
    <row r="23" spans="1:32">
      <c r="A23" t="s">
        <v>242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47"/>
      <c r="Q23" s="147" t="s">
        <v>242</v>
      </c>
      <c r="R23" s="783"/>
      <c r="S23" s="781"/>
      <c r="T23" s="147"/>
      <c r="U23" s="147"/>
      <c r="V23" s="147"/>
      <c r="W23" s="784"/>
      <c r="X23" s="785"/>
      <c r="Y23" s="147"/>
      <c r="AA23" s="5"/>
      <c r="AB23" s="5"/>
      <c r="AC23" s="5"/>
      <c r="AD23" s="5"/>
      <c r="AE23" s="5"/>
      <c r="AF23" s="5"/>
    </row>
    <row r="24" spans="1:32">
      <c r="A24">
        <v>4116</v>
      </c>
      <c r="B24" t="s">
        <v>243</v>
      </c>
      <c r="C24" s="5">
        <v>9074.52</v>
      </c>
      <c r="D24" s="5">
        <v>10937.01</v>
      </c>
      <c r="E24" s="5">
        <v>13880.77</v>
      </c>
      <c r="F24" s="5">
        <v>11910.88</v>
      </c>
      <c r="G24" s="5">
        <v>8630.3799999999992</v>
      </c>
      <c r="H24" s="5">
        <v>9191.51</v>
      </c>
      <c r="I24" s="5">
        <v>6155.76</v>
      </c>
      <c r="J24" s="5">
        <v>8829.76</v>
      </c>
      <c r="K24" s="5">
        <v>14586.51</v>
      </c>
      <c r="L24" s="5">
        <v>12272</v>
      </c>
      <c r="M24" s="5">
        <v>11338.99</v>
      </c>
      <c r="N24" s="5">
        <v>11406.23</v>
      </c>
      <c r="O24" s="5">
        <f t="shared" ref="O24:O53" si="3">SUM(C24:N24)</f>
        <v>128214.31999999999</v>
      </c>
      <c r="P24" s="147"/>
      <c r="Q24" s="147">
        <v>4116</v>
      </c>
      <c r="R24" s="783" t="s">
        <v>243</v>
      </c>
      <c r="S24" s="781"/>
      <c r="T24" s="147"/>
      <c r="U24" s="147"/>
      <c r="V24" s="147"/>
      <c r="W24" s="784"/>
      <c r="X24" s="785"/>
      <c r="Y24" s="147"/>
      <c r="Z24" s="5"/>
      <c r="AA24" s="5"/>
      <c r="AB24" s="5"/>
      <c r="AC24" s="5"/>
      <c r="AD24" s="5"/>
      <c r="AE24" s="5"/>
      <c r="AF24" s="5"/>
    </row>
    <row r="25" spans="1:32">
      <c r="A25">
        <v>4117</v>
      </c>
      <c r="B25" t="s">
        <v>245</v>
      </c>
      <c r="C25" s="5">
        <v>315</v>
      </c>
      <c r="D25" s="5">
        <v>126.75</v>
      </c>
      <c r="E25" s="5">
        <v>294</v>
      </c>
      <c r="F25" s="5">
        <v>163</v>
      </c>
      <c r="G25" s="5">
        <v>64</v>
      </c>
      <c r="H25" s="5">
        <v>28.5</v>
      </c>
      <c r="I25" s="5"/>
      <c r="J25" s="5">
        <v>0</v>
      </c>
      <c r="K25" s="5">
        <v>355.2</v>
      </c>
      <c r="L25" s="5">
        <v>30.15</v>
      </c>
      <c r="M25" s="5">
        <v>59.48</v>
      </c>
      <c r="N25" s="5">
        <v>439.35</v>
      </c>
      <c r="O25" s="5">
        <f>SUM(C25:N25)</f>
        <v>1875.4300000000003</v>
      </c>
      <c r="P25" s="147"/>
      <c r="Q25" s="147">
        <v>4117</v>
      </c>
      <c r="R25" s="783" t="s">
        <v>245</v>
      </c>
      <c r="S25" s="781"/>
      <c r="T25" s="147"/>
      <c r="U25" s="147"/>
      <c r="V25" s="147"/>
      <c r="W25" s="784"/>
      <c r="X25" s="785"/>
      <c r="Y25" s="147"/>
      <c r="Z25" s="42"/>
      <c r="AA25" s="5"/>
      <c r="AB25" s="5"/>
      <c r="AC25" s="5"/>
      <c r="AD25" s="5"/>
      <c r="AE25" s="5"/>
      <c r="AF25" s="5"/>
    </row>
    <row r="26" spans="1:32">
      <c r="A26">
        <v>4118</v>
      </c>
      <c r="B26" t="s">
        <v>246</v>
      </c>
      <c r="C26" s="5">
        <v>34.880000000000003</v>
      </c>
      <c r="D26" s="5">
        <v>46.5</v>
      </c>
      <c r="E26" s="5">
        <v>58.13</v>
      </c>
      <c r="F26" s="5">
        <v>139.5</v>
      </c>
      <c r="G26" s="5"/>
      <c r="H26" s="5">
        <v>183.75</v>
      </c>
      <c r="I26" s="5">
        <v>211.13</v>
      </c>
      <c r="J26" s="5">
        <v>1186.1300000000001</v>
      </c>
      <c r="K26" s="5">
        <v>3834.89</v>
      </c>
      <c r="L26" s="5">
        <v>2514.81</v>
      </c>
      <c r="M26" s="5">
        <v>626.23</v>
      </c>
      <c r="N26" s="5">
        <v>844.65</v>
      </c>
      <c r="O26" s="5">
        <f t="shared" si="3"/>
        <v>9680.5999999999985</v>
      </c>
      <c r="P26" s="147"/>
      <c r="Q26" s="147">
        <v>4118</v>
      </c>
      <c r="R26" s="783" t="s">
        <v>246</v>
      </c>
      <c r="S26" s="781"/>
      <c r="T26" s="147"/>
      <c r="U26" s="147"/>
      <c r="V26" s="147"/>
      <c r="W26" s="784"/>
      <c r="X26" s="785"/>
      <c r="Y26" s="147"/>
      <c r="Z26" s="42"/>
      <c r="AA26" s="5"/>
      <c r="AB26" s="5"/>
      <c r="AC26" s="5"/>
      <c r="AD26" s="5"/>
      <c r="AE26" s="5"/>
      <c r="AF26" s="5"/>
    </row>
    <row r="27" spans="1:32">
      <c r="A27">
        <v>4120</v>
      </c>
      <c r="B27" t="s">
        <v>247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f>SUM(C27:N27)</f>
        <v>0</v>
      </c>
      <c r="P27" s="147"/>
      <c r="Q27" s="147">
        <v>4120</v>
      </c>
      <c r="R27" s="783" t="s">
        <v>247</v>
      </c>
      <c r="S27" s="781"/>
      <c r="T27" s="147"/>
      <c r="U27" s="147"/>
      <c r="V27" s="147"/>
      <c r="W27" s="784"/>
      <c r="X27" s="785"/>
      <c r="Y27" s="147"/>
      <c r="AA27" s="5"/>
      <c r="AB27" s="5"/>
      <c r="AC27" s="5"/>
      <c r="AD27" s="5"/>
      <c r="AE27" s="5"/>
      <c r="AF27" s="5"/>
    </row>
    <row r="28" spans="1:32">
      <c r="A28" s="147">
        <v>4122</v>
      </c>
      <c r="B28" s="147" t="s">
        <v>248</v>
      </c>
      <c r="C28" s="783">
        <v>220.88</v>
      </c>
      <c r="D28" s="783">
        <v>325.51</v>
      </c>
      <c r="E28" s="783">
        <v>499.88</v>
      </c>
      <c r="F28" s="783">
        <v>279</v>
      </c>
      <c r="G28" s="783">
        <v>174.38</v>
      </c>
      <c r="H28" s="783">
        <v>188.63</v>
      </c>
      <c r="I28" s="783">
        <v>104.63</v>
      </c>
      <c r="J28" s="783">
        <v>116.25</v>
      </c>
      <c r="K28" s="783">
        <v>48.5</v>
      </c>
      <c r="L28" s="783">
        <v>48.5</v>
      </c>
      <c r="M28" s="783">
        <v>273.64999999999998</v>
      </c>
      <c r="N28" s="783">
        <v>183.98</v>
      </c>
      <c r="O28" s="783">
        <f>SUM(C28:N28)</f>
        <v>2463.7900000000004</v>
      </c>
      <c r="P28" s="147"/>
      <c r="Q28" s="147">
        <v>4122</v>
      </c>
      <c r="R28" s="783" t="s">
        <v>248</v>
      </c>
      <c r="S28" s="781"/>
      <c r="T28" s="147"/>
      <c r="U28" s="147"/>
      <c r="V28" s="147"/>
      <c r="W28" s="784"/>
      <c r="X28" s="785"/>
      <c r="Y28" s="147"/>
      <c r="AA28" s="5"/>
      <c r="AB28" s="5"/>
      <c r="AC28" s="5"/>
      <c r="AD28" s="5"/>
      <c r="AE28" s="5"/>
      <c r="AF28" s="5"/>
    </row>
    <row r="29" spans="1:32">
      <c r="A29" s="147">
        <v>4132</v>
      </c>
      <c r="B29" s="147" t="s">
        <v>249</v>
      </c>
      <c r="C29" s="783">
        <v>4786.3999999999996</v>
      </c>
      <c r="D29" s="783">
        <v>16219.88</v>
      </c>
      <c r="E29" s="783">
        <v>489.98</v>
      </c>
      <c r="F29" s="783">
        <v>5525.79</v>
      </c>
      <c r="G29" s="783">
        <v>3262.47</v>
      </c>
      <c r="H29" s="783">
        <v>3098.34</v>
      </c>
      <c r="I29" s="783">
        <v>1989.31</v>
      </c>
      <c r="J29" s="783">
        <v>9471.3799999999992</v>
      </c>
      <c r="K29" s="783">
        <v>5967.87</v>
      </c>
      <c r="L29" s="783">
        <v>11318.17</v>
      </c>
      <c r="M29" s="783">
        <v>4401.7700000000004</v>
      </c>
      <c r="N29" s="783">
        <v>5872.1</v>
      </c>
      <c r="O29" s="783">
        <f t="shared" si="3"/>
        <v>72403.460000000006</v>
      </c>
      <c r="P29" s="147"/>
      <c r="Q29" s="147">
        <v>4132</v>
      </c>
      <c r="R29" s="783" t="s">
        <v>249</v>
      </c>
      <c r="S29" s="781"/>
      <c r="T29" s="147"/>
      <c r="U29" s="147"/>
      <c r="V29" s="147"/>
      <c r="W29" s="784"/>
      <c r="X29" s="785"/>
      <c r="Y29" s="147"/>
      <c r="AA29" s="5"/>
      <c r="AB29" s="5"/>
      <c r="AC29" s="5"/>
      <c r="AD29" s="5"/>
      <c r="AE29" s="5"/>
      <c r="AF29" s="5"/>
    </row>
    <row r="30" spans="1:32">
      <c r="A30" s="147">
        <v>4133</v>
      </c>
      <c r="B30" s="147" t="s">
        <v>250</v>
      </c>
      <c r="C30" s="783"/>
      <c r="D30" s="783"/>
      <c r="E30" s="783">
        <v>1559.8</v>
      </c>
      <c r="F30" s="783">
        <v>3775.11</v>
      </c>
      <c r="G30" s="783"/>
      <c r="H30" s="783"/>
      <c r="I30" s="783"/>
      <c r="J30" s="783">
        <v>0</v>
      </c>
      <c r="K30" s="783">
        <v>1286.47</v>
      </c>
      <c r="L30" s="783">
        <v>332.3</v>
      </c>
      <c r="M30" s="783">
        <v>4393.53</v>
      </c>
      <c r="N30" s="783">
        <v>1896.3</v>
      </c>
      <c r="O30" s="783">
        <f>SUM(C30:N30)</f>
        <v>13243.509999999998</v>
      </c>
      <c r="P30" s="147"/>
      <c r="Q30" s="147">
        <v>4133</v>
      </c>
      <c r="R30" s="783" t="s">
        <v>250</v>
      </c>
      <c r="S30" s="781"/>
      <c r="T30" s="147"/>
      <c r="U30" s="147"/>
      <c r="V30" s="147"/>
      <c r="W30" s="784"/>
      <c r="X30" s="785"/>
      <c r="Y30" s="147"/>
      <c r="AA30" s="5"/>
      <c r="AB30" s="5"/>
      <c r="AC30" s="5"/>
      <c r="AD30" s="5"/>
      <c r="AE30" s="5"/>
      <c r="AF30" s="5"/>
    </row>
    <row r="31" spans="1:32">
      <c r="A31" s="147">
        <v>4134</v>
      </c>
      <c r="B31" s="147" t="s">
        <v>251</v>
      </c>
      <c r="C31" s="783"/>
      <c r="D31" s="783">
        <v>1528.93</v>
      </c>
      <c r="E31" s="783"/>
      <c r="F31" s="783"/>
      <c r="G31" s="783"/>
      <c r="H31" s="783">
        <v>550.59</v>
      </c>
      <c r="I31" s="783">
        <v>89.92</v>
      </c>
      <c r="J31" s="783">
        <v>3698.89</v>
      </c>
      <c r="K31" s="783">
        <v>4994.18</v>
      </c>
      <c r="L31" s="783">
        <v>595.22</v>
      </c>
      <c r="M31" s="783">
        <v>889.87</v>
      </c>
      <c r="N31" s="783">
        <v>996.15</v>
      </c>
      <c r="O31" s="783">
        <f t="shared" si="3"/>
        <v>13343.75</v>
      </c>
      <c r="P31" s="147"/>
      <c r="Q31" s="147">
        <v>4134</v>
      </c>
      <c r="R31" s="783" t="s">
        <v>251</v>
      </c>
      <c r="S31" s="781"/>
      <c r="T31" s="147"/>
      <c r="U31" s="147"/>
      <c r="V31" s="147"/>
      <c r="W31" s="784"/>
      <c r="X31" s="785"/>
      <c r="Y31" s="147"/>
      <c r="AA31" s="5"/>
      <c r="AB31" s="5"/>
      <c r="AC31" s="5"/>
      <c r="AD31" s="5"/>
      <c r="AE31" s="5"/>
      <c r="AF31" s="5"/>
    </row>
    <row r="32" spans="1:32">
      <c r="A32" s="147">
        <v>4136</v>
      </c>
      <c r="B32" s="147" t="s">
        <v>252</v>
      </c>
      <c r="C32" s="783"/>
      <c r="D32" s="783"/>
      <c r="E32" s="783"/>
      <c r="F32" s="783"/>
      <c r="G32" s="783"/>
      <c r="H32" s="783"/>
      <c r="I32" s="783"/>
      <c r="J32" s="783"/>
      <c r="K32" s="783"/>
      <c r="L32" s="783">
        <v>37.83</v>
      </c>
      <c r="M32" s="783"/>
      <c r="N32" s="783"/>
      <c r="O32" s="783">
        <f>SUM(C32:N32)</f>
        <v>37.83</v>
      </c>
      <c r="P32" s="147"/>
      <c r="Q32" s="147">
        <v>4136</v>
      </c>
      <c r="R32" s="783" t="s">
        <v>252</v>
      </c>
      <c r="S32" s="781"/>
      <c r="T32" s="147"/>
      <c r="U32" s="147"/>
      <c r="V32" s="147"/>
      <c r="W32" s="784"/>
      <c r="X32" s="785"/>
      <c r="Y32" s="147"/>
      <c r="AA32" s="5"/>
      <c r="AB32" s="5"/>
      <c r="AC32" s="5"/>
      <c r="AD32" s="5"/>
      <c r="AE32" s="5"/>
      <c r="AF32" s="5"/>
    </row>
    <row r="33" spans="1:32">
      <c r="A33" s="147">
        <v>4138</v>
      </c>
      <c r="B33" s="147" t="s">
        <v>253</v>
      </c>
      <c r="C33" s="783"/>
      <c r="D33" s="783"/>
      <c r="E33" s="783"/>
      <c r="F33" s="783"/>
      <c r="G33" s="783"/>
      <c r="H33" s="783"/>
      <c r="I33" s="783"/>
      <c r="J33" s="783"/>
      <c r="K33" s="783"/>
      <c r="L33" s="783"/>
      <c r="M33" s="783"/>
      <c r="N33" s="783"/>
      <c r="O33" s="783">
        <f>SUM(C33:N33)</f>
        <v>0</v>
      </c>
      <c r="P33" s="147"/>
      <c r="Q33" s="147">
        <v>4138</v>
      </c>
      <c r="R33" s="783" t="s">
        <v>253</v>
      </c>
      <c r="S33" s="781"/>
      <c r="T33" s="147"/>
      <c r="U33" s="147"/>
      <c r="V33" s="147"/>
      <c r="W33" s="784"/>
      <c r="X33" s="785"/>
      <c r="Y33" s="147"/>
      <c r="AA33" s="5"/>
      <c r="AB33" s="5"/>
      <c r="AC33" s="5"/>
      <c r="AD33" s="5"/>
      <c r="AE33" s="5"/>
      <c r="AF33" s="5"/>
    </row>
    <row r="34" spans="1:32">
      <c r="A34" s="147">
        <v>4160</v>
      </c>
      <c r="B34" s="147" t="s">
        <v>254</v>
      </c>
      <c r="C34" s="783">
        <v>924.2</v>
      </c>
      <c r="D34" s="783">
        <v>686.89</v>
      </c>
      <c r="E34" s="783">
        <v>1120.78</v>
      </c>
      <c r="F34" s="783">
        <v>4214.32</v>
      </c>
      <c r="G34" s="783">
        <v>2891.24</v>
      </c>
      <c r="H34" s="783"/>
      <c r="I34" s="783">
        <v>3048.75</v>
      </c>
      <c r="J34" s="783"/>
      <c r="K34" s="783">
        <v>4006.5</v>
      </c>
      <c r="L34" s="783">
        <v>1846.27</v>
      </c>
      <c r="M34" s="783"/>
      <c r="N34" s="783">
        <v>5007.71</v>
      </c>
      <c r="O34" s="783">
        <f t="shared" si="3"/>
        <v>23746.66</v>
      </c>
      <c r="P34" s="147"/>
      <c r="Q34" s="147">
        <v>4160</v>
      </c>
      <c r="R34" s="783" t="s">
        <v>254</v>
      </c>
      <c r="S34" s="781"/>
      <c r="T34" s="147"/>
      <c r="U34" s="147"/>
      <c r="V34" s="147"/>
      <c r="W34" s="784"/>
      <c r="X34" s="785"/>
      <c r="Y34" s="147"/>
      <c r="AA34" s="5"/>
      <c r="AB34" s="5"/>
      <c r="AC34" s="5"/>
      <c r="AD34" s="5"/>
      <c r="AE34" s="5"/>
      <c r="AF34" s="5"/>
    </row>
    <row r="35" spans="1:32">
      <c r="A35" s="147">
        <v>4162</v>
      </c>
      <c r="B35" s="147" t="s">
        <v>256</v>
      </c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>
        <f>SUM(C35:N35)</f>
        <v>0</v>
      </c>
      <c r="P35" s="147"/>
      <c r="Q35" s="147">
        <v>4162</v>
      </c>
      <c r="R35" s="783" t="s">
        <v>256</v>
      </c>
      <c r="S35" s="781"/>
      <c r="T35" s="147"/>
      <c r="U35" s="147"/>
      <c r="V35" s="147"/>
      <c r="W35" s="784"/>
      <c r="X35" s="785"/>
      <c r="Y35" s="147"/>
      <c r="AA35" s="5"/>
      <c r="AB35" s="5"/>
      <c r="AC35" s="5"/>
      <c r="AD35" s="5"/>
      <c r="AE35" s="5"/>
      <c r="AF35" s="5"/>
    </row>
    <row r="36" spans="1:32">
      <c r="A36" s="147">
        <v>4164</v>
      </c>
      <c r="B36" s="147" t="s">
        <v>257</v>
      </c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>
        <f>SUM(C36:N36)</f>
        <v>0</v>
      </c>
      <c r="P36" s="147"/>
      <c r="Q36" s="147"/>
      <c r="R36" s="783"/>
      <c r="S36" s="781"/>
      <c r="T36" s="147"/>
      <c r="U36" s="147"/>
      <c r="V36" s="147"/>
      <c r="W36" s="784"/>
      <c r="X36" s="785"/>
      <c r="Y36" s="147"/>
      <c r="AA36" s="5"/>
      <c r="AB36" s="5"/>
      <c r="AC36" s="5"/>
      <c r="AD36" s="5"/>
      <c r="AE36" s="5"/>
      <c r="AF36" s="5"/>
    </row>
    <row r="37" spans="1:32">
      <c r="A37" s="147">
        <v>4180</v>
      </c>
      <c r="B37" s="147" t="s">
        <v>258</v>
      </c>
      <c r="C37" s="783">
        <v>1637.7</v>
      </c>
      <c r="D37" s="783">
        <v>967.57</v>
      </c>
      <c r="E37" s="783">
        <v>1070.52</v>
      </c>
      <c r="F37" s="783">
        <v>2305.19</v>
      </c>
      <c r="G37" s="783">
        <v>855.32</v>
      </c>
      <c r="H37" s="783">
        <v>971.44</v>
      </c>
      <c r="I37" s="783">
        <v>1041.28</v>
      </c>
      <c r="J37" s="783">
        <v>1642.86</v>
      </c>
      <c r="K37" s="783">
        <v>569.49</v>
      </c>
      <c r="L37" s="783">
        <v>1153.77</v>
      </c>
      <c r="M37" s="783">
        <v>2094.61</v>
      </c>
      <c r="N37" s="783">
        <v>852.39</v>
      </c>
      <c r="O37" s="783">
        <f t="shared" si="3"/>
        <v>15162.140000000001</v>
      </c>
      <c r="P37" s="147"/>
      <c r="Q37" s="147">
        <v>4180</v>
      </c>
      <c r="R37" s="783" t="s">
        <v>258</v>
      </c>
      <c r="S37" s="781"/>
      <c r="T37" s="147"/>
      <c r="U37" s="147"/>
      <c r="V37" s="147"/>
      <c r="W37" s="784"/>
      <c r="X37" s="785"/>
      <c r="Y37" s="147"/>
      <c r="AA37" s="5"/>
      <c r="AB37" s="5"/>
      <c r="AC37" s="5"/>
      <c r="AD37" s="5"/>
      <c r="AE37" s="5"/>
      <c r="AF37" s="5"/>
    </row>
    <row r="38" spans="1:32">
      <c r="A38" s="147" t="s">
        <v>259</v>
      </c>
      <c r="B38" s="147"/>
      <c r="C38" s="783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147"/>
      <c r="Q38" s="147" t="s">
        <v>259</v>
      </c>
      <c r="R38" s="783"/>
      <c r="S38" s="781"/>
      <c r="T38" s="147"/>
      <c r="U38" s="147"/>
      <c r="V38" s="147"/>
      <c r="W38" s="784"/>
      <c r="X38" s="785"/>
      <c r="Y38" s="147"/>
      <c r="AA38" s="5"/>
      <c r="AB38" s="5"/>
      <c r="AC38" s="5"/>
      <c r="AD38" s="5"/>
      <c r="AE38" s="5"/>
      <c r="AF38" s="5"/>
    </row>
    <row r="39" spans="1:32">
      <c r="A39" s="147">
        <v>4210</v>
      </c>
      <c r="B39" s="147" t="s">
        <v>260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>
        <f t="shared" si="3"/>
        <v>0</v>
      </c>
      <c r="P39" s="147"/>
      <c r="Q39" s="147">
        <v>4210</v>
      </c>
      <c r="R39" s="783" t="s">
        <v>260</v>
      </c>
      <c r="S39" s="781"/>
      <c r="T39" s="147"/>
      <c r="U39" s="147"/>
      <c r="V39" s="147"/>
      <c r="W39" s="784"/>
      <c r="X39" s="785"/>
      <c r="Y39" s="147"/>
      <c r="AA39" s="5"/>
      <c r="AB39" s="5"/>
      <c r="AC39" s="5"/>
      <c r="AD39" s="5"/>
      <c r="AE39" s="5"/>
      <c r="AF39" s="5"/>
    </row>
    <row r="40" spans="1:32">
      <c r="A40" s="147">
        <v>4213</v>
      </c>
      <c r="B40" s="147" t="s">
        <v>261</v>
      </c>
      <c r="C40" s="783">
        <v>31400.09</v>
      </c>
      <c r="D40" s="783">
        <v>28875.95</v>
      </c>
      <c r="E40" s="783">
        <v>44482.82</v>
      </c>
      <c r="F40" s="783">
        <v>26698.799999999999</v>
      </c>
      <c r="G40" s="783">
        <v>25604.6</v>
      </c>
      <c r="H40" s="783">
        <v>45131.69</v>
      </c>
      <c r="I40" s="783">
        <v>26996.34</v>
      </c>
      <c r="J40" s="783">
        <v>19728.759999999998</v>
      </c>
      <c r="K40" s="783">
        <v>32249.72</v>
      </c>
      <c r="L40" s="783">
        <v>21627.93</v>
      </c>
      <c r="M40" s="783">
        <v>25347.67</v>
      </c>
      <c r="N40" s="783">
        <v>27920.66</v>
      </c>
      <c r="O40" s="783">
        <f t="shared" si="3"/>
        <v>356065.02999999997</v>
      </c>
      <c r="P40" s="147"/>
      <c r="Q40" s="147">
        <v>4213</v>
      </c>
      <c r="R40" s="783" t="s">
        <v>261</v>
      </c>
      <c r="S40" s="781"/>
      <c r="T40" s="147"/>
      <c r="U40" s="147"/>
      <c r="V40" s="147"/>
      <c r="W40" s="784"/>
      <c r="X40" s="785"/>
      <c r="Y40" s="147"/>
      <c r="AA40" s="5"/>
      <c r="AB40" s="5"/>
      <c r="AC40" s="5"/>
      <c r="AD40" s="5"/>
      <c r="AE40" s="5"/>
      <c r="AF40" s="5"/>
    </row>
    <row r="41" spans="1:32">
      <c r="A41" s="147">
        <v>4215</v>
      </c>
      <c r="B41" s="147" t="s">
        <v>262</v>
      </c>
      <c r="C41" s="783">
        <v>4097.5</v>
      </c>
      <c r="D41" s="783">
        <v>4510</v>
      </c>
      <c r="E41" s="783">
        <v>6116.75</v>
      </c>
      <c r="F41" s="783">
        <v>4119</v>
      </c>
      <c r="G41" s="783">
        <v>4383.13</v>
      </c>
      <c r="H41" s="783">
        <v>3337.5</v>
      </c>
      <c r="I41" s="783">
        <v>3330.25</v>
      </c>
      <c r="J41" s="783">
        <v>2804</v>
      </c>
      <c r="K41" s="783">
        <v>5740.65</v>
      </c>
      <c r="L41" s="783">
        <v>3996</v>
      </c>
      <c r="M41" s="783">
        <v>4509.58</v>
      </c>
      <c r="N41" s="783">
        <v>5343.91</v>
      </c>
      <c r="O41" s="783">
        <f t="shared" si="3"/>
        <v>52288.270000000004</v>
      </c>
      <c r="P41" s="147"/>
      <c r="Q41" s="147">
        <v>4215</v>
      </c>
      <c r="R41" s="783" t="s">
        <v>262</v>
      </c>
      <c r="S41" s="781"/>
      <c r="T41" s="147"/>
      <c r="U41" s="147"/>
      <c r="V41" s="147"/>
      <c r="W41" s="784"/>
      <c r="X41" s="785"/>
      <c r="Y41" s="147"/>
      <c r="AA41" s="5"/>
      <c r="AB41" s="5"/>
      <c r="AC41" s="5"/>
      <c r="AD41" s="5"/>
      <c r="AE41" s="5"/>
      <c r="AF41" s="5"/>
    </row>
    <row r="42" spans="1:32">
      <c r="A42" s="147">
        <v>4217</v>
      </c>
      <c r="B42" s="147" t="s">
        <v>664</v>
      </c>
      <c r="C42" s="783">
        <v>1459.51</v>
      </c>
      <c r="D42" s="783">
        <v>1789.13</v>
      </c>
      <c r="E42" s="783">
        <v>2613.0100000000002</v>
      </c>
      <c r="F42" s="783">
        <v>2764.75</v>
      </c>
      <c r="G42" s="783">
        <v>1648.75</v>
      </c>
      <c r="H42" s="783">
        <v>1440</v>
      </c>
      <c r="I42" s="783">
        <v>799</v>
      </c>
      <c r="J42" s="783">
        <v>1029</v>
      </c>
      <c r="K42" s="783">
        <v>1869.03</v>
      </c>
      <c r="L42" s="783">
        <v>2414.35</v>
      </c>
      <c r="M42" s="783">
        <v>3669.98</v>
      </c>
      <c r="N42" s="783">
        <v>1999.1</v>
      </c>
      <c r="O42" s="783">
        <f>SUM(C42:N42)</f>
        <v>23495.61</v>
      </c>
      <c r="P42" s="147"/>
      <c r="Q42" s="147">
        <v>4217</v>
      </c>
      <c r="R42" s="783" t="s">
        <v>664</v>
      </c>
      <c r="S42" s="781"/>
      <c r="T42" s="147"/>
      <c r="U42" s="147"/>
      <c r="V42" s="147"/>
      <c r="W42" s="784"/>
      <c r="X42" s="785"/>
      <c r="Y42" s="147"/>
      <c r="AA42" s="5"/>
      <c r="AB42" s="5"/>
      <c r="AC42" s="5"/>
      <c r="AD42" s="5"/>
      <c r="AE42" s="5"/>
      <c r="AF42" s="5"/>
    </row>
    <row r="43" spans="1:32">
      <c r="A43" s="147">
        <v>4222</v>
      </c>
      <c r="B43" s="147" t="s">
        <v>265</v>
      </c>
      <c r="C43" s="783">
        <v>860.25</v>
      </c>
      <c r="D43" s="783">
        <v>825.38</v>
      </c>
      <c r="E43" s="783">
        <v>1174.1400000000001</v>
      </c>
      <c r="F43" s="783">
        <v>755.63</v>
      </c>
      <c r="G43" s="783">
        <v>546.38</v>
      </c>
      <c r="H43" s="783">
        <v>505</v>
      </c>
      <c r="I43" s="783">
        <v>380.5</v>
      </c>
      <c r="J43" s="783">
        <v>883.63</v>
      </c>
      <c r="K43" s="783">
        <v>1312.38</v>
      </c>
      <c r="L43" s="783">
        <v>918</v>
      </c>
      <c r="M43" s="783">
        <v>864</v>
      </c>
      <c r="N43" s="783">
        <v>972</v>
      </c>
      <c r="O43" s="783">
        <f>SUM(C43:N43)</f>
        <v>9997.2900000000009</v>
      </c>
      <c r="P43" s="147"/>
      <c r="Q43" s="147">
        <v>4222</v>
      </c>
      <c r="R43" s="783" t="s">
        <v>265</v>
      </c>
      <c r="S43" s="781"/>
      <c r="T43" s="147"/>
      <c r="U43" s="147"/>
      <c r="V43" s="147"/>
      <c r="W43" s="784"/>
      <c r="X43" s="785"/>
      <c r="Y43" s="147"/>
      <c r="AA43" s="5"/>
      <c r="AB43" s="5"/>
      <c r="AC43" s="5"/>
      <c r="AD43" s="5"/>
      <c r="AE43" s="5"/>
      <c r="AF43" s="5"/>
    </row>
    <row r="44" spans="1:32">
      <c r="A44" s="147">
        <v>4240</v>
      </c>
      <c r="B44" s="147" t="s">
        <v>266</v>
      </c>
      <c r="C44" s="783">
        <v>9140.81</v>
      </c>
      <c r="D44" s="783">
        <v>12358.44</v>
      </c>
      <c r="E44" s="783">
        <v>12544.16</v>
      </c>
      <c r="F44" s="783">
        <v>10067.040000000001</v>
      </c>
      <c r="G44" s="783">
        <v>9164.82</v>
      </c>
      <c r="H44" s="783">
        <v>10150.48</v>
      </c>
      <c r="I44" s="783">
        <v>6727.55</v>
      </c>
      <c r="J44" s="783">
        <v>7162.66</v>
      </c>
      <c r="K44" s="783">
        <v>6375.34</v>
      </c>
      <c r="L44" s="783">
        <v>7260.92</v>
      </c>
      <c r="M44" s="783">
        <v>10221.129999999999</v>
      </c>
      <c r="N44" s="783">
        <v>9388.65</v>
      </c>
      <c r="O44" s="783">
        <f t="shared" si="3"/>
        <v>110562</v>
      </c>
      <c r="P44" s="147"/>
      <c r="Q44" s="147">
        <v>4240</v>
      </c>
      <c r="R44" s="783" t="s">
        <v>266</v>
      </c>
      <c r="S44" s="781"/>
      <c r="T44" s="147"/>
      <c r="U44" s="147"/>
      <c r="V44" s="147"/>
      <c r="W44" s="784"/>
      <c r="X44" s="785"/>
      <c r="Y44" s="147"/>
      <c r="AA44" s="5"/>
      <c r="AB44" s="5"/>
      <c r="AC44" s="5"/>
      <c r="AD44" s="5"/>
      <c r="AE44" s="5"/>
      <c r="AF44" s="5"/>
    </row>
    <row r="45" spans="1:32">
      <c r="A45" s="147">
        <v>4242</v>
      </c>
      <c r="B45" s="147" t="s">
        <v>665</v>
      </c>
      <c r="C45" s="783">
        <v>2579.85</v>
      </c>
      <c r="D45" s="783">
        <v>3383.61</v>
      </c>
      <c r="E45" s="783">
        <v>2621.3200000000002</v>
      </c>
      <c r="F45" s="783">
        <v>2644.65</v>
      </c>
      <c r="G45" s="783">
        <v>2143.25</v>
      </c>
      <c r="H45" s="783">
        <v>1917.93</v>
      </c>
      <c r="I45" s="783">
        <v>1838.12</v>
      </c>
      <c r="J45" s="783">
        <v>1442.46</v>
      </c>
      <c r="K45" s="783">
        <v>2150.1799999999998</v>
      </c>
      <c r="L45" s="783">
        <v>1731.37</v>
      </c>
      <c r="M45" s="783">
        <v>2285.3200000000002</v>
      </c>
      <c r="N45" s="783">
        <v>2620.2199999999998</v>
      </c>
      <c r="O45" s="783">
        <f>SUM(C45:N45)</f>
        <v>27358.28</v>
      </c>
      <c r="P45" s="147"/>
      <c r="Q45" s="147">
        <v>4242</v>
      </c>
      <c r="R45" s="783" t="s">
        <v>665</v>
      </c>
      <c r="S45" s="781"/>
      <c r="T45" s="147"/>
      <c r="U45" s="147"/>
      <c r="V45" s="147"/>
      <c r="W45" s="784"/>
      <c r="X45" s="785"/>
      <c r="Y45" s="147"/>
      <c r="AA45" s="5"/>
      <c r="AB45" s="5"/>
      <c r="AC45" s="5"/>
      <c r="AD45" s="5"/>
      <c r="AE45" s="5"/>
      <c r="AF45" s="5"/>
    </row>
    <row r="46" spans="1:32">
      <c r="A46" s="147">
        <v>4244</v>
      </c>
      <c r="B46" s="147" t="s">
        <v>268</v>
      </c>
      <c r="C46" s="783">
        <v>355.733</v>
      </c>
      <c r="D46" s="783">
        <v>403.94</v>
      </c>
      <c r="E46" s="783">
        <v>658.1</v>
      </c>
      <c r="F46" s="783">
        <v>330.32</v>
      </c>
      <c r="G46" s="783">
        <v>180.4</v>
      </c>
      <c r="H46" s="783">
        <v>167.95</v>
      </c>
      <c r="I46" s="783">
        <v>372.64</v>
      </c>
      <c r="J46" s="783">
        <v>414.21</v>
      </c>
      <c r="K46" s="783">
        <v>431.05</v>
      </c>
      <c r="L46" s="783">
        <v>293.36</v>
      </c>
      <c r="M46" s="783">
        <v>304.52999999999997</v>
      </c>
      <c r="N46" s="783">
        <v>334.96</v>
      </c>
      <c r="O46" s="783">
        <f>SUM(C46:N46)</f>
        <v>4247.1930000000002</v>
      </c>
      <c r="P46" s="147"/>
      <c r="Q46" s="147">
        <v>4244</v>
      </c>
      <c r="R46" s="783" t="s">
        <v>268</v>
      </c>
      <c r="S46" s="781"/>
      <c r="T46" s="147"/>
      <c r="U46" s="147"/>
      <c r="V46" s="147"/>
      <c r="W46" s="784"/>
      <c r="X46" s="785"/>
      <c r="Y46" s="147"/>
      <c r="AA46" s="5"/>
      <c r="AB46" s="5"/>
      <c r="AC46" s="5"/>
      <c r="AD46" s="5"/>
      <c r="AE46" s="5"/>
      <c r="AF46" s="5"/>
    </row>
    <row r="47" spans="1:32">
      <c r="A47" s="147">
        <v>4280</v>
      </c>
      <c r="B47" s="147" t="s">
        <v>269</v>
      </c>
      <c r="C47" s="783">
        <v>436.37</v>
      </c>
      <c r="D47" s="783">
        <v>549</v>
      </c>
      <c r="E47" s="783">
        <v>272.70999999999998</v>
      </c>
      <c r="F47" s="783">
        <v>394.32</v>
      </c>
      <c r="G47" s="783">
        <v>1056</v>
      </c>
      <c r="H47" s="783">
        <v>771</v>
      </c>
      <c r="I47" s="783">
        <v>15</v>
      </c>
      <c r="J47" s="783">
        <v>217</v>
      </c>
      <c r="K47" s="783">
        <v>133.15</v>
      </c>
      <c r="L47" s="783">
        <v>122</v>
      </c>
      <c r="M47" s="783">
        <v>26.01</v>
      </c>
      <c r="N47" s="783">
        <v>1119.22</v>
      </c>
      <c r="O47" s="783">
        <f t="shared" si="3"/>
        <v>5111.78</v>
      </c>
      <c r="P47" s="147"/>
      <c r="Q47" s="147">
        <v>4280</v>
      </c>
      <c r="R47" s="783" t="s">
        <v>269</v>
      </c>
      <c r="S47" s="781"/>
      <c r="T47" s="147"/>
      <c r="U47" s="147"/>
      <c r="V47" s="147"/>
      <c r="W47" s="784"/>
      <c r="X47" s="785"/>
      <c r="Y47" s="147"/>
      <c r="AA47" s="5"/>
      <c r="AB47" s="5"/>
      <c r="AC47" s="5"/>
      <c r="AD47" s="5"/>
      <c r="AE47" s="5"/>
      <c r="AF47" s="5"/>
    </row>
    <row r="48" spans="1:32">
      <c r="A48" s="147">
        <v>4282</v>
      </c>
      <c r="B48" s="147" t="s">
        <v>270</v>
      </c>
      <c r="C48" s="783"/>
      <c r="D48" s="783"/>
      <c r="E48" s="783"/>
      <c r="F48" s="783"/>
      <c r="G48" s="783"/>
      <c r="H48" s="783"/>
      <c r="I48" s="783"/>
      <c r="J48" s="783"/>
      <c r="K48" s="783"/>
      <c r="L48" s="783"/>
      <c r="M48" s="783"/>
      <c r="N48" s="783"/>
      <c r="O48" s="783">
        <f>SUM(C48:N48)</f>
        <v>0</v>
      </c>
      <c r="P48" s="147"/>
      <c r="Q48" s="147">
        <v>4282</v>
      </c>
      <c r="R48" s="783" t="s">
        <v>270</v>
      </c>
      <c r="S48" s="781"/>
      <c r="T48" s="147"/>
      <c r="U48" s="147"/>
      <c r="V48" s="147"/>
      <c r="W48" s="784"/>
      <c r="X48" s="785"/>
      <c r="Y48" s="147"/>
      <c r="AA48" s="5"/>
      <c r="AB48" s="5"/>
      <c r="AC48" s="5"/>
      <c r="AD48" s="5"/>
      <c r="AE48" s="5"/>
      <c r="AF48" s="5"/>
    </row>
    <row r="49" spans="1:32">
      <c r="A49" s="147" t="s">
        <v>271</v>
      </c>
      <c r="B49" s="147"/>
      <c r="C49" s="783"/>
      <c r="D49" s="783"/>
      <c r="E49" s="783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147"/>
      <c r="Q49" s="147" t="s">
        <v>271</v>
      </c>
      <c r="R49" s="783"/>
      <c r="S49" s="781"/>
      <c r="T49" s="147"/>
      <c r="U49" s="147"/>
      <c r="V49" s="147"/>
      <c r="W49" s="784"/>
      <c r="X49" s="785"/>
      <c r="Y49" s="147"/>
      <c r="AA49" s="5"/>
      <c r="AB49" s="5"/>
      <c r="AC49" s="5"/>
      <c r="AD49" s="5"/>
      <c r="AE49" s="5"/>
      <c r="AF49" s="5"/>
    </row>
    <row r="50" spans="1:32">
      <c r="A50" s="147">
        <v>4360</v>
      </c>
      <c r="B50" s="147" t="s">
        <v>272</v>
      </c>
      <c r="C50" s="783">
        <v>51546.18</v>
      </c>
      <c r="D50" s="783">
        <v>52733.9</v>
      </c>
      <c r="E50" s="783">
        <v>39946.31</v>
      </c>
      <c r="F50" s="783">
        <v>37214.6</v>
      </c>
      <c r="G50" s="783">
        <v>33057.64</v>
      </c>
      <c r="H50" s="783">
        <v>25733.5</v>
      </c>
      <c r="I50" s="783">
        <v>27356.69</v>
      </c>
      <c r="J50" s="783">
        <v>27079.56</v>
      </c>
      <c r="K50" s="783">
        <v>26604.48</v>
      </c>
      <c r="L50" s="783">
        <v>33987.519999999997</v>
      </c>
      <c r="M50" s="783">
        <v>42202.94</v>
      </c>
      <c r="N50" s="783">
        <v>41688.269999999997</v>
      </c>
      <c r="O50" s="783">
        <f t="shared" si="3"/>
        <v>439151.59</v>
      </c>
      <c r="P50" s="147"/>
      <c r="Q50" s="147">
        <v>4360</v>
      </c>
      <c r="R50" s="783" t="s">
        <v>272</v>
      </c>
      <c r="S50" s="781"/>
      <c r="T50" s="147"/>
      <c r="U50" s="147"/>
      <c r="V50" s="147"/>
      <c r="W50" s="784"/>
      <c r="X50" s="785"/>
      <c r="Y50" s="147"/>
      <c r="AA50" s="5"/>
      <c r="AB50" s="5"/>
      <c r="AC50" s="5"/>
      <c r="AD50" s="5"/>
      <c r="AE50" s="5"/>
      <c r="AF50" s="5"/>
    </row>
    <row r="51" spans="1:32">
      <c r="A51" s="147">
        <v>4361</v>
      </c>
      <c r="B51" s="147" t="s">
        <v>273</v>
      </c>
      <c r="C51" s="783">
        <v>41585.86</v>
      </c>
      <c r="D51" s="783">
        <v>34476.26</v>
      </c>
      <c r="E51" s="783">
        <v>25878.880000000001</v>
      </c>
      <c r="F51" s="783">
        <v>23576.71</v>
      </c>
      <c r="G51" s="783">
        <v>24430</v>
      </c>
      <c r="H51" s="783">
        <v>15846.74</v>
      </c>
      <c r="I51" s="783">
        <v>20651.009999999998</v>
      </c>
      <c r="J51" s="783">
        <v>18869.45</v>
      </c>
      <c r="K51" s="783">
        <v>23759.56</v>
      </c>
      <c r="L51" s="783">
        <v>27472.39</v>
      </c>
      <c r="M51" s="783">
        <v>34601.089999999997</v>
      </c>
      <c r="N51" s="783">
        <v>42751.01</v>
      </c>
      <c r="O51" s="783">
        <f t="shared" si="3"/>
        <v>333898.95999999996</v>
      </c>
      <c r="P51" s="147"/>
      <c r="Q51" s="147">
        <v>4361</v>
      </c>
      <c r="R51" s="783" t="s">
        <v>273</v>
      </c>
      <c r="S51" s="781"/>
      <c r="T51" s="147"/>
      <c r="U51" s="147"/>
      <c r="V51" s="147"/>
      <c r="W51" s="784"/>
      <c r="X51" s="785"/>
      <c r="Y51" s="147"/>
      <c r="AA51" s="5"/>
      <c r="AB51" s="5"/>
      <c r="AC51" s="5"/>
      <c r="AD51" s="5"/>
      <c r="AE51" s="5"/>
      <c r="AF51" s="5"/>
    </row>
    <row r="52" spans="1:32">
      <c r="A52" s="147">
        <v>4362</v>
      </c>
      <c r="B52" s="147" t="s">
        <v>274</v>
      </c>
      <c r="C52" s="783">
        <v>23414.59</v>
      </c>
      <c r="D52" s="783">
        <v>29377.15</v>
      </c>
      <c r="E52" s="783">
        <v>25207.23</v>
      </c>
      <c r="F52" s="783">
        <v>29200.29</v>
      </c>
      <c r="G52" s="783">
        <v>21005.49</v>
      </c>
      <c r="H52" s="783">
        <v>13666.75</v>
      </c>
      <c r="I52" s="783">
        <v>16460.599999999999</v>
      </c>
      <c r="J52" s="783">
        <v>13993.59</v>
      </c>
      <c r="K52" s="783">
        <v>15284.57</v>
      </c>
      <c r="L52" s="783">
        <v>20149.96</v>
      </c>
      <c r="M52" s="783">
        <v>18379.509999999998</v>
      </c>
      <c r="N52" s="783">
        <v>19875.47</v>
      </c>
      <c r="O52" s="783">
        <f t="shared" si="3"/>
        <v>246015.2</v>
      </c>
      <c r="P52" s="147"/>
      <c r="Q52" s="147">
        <v>4362</v>
      </c>
      <c r="R52" s="783" t="s">
        <v>274</v>
      </c>
      <c r="S52" s="781"/>
      <c r="T52" s="147"/>
      <c r="U52" s="147"/>
      <c r="V52" s="147"/>
      <c r="W52" s="784"/>
      <c r="X52" s="785"/>
      <c r="Y52" s="147"/>
      <c r="AA52" s="5"/>
      <c r="AB52" s="5"/>
      <c r="AC52" s="5"/>
      <c r="AD52" s="5"/>
      <c r="AE52" s="5"/>
      <c r="AF52" s="5"/>
    </row>
    <row r="53" spans="1:32">
      <c r="A53" s="147">
        <v>4363</v>
      </c>
      <c r="B53" s="147" t="s">
        <v>275</v>
      </c>
      <c r="C53" s="783">
        <v>10417.34</v>
      </c>
      <c r="D53" s="783">
        <v>11111.3</v>
      </c>
      <c r="E53" s="783">
        <v>8952.82</v>
      </c>
      <c r="F53" s="783">
        <v>16735.8</v>
      </c>
      <c r="G53" s="783">
        <v>13646.2</v>
      </c>
      <c r="H53" s="783">
        <v>10568.96</v>
      </c>
      <c r="I53" s="783">
        <v>9481.5300000000007</v>
      </c>
      <c r="J53" s="783">
        <v>8240.11</v>
      </c>
      <c r="K53" s="783">
        <v>11260.71</v>
      </c>
      <c r="L53" s="783">
        <v>9595.9500000000007</v>
      </c>
      <c r="M53" s="783">
        <v>10144.07</v>
      </c>
      <c r="N53" s="783">
        <v>12484.19</v>
      </c>
      <c r="O53" s="783">
        <f t="shared" si="3"/>
        <v>132638.97999999998</v>
      </c>
      <c r="P53" s="147"/>
      <c r="Q53" s="147">
        <v>4363</v>
      </c>
      <c r="R53" s="783" t="s">
        <v>275</v>
      </c>
      <c r="S53" s="781"/>
      <c r="T53" s="147"/>
      <c r="U53" s="147"/>
      <c r="V53" s="147"/>
      <c r="W53" s="784"/>
      <c r="X53" s="785"/>
      <c r="Y53" s="147"/>
      <c r="AA53" s="5"/>
      <c r="AB53" s="5"/>
      <c r="AC53" s="5"/>
      <c r="AD53" s="5"/>
      <c r="AE53" s="5"/>
      <c r="AF53" s="5"/>
    </row>
    <row r="54" spans="1:32">
      <c r="A54" s="147">
        <v>4380</v>
      </c>
      <c r="B54" s="147" t="s">
        <v>276</v>
      </c>
      <c r="C54" s="783">
        <v>0</v>
      </c>
      <c r="D54" s="783">
        <v>0</v>
      </c>
      <c r="E54" s="783">
        <v>1684.22</v>
      </c>
      <c r="F54" s="783">
        <v>0</v>
      </c>
      <c r="G54" s="783">
        <v>1870.2</v>
      </c>
      <c r="H54" s="783">
        <v>0</v>
      </c>
      <c r="I54" s="783">
        <v>0</v>
      </c>
      <c r="J54" s="783">
        <v>0</v>
      </c>
      <c r="K54" s="783">
        <v>0</v>
      </c>
      <c r="L54" s="783">
        <v>0</v>
      </c>
      <c r="M54" s="783">
        <v>2659.65</v>
      </c>
      <c r="N54" s="783"/>
      <c r="O54" s="783">
        <f>SUM(C54:N54)</f>
        <v>6214.07</v>
      </c>
      <c r="P54" s="147"/>
      <c r="Q54" s="147">
        <v>4380</v>
      </c>
      <c r="R54" s="783" t="s">
        <v>276</v>
      </c>
      <c r="S54" s="781"/>
      <c r="T54" s="147"/>
      <c r="U54" s="147"/>
      <c r="V54" s="147"/>
      <c r="W54" s="784"/>
      <c r="X54" s="785"/>
      <c r="Y54" s="147"/>
      <c r="AA54" s="5"/>
      <c r="AB54" s="5"/>
      <c r="AC54" s="5"/>
      <c r="AD54" s="5"/>
      <c r="AE54" s="5"/>
      <c r="AF54" s="5"/>
    </row>
    <row r="55" spans="1:32">
      <c r="A55" s="147" t="s">
        <v>277</v>
      </c>
      <c r="B55" s="147"/>
      <c r="C55" s="783"/>
      <c r="D55" s="783"/>
      <c r="E55" s="783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147"/>
      <c r="Q55" s="147" t="s">
        <v>277</v>
      </c>
      <c r="R55" s="783"/>
      <c r="S55" s="781"/>
      <c r="T55" s="147"/>
      <c r="U55" s="147"/>
      <c r="V55" s="147"/>
      <c r="W55" s="784"/>
      <c r="X55" s="785"/>
      <c r="Y55" s="147"/>
      <c r="AA55" s="5"/>
      <c r="AB55" s="5"/>
      <c r="AC55" s="5"/>
      <c r="AD55" s="5"/>
      <c r="AE55" s="5"/>
      <c r="AF55" s="5"/>
    </row>
    <row r="56" spans="1:32">
      <c r="A56" s="147">
        <v>4430</v>
      </c>
      <c r="B56" s="147" t="s">
        <v>278</v>
      </c>
      <c r="C56" s="783"/>
      <c r="D56" s="783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147"/>
      <c r="Q56" s="147">
        <v>4430</v>
      </c>
      <c r="R56" s="783" t="s">
        <v>278</v>
      </c>
      <c r="S56" s="781"/>
      <c r="T56" s="147"/>
      <c r="U56" s="147"/>
      <c r="V56" s="147"/>
      <c r="W56" s="784"/>
      <c r="X56" s="785"/>
      <c r="Y56" s="147"/>
      <c r="AA56" s="5"/>
      <c r="AB56" s="5"/>
      <c r="AC56" s="5"/>
      <c r="AD56" s="5"/>
      <c r="AE56" s="5"/>
      <c r="AF56" s="5"/>
    </row>
    <row r="57" spans="1:32">
      <c r="A57" s="147">
        <v>4450</v>
      </c>
      <c r="B57" s="147" t="s">
        <v>279</v>
      </c>
      <c r="C57" s="783">
        <v>100</v>
      </c>
      <c r="D57" s="783">
        <v>100</v>
      </c>
      <c r="E57" s="783">
        <v>295</v>
      </c>
      <c r="F57" s="783">
        <v>100</v>
      </c>
      <c r="G57" s="783">
        <v>200</v>
      </c>
      <c r="H57" s="783">
        <v>500</v>
      </c>
      <c r="I57" s="783">
        <v>200</v>
      </c>
      <c r="J57" s="783">
        <v>100</v>
      </c>
      <c r="K57" s="783">
        <v>100</v>
      </c>
      <c r="L57" s="783">
        <v>100</v>
      </c>
      <c r="M57" s="783">
        <v>100</v>
      </c>
      <c r="N57" s="783">
        <v>100</v>
      </c>
      <c r="O57" s="783">
        <f>SUM(C57:N57)</f>
        <v>1995</v>
      </c>
      <c r="P57" s="147"/>
      <c r="Q57" s="147">
        <v>4450</v>
      </c>
      <c r="R57" s="783" t="s">
        <v>279</v>
      </c>
      <c r="S57" s="781"/>
      <c r="T57" s="147"/>
      <c r="U57" s="147"/>
      <c r="V57" s="147"/>
      <c r="W57" s="784"/>
      <c r="X57" s="785"/>
      <c r="Y57" s="147"/>
      <c r="AA57" s="5"/>
      <c r="AB57" s="5"/>
      <c r="AC57" s="5"/>
      <c r="AD57" s="5"/>
      <c r="AE57" s="5"/>
      <c r="AF57" s="5"/>
    </row>
    <row r="58" spans="1:32">
      <c r="A58" s="147" t="s">
        <v>280</v>
      </c>
      <c r="B58" s="147"/>
      <c r="C58" s="783"/>
      <c r="D58" s="783"/>
      <c r="E58" s="783"/>
      <c r="F58" s="783"/>
      <c r="G58" s="783"/>
      <c r="H58" s="783"/>
      <c r="I58" s="783"/>
      <c r="J58" s="783"/>
      <c r="K58" s="783"/>
      <c r="L58" s="783"/>
      <c r="M58" s="783"/>
      <c r="N58" s="783"/>
      <c r="O58" s="783"/>
      <c r="P58" s="147"/>
      <c r="Q58" s="147" t="s">
        <v>280</v>
      </c>
      <c r="R58" s="783"/>
      <c r="S58" s="781"/>
      <c r="T58" s="147"/>
      <c r="U58" s="147"/>
      <c r="V58" s="147"/>
      <c r="W58" s="784"/>
      <c r="X58" s="785"/>
      <c r="Y58" s="147"/>
      <c r="AA58" s="5"/>
      <c r="AB58" s="5"/>
      <c r="AC58" s="5"/>
      <c r="AD58" s="5"/>
      <c r="AE58" s="5"/>
      <c r="AF58" s="5"/>
    </row>
    <row r="59" spans="1:32">
      <c r="A59">
        <v>4530</v>
      </c>
      <c r="B59" t="s">
        <v>281</v>
      </c>
      <c r="C59" s="5">
        <v>7768.75</v>
      </c>
      <c r="D59" s="5">
        <v>7768.75</v>
      </c>
      <c r="E59" s="5">
        <v>7768.75</v>
      </c>
      <c r="F59" s="5">
        <v>7612.75</v>
      </c>
      <c r="G59" s="5">
        <v>7768.75</v>
      </c>
      <c r="H59" s="5">
        <v>7768.75</v>
      </c>
      <c r="I59" s="5">
        <v>7768.75</v>
      </c>
      <c r="J59" s="5">
        <v>7954.75</v>
      </c>
      <c r="K59" s="5">
        <v>7775.77</v>
      </c>
      <c r="L59" s="5">
        <v>7782.5</v>
      </c>
      <c r="M59" s="5">
        <v>7782.5</v>
      </c>
      <c r="N59" s="5">
        <v>7782.5</v>
      </c>
      <c r="O59" s="5">
        <f>SUM(C59:N59)</f>
        <v>93303.27</v>
      </c>
      <c r="P59" s="147"/>
      <c r="Q59" s="147">
        <v>4530</v>
      </c>
      <c r="R59" s="783" t="s">
        <v>281</v>
      </c>
      <c r="S59" s="781"/>
      <c r="T59" s="147"/>
      <c r="U59" s="147"/>
      <c r="V59" s="147"/>
      <c r="W59" s="784"/>
      <c r="X59" s="785"/>
      <c r="Y59" s="147"/>
      <c r="AA59" s="5"/>
      <c r="AB59" s="5"/>
      <c r="AC59" s="5"/>
      <c r="AD59" s="5"/>
      <c r="AE59" s="5"/>
      <c r="AF59" s="5"/>
    </row>
    <row r="60" spans="1:32">
      <c r="A60">
        <v>4540</v>
      </c>
      <c r="B60" t="s">
        <v>282</v>
      </c>
      <c r="C60" s="5">
        <v>1857.55</v>
      </c>
      <c r="D60" s="5">
        <v>2016.3</v>
      </c>
      <c r="E60" s="5">
        <v>2730.59</v>
      </c>
      <c r="F60" s="5">
        <v>1917.7</v>
      </c>
      <c r="G60" s="5">
        <v>1513.79</v>
      </c>
      <c r="H60" s="5">
        <v>1524.43</v>
      </c>
      <c r="I60" s="5">
        <v>1478</v>
      </c>
      <c r="J60" s="5">
        <v>1540.08</v>
      </c>
      <c r="K60" s="5">
        <v>2607.48</v>
      </c>
      <c r="L60" s="5">
        <v>1920.98</v>
      </c>
      <c r="M60" s="5">
        <v>1977.98</v>
      </c>
      <c r="N60" s="5">
        <v>2009.55</v>
      </c>
      <c r="O60" s="5">
        <f>SUM(C60:N60)</f>
        <v>23094.43</v>
      </c>
      <c r="P60" s="147"/>
      <c r="Q60" s="147">
        <v>4540</v>
      </c>
      <c r="R60" s="783" t="s">
        <v>282</v>
      </c>
      <c r="S60" s="781"/>
      <c r="T60" s="147"/>
      <c r="U60" s="147"/>
      <c r="V60" s="147"/>
      <c r="W60" s="784"/>
      <c r="X60" s="785"/>
      <c r="Y60" s="147"/>
      <c r="AA60" s="5"/>
      <c r="AB60" s="5"/>
      <c r="AC60" s="5"/>
      <c r="AD60" s="5"/>
      <c r="AE60" s="5"/>
      <c r="AF60" s="5"/>
    </row>
    <row r="61" spans="1:32">
      <c r="A61">
        <v>4580</v>
      </c>
      <c r="B61" t="s">
        <v>283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47"/>
      <c r="Q61" s="147">
        <v>4580</v>
      </c>
      <c r="R61" s="783" t="s">
        <v>283</v>
      </c>
      <c r="S61" s="781"/>
      <c r="T61" s="147"/>
      <c r="U61" s="147"/>
      <c r="V61" s="147"/>
      <c r="W61" s="784"/>
      <c r="X61" s="785"/>
      <c r="Y61" s="147"/>
      <c r="AA61" s="5"/>
      <c r="AB61" s="5"/>
      <c r="AC61" s="5"/>
      <c r="AD61" s="5"/>
      <c r="AE61" s="5"/>
      <c r="AF61" s="5"/>
    </row>
    <row r="62" spans="1:32">
      <c r="A62" t="s">
        <v>284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47"/>
      <c r="Q62" s="147" t="s">
        <v>284</v>
      </c>
      <c r="R62" s="783"/>
      <c r="S62" s="781"/>
      <c r="T62" s="147"/>
      <c r="U62" s="147"/>
      <c r="V62" s="147"/>
      <c r="W62" s="784"/>
      <c r="X62" s="785"/>
      <c r="Y62" s="147"/>
      <c r="AA62" s="5"/>
      <c r="AB62" s="5"/>
      <c r="AC62" s="5"/>
      <c r="AD62" s="5"/>
      <c r="AE62" s="5"/>
      <c r="AF62" s="5"/>
    </row>
    <row r="63" spans="1:32">
      <c r="A63">
        <v>4611</v>
      </c>
      <c r="B63" t="s">
        <v>285</v>
      </c>
      <c r="C63" s="5">
        <v>6592</v>
      </c>
      <c r="D63" s="5">
        <v>6592</v>
      </c>
      <c r="E63" s="5">
        <v>6592</v>
      </c>
      <c r="F63" s="5">
        <v>6592</v>
      </c>
      <c r="G63" s="5">
        <v>6592</v>
      </c>
      <c r="H63" s="5">
        <v>6592</v>
      </c>
      <c r="I63" s="5">
        <v>6592</v>
      </c>
      <c r="J63" s="5">
        <v>6592</v>
      </c>
      <c r="K63" s="5">
        <v>6784</v>
      </c>
      <c r="L63" s="5">
        <v>6784</v>
      </c>
      <c r="M63" s="5">
        <v>6784</v>
      </c>
      <c r="N63" s="5">
        <v>6784</v>
      </c>
      <c r="O63" s="5">
        <f t="shared" ref="O63:O82" si="4">SUM(C63:N63)</f>
        <v>79872</v>
      </c>
      <c r="P63" s="147"/>
      <c r="Q63" s="147">
        <v>4611</v>
      </c>
      <c r="R63" s="783" t="s">
        <v>285</v>
      </c>
      <c r="S63" s="781"/>
      <c r="T63" s="147"/>
      <c r="U63" s="147"/>
      <c r="V63" s="147"/>
      <c r="W63" s="784"/>
      <c r="X63" s="785"/>
      <c r="Y63" s="147"/>
      <c r="AA63" s="5"/>
      <c r="AB63" s="5"/>
      <c r="AC63" s="5"/>
      <c r="AD63" s="5"/>
      <c r="AE63" s="5"/>
      <c r="AF63" s="5"/>
    </row>
    <row r="64" spans="1:32">
      <c r="A64">
        <v>4612</v>
      </c>
      <c r="B64" t="s">
        <v>286</v>
      </c>
      <c r="C64" s="5">
        <v>3229.25</v>
      </c>
      <c r="D64" s="5">
        <v>2250</v>
      </c>
      <c r="E64" s="5">
        <v>3640.75</v>
      </c>
      <c r="F64" s="5">
        <v>1974</v>
      </c>
      <c r="G64" s="5">
        <v>2104</v>
      </c>
      <c r="H64" s="5">
        <v>2826.59</v>
      </c>
      <c r="I64" s="5">
        <v>2329.25</v>
      </c>
      <c r="J64" s="5">
        <v>1957</v>
      </c>
      <c r="K64" s="5">
        <v>3655.55</v>
      </c>
      <c r="L64" s="5">
        <v>2401.25</v>
      </c>
      <c r="M64" s="5">
        <v>2840.34</v>
      </c>
      <c r="N64" s="5">
        <v>1648.25</v>
      </c>
      <c r="O64" s="5">
        <f t="shared" si="4"/>
        <v>30856.23</v>
      </c>
      <c r="P64" s="147"/>
      <c r="Q64" s="147">
        <v>4612</v>
      </c>
      <c r="R64" s="783" t="s">
        <v>286</v>
      </c>
      <c r="S64" s="781"/>
      <c r="T64" s="147"/>
      <c r="U64" s="147"/>
      <c r="V64" s="147"/>
      <c r="W64" s="784"/>
      <c r="X64" s="785"/>
      <c r="Y64" s="147"/>
      <c r="AA64" s="5"/>
      <c r="AB64" s="5"/>
      <c r="AC64" s="5"/>
      <c r="AD64" s="5"/>
      <c r="AE64" s="5"/>
      <c r="AF64" s="5"/>
    </row>
    <row r="65" spans="1:32">
      <c r="A65">
        <v>4613</v>
      </c>
      <c r="B65" t="s">
        <v>287</v>
      </c>
      <c r="C65" s="5">
        <v>9500</v>
      </c>
      <c r="D65" s="5">
        <v>9500</v>
      </c>
      <c r="E65" s="5">
        <v>9500</v>
      </c>
      <c r="F65" s="5">
        <v>9500</v>
      </c>
      <c r="G65" s="5">
        <v>9500</v>
      </c>
      <c r="H65" s="5">
        <v>27500</v>
      </c>
      <c r="I65" s="5">
        <v>9500</v>
      </c>
      <c r="J65" s="5">
        <v>9500</v>
      </c>
      <c r="K65" s="5">
        <v>9500</v>
      </c>
      <c r="L65" s="5">
        <v>9500</v>
      </c>
      <c r="M65" s="5">
        <v>9500</v>
      </c>
      <c r="N65" s="5">
        <v>9500</v>
      </c>
      <c r="O65" s="5">
        <f t="shared" si="4"/>
        <v>132000</v>
      </c>
      <c r="P65" s="147"/>
      <c r="Q65" s="147">
        <v>4613</v>
      </c>
      <c r="R65" s="783" t="s">
        <v>287</v>
      </c>
      <c r="S65" s="781"/>
      <c r="T65" s="147"/>
      <c r="U65" s="147"/>
      <c r="V65" s="147"/>
      <c r="W65" s="784"/>
      <c r="X65" s="785"/>
      <c r="Y65" s="147"/>
      <c r="AA65" s="5"/>
      <c r="AB65" s="5"/>
      <c r="AC65" s="5"/>
      <c r="AD65" s="5"/>
      <c r="AE65" s="5"/>
      <c r="AF65" s="5"/>
    </row>
    <row r="66" spans="1:32">
      <c r="A66" s="147">
        <v>4620</v>
      </c>
      <c r="B66" s="147" t="s">
        <v>288</v>
      </c>
      <c r="C66" s="783">
        <v>3299.95</v>
      </c>
      <c r="D66" s="783">
        <v>4815.7</v>
      </c>
      <c r="E66" s="783">
        <v>3886.81</v>
      </c>
      <c r="F66" s="783">
        <v>4500.76</v>
      </c>
      <c r="G66" s="783">
        <v>4067.16</v>
      </c>
      <c r="H66" s="783">
        <v>4303.96</v>
      </c>
      <c r="I66" s="783">
        <v>5722.64</v>
      </c>
      <c r="J66" s="783">
        <v>4062.64</v>
      </c>
      <c r="K66" s="783">
        <v>3297.24</v>
      </c>
      <c r="L66" s="783">
        <v>3622.97</v>
      </c>
      <c r="M66" s="783">
        <v>3842.67</v>
      </c>
      <c r="N66" s="783">
        <v>4076.08</v>
      </c>
      <c r="O66" s="783">
        <f t="shared" si="4"/>
        <v>49498.58</v>
      </c>
      <c r="P66" s="147"/>
      <c r="Q66" s="147">
        <v>4620</v>
      </c>
      <c r="R66" s="783" t="s">
        <v>288</v>
      </c>
      <c r="S66" s="781"/>
      <c r="T66" s="147"/>
      <c r="U66" s="147"/>
      <c r="V66" s="147"/>
      <c r="W66" s="784"/>
      <c r="X66" s="785"/>
      <c r="Y66" s="147"/>
      <c r="AA66" s="5"/>
      <c r="AB66" s="5"/>
      <c r="AC66" s="5"/>
      <c r="AD66" s="5"/>
      <c r="AE66" s="5"/>
      <c r="AF66" s="5"/>
    </row>
    <row r="67" spans="1:32">
      <c r="A67" s="147">
        <v>4622</v>
      </c>
      <c r="B67" s="147" t="s">
        <v>289</v>
      </c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>
        <f t="shared" si="4"/>
        <v>0</v>
      </c>
      <c r="P67" s="147"/>
      <c r="Q67" s="147">
        <v>4622</v>
      </c>
      <c r="R67" s="783" t="s">
        <v>289</v>
      </c>
      <c r="S67" s="781"/>
      <c r="T67" s="147"/>
      <c r="U67" s="147"/>
      <c r="V67" s="147"/>
      <c r="W67" s="784"/>
      <c r="X67" s="785"/>
      <c r="Y67" s="147"/>
      <c r="AA67" s="5"/>
      <c r="AB67" s="5"/>
      <c r="AC67" s="5"/>
      <c r="AD67" s="5"/>
      <c r="AE67" s="5"/>
      <c r="AF67" s="5"/>
    </row>
    <row r="68" spans="1:32">
      <c r="A68" s="147">
        <v>4624</v>
      </c>
      <c r="B68" s="147" t="s">
        <v>290</v>
      </c>
      <c r="C68" s="783"/>
      <c r="D68" s="783"/>
      <c r="E68" s="783"/>
      <c r="F68" s="783"/>
      <c r="G68" s="783"/>
      <c r="H68" s="783">
        <v>187.36</v>
      </c>
      <c r="I68" s="783"/>
      <c r="J68" s="783"/>
      <c r="K68" s="783"/>
      <c r="L68" s="783">
        <v>102.91</v>
      </c>
      <c r="M68" s="783"/>
      <c r="N68" s="783"/>
      <c r="O68" s="783">
        <f t="shared" si="4"/>
        <v>290.27</v>
      </c>
      <c r="P68" s="147"/>
      <c r="Q68" s="147">
        <v>4624</v>
      </c>
      <c r="R68" s="783" t="s">
        <v>290</v>
      </c>
      <c r="S68" s="781"/>
      <c r="T68" s="147"/>
      <c r="U68" s="147"/>
      <c r="V68" s="147"/>
      <c r="W68" s="784"/>
      <c r="X68" s="785"/>
      <c r="Y68" s="147"/>
      <c r="AA68" s="5"/>
      <c r="AB68" s="5"/>
      <c r="AC68" s="5"/>
      <c r="AD68" s="5"/>
      <c r="AE68" s="5"/>
      <c r="AF68" s="5"/>
    </row>
    <row r="69" spans="1:32">
      <c r="A69" s="147">
        <v>4625</v>
      </c>
      <c r="B69" s="147" t="s">
        <v>291</v>
      </c>
      <c r="C69" s="783">
        <v>423.33</v>
      </c>
      <c r="D69" s="783">
        <v>27.06</v>
      </c>
      <c r="E69" s="783">
        <v>728.57</v>
      </c>
      <c r="F69" s="783">
        <v>311.88</v>
      </c>
      <c r="G69" s="783">
        <v>69.3</v>
      </c>
      <c r="H69" s="783">
        <v>220.65</v>
      </c>
      <c r="I69" s="783">
        <v>316.36</v>
      </c>
      <c r="J69" s="783">
        <v>57.41</v>
      </c>
      <c r="K69" s="783">
        <v>273.98</v>
      </c>
      <c r="L69" s="783">
        <v>96.52</v>
      </c>
      <c r="M69" s="783">
        <v>293.07</v>
      </c>
      <c r="N69" s="783">
        <v>135.35</v>
      </c>
      <c r="O69" s="783">
        <f t="shared" si="4"/>
        <v>2953.48</v>
      </c>
      <c r="P69" s="147"/>
      <c r="Q69" s="147">
        <v>4625</v>
      </c>
      <c r="R69" s="783" t="s">
        <v>291</v>
      </c>
      <c r="S69" s="781"/>
      <c r="T69" s="147"/>
      <c r="U69" s="147"/>
      <c r="V69" s="147"/>
      <c r="W69" s="784"/>
      <c r="X69" s="785"/>
      <c r="Y69" s="147"/>
      <c r="AA69" s="5"/>
      <c r="AB69" s="5"/>
      <c r="AC69" s="5"/>
      <c r="AD69" s="5"/>
      <c r="AE69" s="5"/>
      <c r="AF69" s="5"/>
    </row>
    <row r="70" spans="1:32">
      <c r="A70" s="147">
        <v>4627</v>
      </c>
      <c r="B70" s="147" t="s">
        <v>292</v>
      </c>
      <c r="C70" s="783">
        <v>0</v>
      </c>
      <c r="D70" s="783">
        <v>11.4</v>
      </c>
      <c r="E70" s="783">
        <v>162.63</v>
      </c>
      <c r="F70" s="783">
        <v>198</v>
      </c>
      <c r="G70" s="783">
        <v>0</v>
      </c>
      <c r="H70" s="783">
        <v>0</v>
      </c>
      <c r="I70" s="783">
        <v>198</v>
      </c>
      <c r="J70" s="783">
        <v>0</v>
      </c>
      <c r="K70" s="783"/>
      <c r="L70" s="783">
        <v>0</v>
      </c>
      <c r="M70" s="783">
        <v>342</v>
      </c>
      <c r="N70" s="783">
        <v>204</v>
      </c>
      <c r="O70" s="783">
        <f t="shared" si="4"/>
        <v>1116.03</v>
      </c>
      <c r="P70" s="147"/>
      <c r="Q70" s="147">
        <v>4627</v>
      </c>
      <c r="R70" s="783" t="s">
        <v>292</v>
      </c>
      <c r="S70" s="781"/>
      <c r="T70" s="147"/>
      <c r="U70" s="147"/>
      <c r="V70" s="147"/>
      <c r="W70" s="784"/>
      <c r="X70" s="785"/>
      <c r="Y70" s="147"/>
      <c r="AA70" s="5"/>
      <c r="AB70" s="5"/>
      <c r="AC70" s="5"/>
      <c r="AD70" s="5"/>
      <c r="AE70" s="5"/>
      <c r="AF70" s="5"/>
    </row>
    <row r="71" spans="1:32">
      <c r="A71" s="147">
        <v>4627</v>
      </c>
      <c r="B71" s="147" t="s">
        <v>666</v>
      </c>
      <c r="C71" s="783">
        <v>2242.5500000000002</v>
      </c>
      <c r="D71" s="783">
        <v>2229.54</v>
      </c>
      <c r="E71" s="783">
        <v>2236.17</v>
      </c>
      <c r="F71" s="783">
        <v>2221.4699999999998</v>
      </c>
      <c r="G71" s="783">
        <v>2170.71</v>
      </c>
      <c r="H71" s="783">
        <v>2062.79</v>
      </c>
      <c r="I71" s="783">
        <v>2050.5300000000002</v>
      </c>
      <c r="J71" s="783">
        <v>2019.59</v>
      </c>
      <c r="K71" s="783">
        <v>2019.35</v>
      </c>
      <c r="L71" s="783">
        <v>2014.74</v>
      </c>
      <c r="M71" s="783">
        <v>2082.9699999999998</v>
      </c>
      <c r="N71" s="783">
        <v>2176.5500000000002</v>
      </c>
      <c r="O71" s="783">
        <f>SUM(C71:N71)</f>
        <v>25526.959999999999</v>
      </c>
      <c r="P71" s="147"/>
      <c r="Q71" s="147"/>
      <c r="R71" s="783"/>
      <c r="S71" s="781"/>
      <c r="T71" s="147"/>
      <c r="U71" s="147"/>
      <c r="V71" s="147"/>
      <c r="W71" s="784"/>
      <c r="X71" s="785"/>
      <c r="Y71" s="147"/>
      <c r="AA71" s="5"/>
      <c r="AB71" s="5"/>
      <c r="AC71" s="5"/>
      <c r="AD71" s="5"/>
      <c r="AE71" s="5"/>
      <c r="AF71" s="5"/>
    </row>
    <row r="72" spans="1:32">
      <c r="A72">
        <v>4630</v>
      </c>
      <c r="B72" t="s">
        <v>294</v>
      </c>
      <c r="C72" s="5"/>
      <c r="D72" s="5"/>
      <c r="E72" s="5">
        <v>550</v>
      </c>
      <c r="F72" s="5"/>
      <c r="G72" s="5"/>
      <c r="H72" s="5">
        <v>679.04</v>
      </c>
      <c r="I72" s="5">
        <v>630</v>
      </c>
      <c r="J72" s="5"/>
      <c r="K72" s="5"/>
      <c r="L72" s="5"/>
      <c r="M72" s="5"/>
      <c r="N72" s="5"/>
      <c r="O72" s="5">
        <f t="shared" si="4"/>
        <v>1859.04</v>
      </c>
      <c r="P72" s="147"/>
      <c r="Q72" s="147">
        <v>4630</v>
      </c>
      <c r="R72" s="783" t="s">
        <v>294</v>
      </c>
      <c r="S72" s="781"/>
      <c r="T72" s="147"/>
      <c r="U72" s="147"/>
      <c r="V72" s="147"/>
      <c r="W72" s="784"/>
      <c r="X72" s="785"/>
      <c r="Y72" s="147"/>
      <c r="AA72" s="5"/>
      <c r="AB72" s="5"/>
      <c r="AC72" s="5"/>
      <c r="AD72" s="5"/>
      <c r="AE72" s="5"/>
      <c r="AF72" s="5"/>
    </row>
    <row r="73" spans="1:32">
      <c r="A73">
        <v>4640</v>
      </c>
      <c r="B73" t="s">
        <v>295</v>
      </c>
      <c r="C73" s="5">
        <v>1132.7</v>
      </c>
      <c r="D73" s="5">
        <v>1151.1600000000001</v>
      </c>
      <c r="E73" s="5">
        <v>1428.33</v>
      </c>
      <c r="F73" s="5">
        <v>1032.7</v>
      </c>
      <c r="G73" s="5">
        <v>1043.98</v>
      </c>
      <c r="H73" s="5">
        <v>1978.88</v>
      </c>
      <c r="I73" s="5">
        <v>1586.88</v>
      </c>
      <c r="J73" s="5">
        <v>1047.04</v>
      </c>
      <c r="K73" s="5">
        <v>2196.1999999999998</v>
      </c>
      <c r="L73" s="5">
        <v>1284.23</v>
      </c>
      <c r="M73" s="5">
        <v>1042.7</v>
      </c>
      <c r="N73" s="5">
        <v>1052.27</v>
      </c>
      <c r="O73" s="5">
        <f t="shared" si="4"/>
        <v>15977.070000000003</v>
      </c>
      <c r="P73" s="147"/>
      <c r="Q73" s="147">
        <v>4640</v>
      </c>
      <c r="R73" s="783" t="s">
        <v>295</v>
      </c>
      <c r="S73" s="781"/>
      <c r="T73" s="147"/>
      <c r="U73" s="147"/>
      <c r="V73" s="147"/>
      <c r="W73" s="784"/>
      <c r="X73" s="785"/>
      <c r="Y73" s="147"/>
      <c r="AA73" s="5"/>
      <c r="AB73" s="5"/>
      <c r="AC73" s="5"/>
      <c r="AD73" s="5"/>
      <c r="AE73" s="5"/>
      <c r="AF73" s="5"/>
    </row>
    <row r="74" spans="1:32">
      <c r="A74">
        <v>4642</v>
      </c>
      <c r="B74" t="s">
        <v>667</v>
      </c>
      <c r="C74" s="5">
        <v>25.14</v>
      </c>
      <c r="D74" s="5">
        <v>26.69</v>
      </c>
      <c r="E74" s="5"/>
      <c r="F74" s="5"/>
      <c r="G74" s="5"/>
      <c r="H74" s="5">
        <v>133.38999999999999</v>
      </c>
      <c r="I74" s="5">
        <v>266.27999999999997</v>
      </c>
      <c r="J74" s="5">
        <v>0</v>
      </c>
      <c r="K74" s="5">
        <v>537.13</v>
      </c>
      <c r="L74" s="5">
        <v>115.88</v>
      </c>
      <c r="M74" s="5">
        <v>26.31</v>
      </c>
      <c r="N74" s="5">
        <v>29.44</v>
      </c>
      <c r="O74" s="5">
        <f>SUM(C74:N74)</f>
        <v>1160.2599999999998</v>
      </c>
      <c r="P74" s="147"/>
      <c r="Q74" s="147"/>
      <c r="R74" s="783"/>
      <c r="S74" s="781"/>
      <c r="T74" s="147"/>
      <c r="U74" s="147"/>
      <c r="V74" s="147"/>
      <c r="W74" s="784"/>
      <c r="X74" s="785"/>
      <c r="Y74" s="147"/>
      <c r="AA74" s="5"/>
      <c r="AB74" s="5"/>
      <c r="AC74" s="5"/>
      <c r="AD74" s="5"/>
      <c r="AE74" s="5"/>
      <c r="AF74" s="5"/>
    </row>
    <row r="75" spans="1:32">
      <c r="A75">
        <v>4650</v>
      </c>
      <c r="B75" t="s">
        <v>297</v>
      </c>
      <c r="C75" s="5">
        <v>5619.12</v>
      </c>
      <c r="D75" s="5">
        <v>6555.64</v>
      </c>
      <c r="E75" s="5">
        <v>6555.64</v>
      </c>
      <c r="F75" s="5">
        <v>6555.64</v>
      </c>
      <c r="G75" s="5">
        <v>8299.8799999999992</v>
      </c>
      <c r="H75" s="5">
        <v>7620.96</v>
      </c>
      <c r="I75" s="5">
        <v>7943.6</v>
      </c>
      <c r="J75" s="5">
        <v>7943.6</v>
      </c>
      <c r="K75" s="5">
        <v>7943.6</v>
      </c>
      <c r="L75" s="5">
        <v>7967.2</v>
      </c>
      <c r="M75" s="5">
        <v>7967.2</v>
      </c>
      <c r="N75" s="5">
        <v>7967.2</v>
      </c>
      <c r="O75" s="5">
        <f t="shared" si="4"/>
        <v>88939.279999999984</v>
      </c>
      <c r="P75" s="147"/>
      <c r="Q75" s="147">
        <v>4650</v>
      </c>
      <c r="R75" s="783" t="s">
        <v>297</v>
      </c>
      <c r="S75" s="781"/>
      <c r="T75" s="147"/>
      <c r="U75" s="147"/>
      <c r="V75" s="147"/>
      <c r="W75" s="784"/>
      <c r="X75" s="785"/>
      <c r="Y75" s="147"/>
      <c r="AA75" s="5"/>
      <c r="AB75" s="5"/>
      <c r="AC75" s="5"/>
      <c r="AD75" s="5"/>
      <c r="AE75" s="5"/>
      <c r="AF75" s="5"/>
    </row>
    <row r="76" spans="1:32">
      <c r="A76">
        <v>4652</v>
      </c>
      <c r="B76" t="s">
        <v>298</v>
      </c>
      <c r="C76" s="5">
        <v>925.91</v>
      </c>
      <c r="D76" s="5">
        <v>901.84</v>
      </c>
      <c r="E76" s="5">
        <v>1181.32</v>
      </c>
      <c r="F76" s="5">
        <v>878.58</v>
      </c>
      <c r="G76" s="5">
        <v>786.76</v>
      </c>
      <c r="H76" s="5">
        <v>1178.6099999999999</v>
      </c>
      <c r="I76" s="5">
        <v>1060.23</v>
      </c>
      <c r="J76" s="5">
        <v>1009.53</v>
      </c>
      <c r="K76" s="5">
        <v>1451.36</v>
      </c>
      <c r="L76" s="5">
        <v>1148.75</v>
      </c>
      <c r="M76" s="5">
        <v>1212</v>
      </c>
      <c r="N76" s="5">
        <v>1237.6600000000001</v>
      </c>
      <c r="O76" s="5">
        <f t="shared" si="4"/>
        <v>12972.55</v>
      </c>
      <c r="P76" s="147"/>
      <c r="Q76" s="147">
        <v>4652</v>
      </c>
      <c r="R76" s="783" t="s">
        <v>298</v>
      </c>
      <c r="S76" s="781"/>
      <c r="T76" s="147"/>
      <c r="U76" s="147"/>
      <c r="V76" s="147"/>
      <c r="W76" s="784"/>
      <c r="X76" s="785"/>
      <c r="Y76" s="147"/>
      <c r="AA76" s="5"/>
      <c r="AB76" s="5"/>
      <c r="AC76" s="5"/>
      <c r="AD76" s="5"/>
      <c r="AE76" s="5"/>
      <c r="AF76" s="5"/>
    </row>
    <row r="77" spans="1:32">
      <c r="A77">
        <v>4660</v>
      </c>
      <c r="B77" t="s">
        <v>299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f t="shared" si="4"/>
        <v>0</v>
      </c>
      <c r="P77" s="147"/>
      <c r="Q77" s="147">
        <v>4660</v>
      </c>
      <c r="R77" s="783" t="s">
        <v>299</v>
      </c>
      <c r="S77" s="781"/>
      <c r="T77" s="147"/>
      <c r="U77" s="147"/>
      <c r="V77" s="147"/>
      <c r="W77" s="784"/>
      <c r="X77" s="785"/>
      <c r="Y77" s="147"/>
      <c r="AA77" s="5"/>
      <c r="AB77" s="5"/>
      <c r="AC77" s="5"/>
      <c r="AD77" s="5"/>
      <c r="AE77" s="5"/>
      <c r="AF77" s="5"/>
    </row>
    <row r="78" spans="1:32">
      <c r="A78">
        <v>4670</v>
      </c>
      <c r="B78" t="s">
        <v>300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f t="shared" si="4"/>
        <v>0</v>
      </c>
      <c r="P78" s="147"/>
      <c r="Q78" s="147">
        <v>4670</v>
      </c>
      <c r="R78" s="783" t="s">
        <v>300</v>
      </c>
      <c r="S78" s="781"/>
      <c r="T78" s="147"/>
      <c r="U78" s="147"/>
      <c r="V78" s="147"/>
      <c r="W78" s="784"/>
      <c r="X78" s="785"/>
      <c r="Y78" s="147"/>
      <c r="AA78" s="5"/>
      <c r="AB78" s="5"/>
      <c r="AC78" s="5"/>
      <c r="AD78" s="5"/>
      <c r="AE78" s="5"/>
      <c r="AF78" s="5"/>
    </row>
    <row r="79" spans="1:32">
      <c r="A79">
        <v>4680</v>
      </c>
      <c r="B79" t="s">
        <v>301</v>
      </c>
      <c r="C79" s="5"/>
      <c r="D79" s="5"/>
      <c r="E79" s="5"/>
      <c r="F79" s="5"/>
      <c r="G79" s="5"/>
      <c r="H79" s="5"/>
      <c r="I79" s="5"/>
      <c r="J79" s="5"/>
      <c r="K79" s="5"/>
      <c r="L79" s="5">
        <v>14726.46</v>
      </c>
      <c r="M79" s="5"/>
      <c r="N79" s="5"/>
      <c r="O79" s="5">
        <f t="shared" si="4"/>
        <v>14726.46</v>
      </c>
      <c r="P79" s="147"/>
      <c r="Q79" s="147">
        <v>4680</v>
      </c>
      <c r="R79" s="783" t="s">
        <v>301</v>
      </c>
      <c r="S79" s="781"/>
      <c r="T79" s="147"/>
      <c r="U79" s="147"/>
      <c r="V79" s="147"/>
      <c r="W79" s="784"/>
      <c r="X79" s="785"/>
      <c r="Y79" s="147"/>
      <c r="AA79" s="5"/>
      <c r="AB79" s="5"/>
      <c r="AC79" s="5"/>
      <c r="AD79" s="5"/>
      <c r="AE79" s="5"/>
      <c r="AF79" s="5"/>
    </row>
    <row r="80" spans="1:32">
      <c r="A80">
        <v>4692</v>
      </c>
      <c r="B80" t="s">
        <v>302</v>
      </c>
      <c r="C80" s="5">
        <v>1231.6199999999999</v>
      </c>
      <c r="D80" s="5">
        <v>676.62</v>
      </c>
      <c r="E80" s="5">
        <v>676.62</v>
      </c>
      <c r="F80" s="5">
        <v>816.62</v>
      </c>
      <c r="G80" s="5">
        <v>721.62</v>
      </c>
      <c r="H80" s="5">
        <v>676.62</v>
      </c>
      <c r="I80" s="5">
        <v>1414.05</v>
      </c>
      <c r="J80" s="5">
        <v>1044.03</v>
      </c>
      <c r="K80" s="5">
        <v>797.58</v>
      </c>
      <c r="L80" s="5">
        <v>2193.35</v>
      </c>
      <c r="M80" s="5">
        <v>1783.35</v>
      </c>
      <c r="N80" s="5">
        <v>3602.35</v>
      </c>
      <c r="O80" s="5">
        <f t="shared" si="4"/>
        <v>15634.43</v>
      </c>
      <c r="P80" s="147"/>
      <c r="Q80" s="147">
        <v>4692</v>
      </c>
      <c r="R80" s="783" t="s">
        <v>302</v>
      </c>
      <c r="S80" s="781"/>
      <c r="T80" s="147"/>
      <c r="U80" s="147"/>
      <c r="V80" s="147"/>
      <c r="W80" s="784"/>
      <c r="X80" s="785"/>
      <c r="Y80" s="147"/>
      <c r="AA80" s="5"/>
      <c r="AB80" s="5"/>
      <c r="AC80" s="5"/>
      <c r="AD80" s="5"/>
      <c r="AE80" s="5"/>
      <c r="AF80" s="5"/>
    </row>
    <row r="81" spans="1:32">
      <c r="A81">
        <v>4694</v>
      </c>
      <c r="B81" t="s">
        <v>303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f t="shared" si="4"/>
        <v>0</v>
      </c>
      <c r="P81" s="147"/>
      <c r="Q81" s="147">
        <v>4694</v>
      </c>
      <c r="R81" s="783" t="s">
        <v>303</v>
      </c>
      <c r="S81" s="781"/>
      <c r="T81" s="147"/>
      <c r="U81" s="147"/>
      <c r="V81" s="147"/>
      <c r="W81" s="784"/>
      <c r="X81" s="785"/>
      <c r="Y81" s="147"/>
      <c r="AA81" s="5"/>
      <c r="AB81" s="5"/>
      <c r="AC81" s="5"/>
      <c r="AD81" s="5"/>
      <c r="AE81" s="5"/>
      <c r="AF81" s="5"/>
    </row>
    <row r="82" spans="1:32">
      <c r="A82">
        <v>4698</v>
      </c>
      <c r="B82" t="s">
        <v>304</v>
      </c>
      <c r="C82" s="5">
        <v>652.41999999999996</v>
      </c>
      <c r="D82" s="5"/>
      <c r="E82" s="5"/>
      <c r="F82" s="5">
        <v>337.84</v>
      </c>
      <c r="G82" s="5"/>
      <c r="H82" s="5"/>
      <c r="I82" s="5"/>
      <c r="J82" s="5">
        <v>48.07</v>
      </c>
      <c r="K82" s="5"/>
      <c r="L82" s="5">
        <v>397.3</v>
      </c>
      <c r="M82" s="5">
        <v>18.32</v>
      </c>
      <c r="N82" s="5"/>
      <c r="O82" s="5">
        <f t="shared" si="4"/>
        <v>1453.9499999999998</v>
      </c>
      <c r="P82" s="147"/>
      <c r="Q82" s="147">
        <v>4698</v>
      </c>
      <c r="R82" s="783" t="s">
        <v>304</v>
      </c>
      <c r="S82" s="781"/>
      <c r="T82" s="147"/>
      <c r="U82" s="147"/>
      <c r="V82" s="147"/>
      <c r="W82" s="784"/>
      <c r="X82" s="785"/>
      <c r="Y82" s="147"/>
      <c r="AA82" s="5"/>
      <c r="AB82" s="5"/>
      <c r="AC82" s="5"/>
      <c r="AD82" s="5"/>
      <c r="AE82" s="5"/>
      <c r="AF82" s="5"/>
    </row>
    <row r="83" spans="1:32">
      <c r="A83" t="s">
        <v>305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47"/>
      <c r="Q83" s="147" t="s">
        <v>305</v>
      </c>
      <c r="R83" s="783"/>
      <c r="S83" s="781"/>
      <c r="T83" s="147"/>
      <c r="U83" s="147"/>
      <c r="V83" s="147"/>
      <c r="W83" s="784"/>
      <c r="X83" s="785"/>
      <c r="Y83" s="147"/>
      <c r="AA83" s="5"/>
      <c r="AB83" s="5"/>
      <c r="AC83" s="5"/>
      <c r="AD83" s="5"/>
      <c r="AE83" s="5"/>
      <c r="AF83" s="5"/>
    </row>
    <row r="84" spans="1:32">
      <c r="A84">
        <v>5010</v>
      </c>
      <c r="B84" t="s">
        <v>306</v>
      </c>
      <c r="C84" s="5"/>
      <c r="D84" s="5"/>
      <c r="E84" s="5"/>
      <c r="F84" s="5"/>
      <c r="G84" s="5"/>
      <c r="H84" s="5">
        <v>249077</v>
      </c>
      <c r="I84" s="5"/>
      <c r="J84" s="5"/>
      <c r="K84" s="5"/>
      <c r="L84" s="5"/>
      <c r="M84" s="5"/>
      <c r="N84" s="5"/>
      <c r="O84" s="5">
        <f>SUM(C84:N84)</f>
        <v>249077</v>
      </c>
      <c r="P84" s="147"/>
      <c r="Q84" s="147">
        <v>5010</v>
      </c>
      <c r="R84" s="783" t="s">
        <v>306</v>
      </c>
      <c r="S84" s="781"/>
      <c r="T84" s="147"/>
      <c r="U84" s="147"/>
      <c r="V84" s="147"/>
      <c r="W84" s="784"/>
      <c r="X84" s="785"/>
      <c r="Y84" s="147"/>
      <c r="AA84" s="5"/>
      <c r="AB84" s="5"/>
      <c r="AC84" s="5"/>
      <c r="AD84" s="5"/>
      <c r="AE84" s="5"/>
      <c r="AF84" s="5"/>
    </row>
    <row r="85" spans="1:32">
      <c r="A85">
        <v>5100</v>
      </c>
      <c r="B85" t="s">
        <v>307</v>
      </c>
      <c r="C85" s="5">
        <v>-80385.38</v>
      </c>
      <c r="D85" s="5"/>
      <c r="E85" s="5"/>
      <c r="F85" s="5">
        <v>-24976.71</v>
      </c>
      <c r="G85" s="5">
        <v>-36000</v>
      </c>
      <c r="H85" s="5">
        <v>-2500</v>
      </c>
      <c r="I85" s="5"/>
      <c r="J85" s="5"/>
      <c r="K85" s="5"/>
      <c r="L85" s="5"/>
      <c r="M85" s="5"/>
      <c r="N85" s="5"/>
      <c r="O85" s="5">
        <f>SUM(C85:N85)</f>
        <v>-143862.09</v>
      </c>
      <c r="P85" s="147"/>
      <c r="Q85" s="147">
        <v>5100</v>
      </c>
      <c r="R85" s="783" t="s">
        <v>307</v>
      </c>
      <c r="S85" s="781"/>
      <c r="T85" s="147"/>
      <c r="U85" s="147"/>
      <c r="V85" s="147"/>
      <c r="W85" s="784"/>
      <c r="X85" s="785"/>
      <c r="Y85" s="147"/>
      <c r="AA85" s="5"/>
      <c r="AB85" s="5"/>
      <c r="AC85" s="5"/>
      <c r="AD85" s="5"/>
      <c r="AE85" s="5"/>
      <c r="AF85" s="5"/>
    </row>
    <row r="86" spans="1:32">
      <c r="A86" t="s">
        <v>308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47"/>
      <c r="Q86" s="147" t="s">
        <v>308</v>
      </c>
      <c r="R86" s="783"/>
      <c r="S86" s="781"/>
      <c r="T86" s="147"/>
      <c r="U86" s="147"/>
      <c r="V86" s="147"/>
      <c r="W86" s="784"/>
      <c r="X86" s="785"/>
      <c r="Y86" s="147"/>
      <c r="AA86" s="5"/>
      <c r="AB86" s="5"/>
      <c r="AC86" s="5"/>
      <c r="AD86" s="5"/>
      <c r="AE86" s="5"/>
      <c r="AF86" s="5"/>
    </row>
    <row r="87" spans="1:32">
      <c r="A87">
        <v>5151</v>
      </c>
      <c r="B87" t="s">
        <v>309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>
        <f>SUM(C87:N87)</f>
        <v>0</v>
      </c>
      <c r="P87" s="147"/>
      <c r="Q87" s="147">
        <v>5151</v>
      </c>
      <c r="R87" s="783" t="s">
        <v>309</v>
      </c>
      <c r="S87" s="781"/>
      <c r="T87" s="147"/>
      <c r="U87" s="147"/>
      <c r="V87" s="147"/>
      <c r="W87" s="784"/>
      <c r="X87" s="785"/>
      <c r="Y87" s="147"/>
      <c r="AA87" s="5"/>
      <c r="AB87" s="5"/>
      <c r="AC87" s="5"/>
      <c r="AD87" s="5"/>
      <c r="AE87" s="5"/>
      <c r="AF87" s="5"/>
    </row>
    <row r="88" spans="1:32">
      <c r="A88" t="s">
        <v>310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47"/>
      <c r="Q88" s="147" t="s">
        <v>310</v>
      </c>
      <c r="R88" s="783"/>
      <c r="S88" s="781"/>
      <c r="T88" s="147"/>
      <c r="U88" s="147"/>
      <c r="V88" s="147"/>
      <c r="W88" s="784"/>
      <c r="X88" s="785"/>
      <c r="Y88" s="147"/>
      <c r="AA88" s="5"/>
      <c r="AB88" s="5"/>
      <c r="AC88" s="5"/>
      <c r="AD88" s="5"/>
      <c r="AE88" s="5"/>
      <c r="AF88" s="5"/>
    </row>
    <row r="89" spans="1:32">
      <c r="A89">
        <v>5220</v>
      </c>
      <c r="B89" t="s">
        <v>311</v>
      </c>
      <c r="C89" s="5">
        <v>2198.5</v>
      </c>
      <c r="D89" s="5"/>
      <c r="E89" s="5">
        <v>681.75</v>
      </c>
      <c r="F89" s="5">
        <v>115.5</v>
      </c>
      <c r="G89" s="5"/>
      <c r="H89" s="5">
        <v>1354.75</v>
      </c>
      <c r="I89" s="5"/>
      <c r="J89" s="5">
        <v>0</v>
      </c>
      <c r="K89" s="5">
        <v>1528</v>
      </c>
      <c r="L89" s="5"/>
      <c r="M89" s="5"/>
      <c r="N89" s="5">
        <v>2562.13</v>
      </c>
      <c r="O89" s="5">
        <f t="shared" ref="O89:O98" si="5">SUM(C89:N89)</f>
        <v>8440.630000000001</v>
      </c>
      <c r="P89" s="147"/>
      <c r="Q89" s="147">
        <v>5220</v>
      </c>
      <c r="R89" s="783" t="s">
        <v>311</v>
      </c>
      <c r="S89" s="781"/>
      <c r="T89" s="147"/>
      <c r="U89" s="147"/>
      <c r="V89" s="147"/>
      <c r="W89" s="784"/>
      <c r="X89" s="785"/>
      <c r="Y89" s="147"/>
      <c r="AA89" s="5"/>
      <c r="AB89" s="5"/>
      <c r="AC89" s="5"/>
      <c r="AD89" s="5"/>
      <c r="AE89" s="5"/>
      <c r="AF89" s="5"/>
    </row>
    <row r="90" spans="1:32">
      <c r="A90">
        <v>5230</v>
      </c>
      <c r="B90" t="s">
        <v>312</v>
      </c>
      <c r="C90" s="5"/>
      <c r="D90" s="5"/>
      <c r="E90" s="5"/>
      <c r="F90" s="5">
        <v>1226.07</v>
      </c>
      <c r="G90" s="5"/>
      <c r="H90" s="5"/>
      <c r="I90" s="5"/>
      <c r="J90" s="5"/>
      <c r="K90" s="5"/>
      <c r="L90" s="5">
        <v>1429.52</v>
      </c>
      <c r="M90" s="5"/>
      <c r="N90" s="5"/>
      <c r="O90" s="5">
        <f t="shared" si="5"/>
        <v>2655.59</v>
      </c>
      <c r="P90" s="147"/>
      <c r="Q90" s="147">
        <v>5230</v>
      </c>
      <c r="R90" s="783" t="s">
        <v>312</v>
      </c>
      <c r="S90" s="781"/>
      <c r="T90" s="147"/>
      <c r="U90" s="147"/>
      <c r="V90" s="147"/>
      <c r="W90" s="784"/>
      <c r="X90" s="785"/>
      <c r="Y90" s="147"/>
      <c r="AA90" s="5"/>
      <c r="AB90" s="5"/>
      <c r="AC90" s="5"/>
      <c r="AD90" s="5"/>
      <c r="AE90" s="5"/>
      <c r="AF90" s="5"/>
    </row>
    <row r="91" spans="1:32">
      <c r="A91">
        <v>5240</v>
      </c>
      <c r="B91" t="s">
        <v>313</v>
      </c>
      <c r="C91" s="5">
        <v>5108.9799999999996</v>
      </c>
      <c r="D91" s="5">
        <v>5032.0600000000004</v>
      </c>
      <c r="E91" s="5">
        <v>6797.24</v>
      </c>
      <c r="F91" s="5">
        <v>4964.59</v>
      </c>
      <c r="G91" s="5">
        <v>4532.46</v>
      </c>
      <c r="H91" s="5">
        <v>7414.78</v>
      </c>
      <c r="I91" s="5">
        <v>4314.51</v>
      </c>
      <c r="J91" s="5">
        <v>4025.92</v>
      </c>
      <c r="K91" s="5">
        <v>6115.16</v>
      </c>
      <c r="L91" s="5">
        <v>4781.75</v>
      </c>
      <c r="M91" s="5">
        <v>5034.78</v>
      </c>
      <c r="N91" s="5">
        <v>5128.7</v>
      </c>
      <c r="O91" s="5">
        <f t="shared" si="5"/>
        <v>63250.929999999993</v>
      </c>
      <c r="P91" s="147"/>
      <c r="Q91" s="147">
        <v>5240</v>
      </c>
      <c r="R91" s="783" t="s">
        <v>313</v>
      </c>
      <c r="S91" s="781"/>
      <c r="T91" s="147"/>
      <c r="U91" s="147"/>
      <c r="V91" s="147"/>
      <c r="W91" s="784"/>
      <c r="X91" s="785"/>
      <c r="Y91" s="147"/>
      <c r="AA91" s="5"/>
      <c r="AB91" s="5"/>
      <c r="AC91" s="5"/>
      <c r="AD91" s="5"/>
      <c r="AE91" s="5"/>
      <c r="AF91" s="5"/>
    </row>
    <row r="92" spans="1:32">
      <c r="A92">
        <v>5241</v>
      </c>
      <c r="B92" t="s">
        <v>314</v>
      </c>
      <c r="C92" s="5">
        <v>41.92</v>
      </c>
      <c r="D92" s="5">
        <v>26.29</v>
      </c>
      <c r="E92" s="5">
        <v>10.68</v>
      </c>
      <c r="F92" s="5">
        <v>1.61</v>
      </c>
      <c r="G92" s="5">
        <v>3.02</v>
      </c>
      <c r="H92" s="5">
        <v>6.57</v>
      </c>
      <c r="I92" s="5">
        <v>323.41000000000003</v>
      </c>
      <c r="J92" s="5">
        <v>110.87</v>
      </c>
      <c r="K92" s="5">
        <v>34.6</v>
      </c>
      <c r="L92" s="5">
        <v>17.690000000000001</v>
      </c>
      <c r="M92" s="5">
        <v>22.98</v>
      </c>
      <c r="N92" s="5">
        <v>38.17</v>
      </c>
      <c r="O92" s="5">
        <f t="shared" si="5"/>
        <v>637.81000000000006</v>
      </c>
      <c r="P92" s="147"/>
      <c r="Q92" s="147">
        <v>5241</v>
      </c>
      <c r="R92" s="783" t="s">
        <v>314</v>
      </c>
      <c r="S92" s="781"/>
      <c r="T92" s="147"/>
      <c r="U92" s="147"/>
      <c r="V92" s="147"/>
      <c r="W92" s="784"/>
      <c r="X92" s="785"/>
      <c r="Y92" s="147"/>
      <c r="AA92" s="5"/>
      <c r="AB92" s="5"/>
      <c r="AC92" s="5"/>
      <c r="AD92" s="5"/>
      <c r="AE92" s="5"/>
      <c r="AF92" s="5"/>
    </row>
    <row r="93" spans="1:32">
      <c r="A93" s="147">
        <v>5242</v>
      </c>
      <c r="B93" s="147" t="s">
        <v>315</v>
      </c>
      <c r="C93" s="783">
        <v>707.31</v>
      </c>
      <c r="D93" s="783">
        <v>556.55999999999995</v>
      </c>
      <c r="E93" s="783">
        <v>773.52</v>
      </c>
      <c r="F93" s="783">
        <v>496.83</v>
      </c>
      <c r="G93" s="783">
        <v>410.46</v>
      </c>
      <c r="H93" s="783">
        <v>-1269.98</v>
      </c>
      <c r="I93" s="783">
        <v>584.45000000000005</v>
      </c>
      <c r="J93" s="783">
        <v>541.37</v>
      </c>
      <c r="K93" s="783">
        <v>851.36</v>
      </c>
      <c r="L93" s="783">
        <v>652.39</v>
      </c>
      <c r="M93" s="783">
        <v>690.14</v>
      </c>
      <c r="N93" s="783">
        <v>704.21</v>
      </c>
      <c r="O93" s="783">
        <f t="shared" si="5"/>
        <v>5698.62</v>
      </c>
      <c r="P93" s="147"/>
      <c r="Q93" s="147">
        <v>5242</v>
      </c>
      <c r="R93" s="783" t="s">
        <v>315</v>
      </c>
      <c r="S93" s="781"/>
      <c r="T93" s="147"/>
      <c r="U93" s="147"/>
      <c r="V93" s="147"/>
      <c r="W93" s="784"/>
      <c r="X93" s="785"/>
      <c r="Y93" s="147"/>
      <c r="AA93" s="5"/>
      <c r="AB93" s="5"/>
      <c r="AC93" s="5"/>
      <c r="AD93" s="5"/>
      <c r="AE93" s="5"/>
      <c r="AF93" s="5"/>
    </row>
    <row r="94" spans="1:32">
      <c r="A94">
        <v>5260</v>
      </c>
      <c r="B94" t="s">
        <v>316</v>
      </c>
      <c r="C94" s="5">
        <v>6171.1</v>
      </c>
      <c r="D94" s="5">
        <v>6227.36</v>
      </c>
      <c r="E94" s="5">
        <v>5524.32</v>
      </c>
      <c r="F94" s="5">
        <v>5702.44</v>
      </c>
      <c r="G94" s="5">
        <v>4919.2700000000004</v>
      </c>
      <c r="H94" s="5">
        <v>3731.36</v>
      </c>
      <c r="I94" s="5">
        <v>4182.79</v>
      </c>
      <c r="J94" s="5">
        <v>3985.09</v>
      </c>
      <c r="K94" s="5">
        <v>4192.7</v>
      </c>
      <c r="L94" s="5">
        <v>5154.0200000000004</v>
      </c>
      <c r="M94" s="5">
        <v>5277.41</v>
      </c>
      <c r="N94" s="5">
        <v>5714.41</v>
      </c>
      <c r="O94" s="5">
        <f t="shared" si="5"/>
        <v>60782.270000000004</v>
      </c>
      <c r="P94" s="147"/>
      <c r="Q94" s="147">
        <v>5260</v>
      </c>
      <c r="R94" s="783" t="s">
        <v>316</v>
      </c>
      <c r="S94" s="781"/>
      <c r="T94" s="147"/>
      <c r="U94" s="147"/>
      <c r="V94" s="147"/>
      <c r="W94" s="784"/>
      <c r="X94" s="785"/>
      <c r="Y94" s="147"/>
      <c r="AA94" s="5"/>
      <c r="AB94" s="5"/>
      <c r="AC94" s="5"/>
      <c r="AD94" s="5"/>
      <c r="AE94" s="5"/>
      <c r="AF94" s="5"/>
    </row>
    <row r="95" spans="1:32">
      <c r="A95">
        <v>5270</v>
      </c>
      <c r="B95" t="s">
        <v>317</v>
      </c>
      <c r="C95" s="5"/>
      <c r="D95" s="5">
        <v>2458.14</v>
      </c>
      <c r="E95" s="5"/>
      <c r="F95" s="5">
        <v>2458.14</v>
      </c>
      <c r="G95" s="5">
        <v>0</v>
      </c>
      <c r="H95" s="5"/>
      <c r="I95" s="5"/>
      <c r="J95" s="5">
        <v>2969.2</v>
      </c>
      <c r="K95" s="5"/>
      <c r="L95" s="5"/>
      <c r="M95" s="5"/>
      <c r="N95" s="5">
        <v>2969.2</v>
      </c>
      <c r="O95" s="5">
        <f t="shared" si="5"/>
        <v>10854.68</v>
      </c>
      <c r="P95" s="147"/>
      <c r="Q95" s="147">
        <v>5270</v>
      </c>
      <c r="R95" s="783" t="s">
        <v>317</v>
      </c>
      <c r="S95" s="781"/>
      <c r="T95" s="147"/>
      <c r="U95" s="147"/>
      <c r="V95" s="147"/>
      <c r="W95" s="784"/>
      <c r="X95" s="785"/>
      <c r="Y95" s="147"/>
      <c r="AA95" s="5"/>
      <c r="AB95" s="5"/>
      <c r="AC95" s="5"/>
      <c r="AD95" s="5"/>
      <c r="AE95" s="5"/>
      <c r="AF95" s="5"/>
    </row>
    <row r="96" spans="1:32">
      <c r="A96">
        <v>5290</v>
      </c>
      <c r="B96" t="s">
        <v>318</v>
      </c>
      <c r="C96" s="5">
        <v>65</v>
      </c>
      <c r="D96" s="5"/>
      <c r="E96" s="5"/>
      <c r="F96" s="5"/>
      <c r="G96" s="5"/>
      <c r="H96" s="5">
        <v>-0.08</v>
      </c>
      <c r="I96" s="5"/>
      <c r="J96" s="5"/>
      <c r="K96" s="5">
        <v>210</v>
      </c>
      <c r="L96" s="5"/>
      <c r="M96" s="5"/>
      <c r="N96" s="5"/>
      <c r="O96" s="5">
        <f t="shared" si="5"/>
        <v>274.92</v>
      </c>
      <c r="P96" s="147"/>
      <c r="Q96" s="147">
        <v>5290</v>
      </c>
      <c r="R96" s="783" t="s">
        <v>318</v>
      </c>
      <c r="S96" s="781"/>
      <c r="T96" s="147"/>
      <c r="U96" s="147"/>
      <c r="V96" s="147"/>
      <c r="W96" s="784"/>
      <c r="X96" s="785"/>
      <c r="Y96" s="147"/>
      <c r="AA96" s="5"/>
      <c r="AB96" s="5"/>
      <c r="AC96" s="5"/>
      <c r="AD96" s="5"/>
      <c r="AE96" s="5"/>
      <c r="AF96" s="5"/>
    </row>
    <row r="97" spans="1:32">
      <c r="A97" t="s">
        <v>319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47"/>
      <c r="Q97" s="147" t="s">
        <v>319</v>
      </c>
      <c r="R97" s="783"/>
      <c r="S97" s="781"/>
      <c r="T97" s="147"/>
      <c r="U97" s="147"/>
      <c r="V97" s="147"/>
      <c r="W97" s="784"/>
      <c r="X97" s="785"/>
      <c r="Y97" s="147"/>
      <c r="AA97" s="5"/>
      <c r="AB97" s="5"/>
      <c r="AC97" s="5"/>
      <c r="AD97" s="5"/>
      <c r="AE97" s="5"/>
      <c r="AF97" s="5"/>
    </row>
    <row r="98" spans="1:32">
      <c r="A98">
        <v>5320</v>
      </c>
      <c r="B98" t="s">
        <v>320</v>
      </c>
      <c r="C98" s="5">
        <v>7746</v>
      </c>
      <c r="D98" s="5">
        <v>7746</v>
      </c>
      <c r="E98" s="5">
        <v>7746</v>
      </c>
      <c r="F98" s="5">
        <v>7746</v>
      </c>
      <c r="G98" s="5">
        <v>7746</v>
      </c>
      <c r="H98" s="5">
        <v>7746</v>
      </c>
      <c r="I98" s="5">
        <v>7980</v>
      </c>
      <c r="J98" s="5">
        <v>7980</v>
      </c>
      <c r="K98" s="5">
        <v>7980</v>
      </c>
      <c r="L98" s="5">
        <v>7980</v>
      </c>
      <c r="M98" s="5">
        <v>7980</v>
      </c>
      <c r="N98" s="5">
        <v>7980</v>
      </c>
      <c r="O98" s="5">
        <f t="shared" si="5"/>
        <v>94356</v>
      </c>
      <c r="P98" s="147"/>
      <c r="Q98" s="147">
        <v>5320</v>
      </c>
      <c r="R98" s="783" t="s">
        <v>320</v>
      </c>
      <c r="S98" s="781"/>
      <c r="T98" s="147"/>
      <c r="U98" s="147"/>
      <c r="V98" s="147"/>
      <c r="W98" s="784"/>
      <c r="X98" s="785"/>
      <c r="Y98" s="147"/>
      <c r="AA98" s="5"/>
      <c r="AB98" s="5"/>
      <c r="AC98" s="5"/>
      <c r="AD98" s="5"/>
      <c r="AE98" s="5"/>
      <c r="AF98" s="5"/>
    </row>
    <row r="99" spans="1:32" ht="13.5" thickBot="1">
      <c r="A99">
        <v>5322</v>
      </c>
      <c r="B99" s="459" t="s">
        <v>321</v>
      </c>
      <c r="C99" s="6">
        <v>2496</v>
      </c>
      <c r="D99" s="6">
        <v>2496</v>
      </c>
      <c r="E99" s="6">
        <v>2496</v>
      </c>
      <c r="F99" s="6">
        <v>2496</v>
      </c>
      <c r="G99" s="6">
        <v>2496</v>
      </c>
      <c r="H99" s="6">
        <v>2496</v>
      </c>
      <c r="I99" s="6">
        <v>2570</v>
      </c>
      <c r="J99" s="6">
        <v>2570</v>
      </c>
      <c r="K99" s="6">
        <v>2570</v>
      </c>
      <c r="L99" s="6">
        <v>2570</v>
      </c>
      <c r="M99" s="6">
        <v>2570</v>
      </c>
      <c r="N99" s="6">
        <v>2570</v>
      </c>
      <c r="O99" s="6">
        <f>SUM(C99:N99)</f>
        <v>30396</v>
      </c>
      <c r="P99" s="147"/>
      <c r="Q99" s="147">
        <v>5322</v>
      </c>
      <c r="R99" s="783" t="s">
        <v>321</v>
      </c>
      <c r="S99" s="781"/>
      <c r="T99" s="147"/>
      <c r="U99" s="147"/>
      <c r="V99" s="147"/>
      <c r="W99" s="784"/>
      <c r="X99" s="785"/>
      <c r="Y99" s="147"/>
      <c r="AA99" s="5"/>
      <c r="AB99" s="5"/>
      <c r="AC99" s="5"/>
      <c r="AD99" s="5"/>
      <c r="AE99" s="5"/>
      <c r="AF99" s="5"/>
    </row>
    <row r="100" spans="1:3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7"/>
      <c r="Q100" s="147"/>
      <c r="R100" s="783"/>
      <c r="S100" s="781"/>
      <c r="T100" s="147"/>
      <c r="U100" s="147"/>
      <c r="V100" s="147"/>
      <c r="W100" s="784"/>
      <c r="X100" s="785"/>
      <c r="Y100" s="147"/>
      <c r="AA100" s="5"/>
      <c r="AB100" s="5"/>
      <c r="AC100" s="5"/>
      <c r="AD100" s="5"/>
      <c r="AE100" s="5"/>
      <c r="AF100" s="5"/>
    </row>
    <row r="101" spans="1:32" ht="13.5" thickBot="1">
      <c r="B101" t="s">
        <v>322</v>
      </c>
      <c r="C101" s="6">
        <f t="shared" ref="C101:H101" si="6">SUM(C24:C99)</f>
        <v>183037.38300000003</v>
      </c>
      <c r="D101" s="6">
        <f t="shared" si="6"/>
        <v>280398.21000000002</v>
      </c>
      <c r="E101" s="6">
        <f t="shared" si="6"/>
        <v>263089.02</v>
      </c>
      <c r="F101" s="6">
        <f t="shared" si="6"/>
        <v>227595.11000000002</v>
      </c>
      <c r="G101" s="6">
        <f t="shared" si="6"/>
        <v>183559.81</v>
      </c>
      <c r="H101" s="6">
        <f t="shared" si="6"/>
        <v>477260.68999999994</v>
      </c>
      <c r="I101" s="6">
        <f t="shared" ref="I101:N101" si="7">SUM(I24:I99)</f>
        <v>196061.74000000005</v>
      </c>
      <c r="J101" s="6">
        <f t="shared" si="7"/>
        <v>193867.89</v>
      </c>
      <c r="K101" s="6">
        <f t="shared" si="7"/>
        <v>235241.49</v>
      </c>
      <c r="L101" s="6">
        <f t="shared" si="7"/>
        <v>244463.18000000002</v>
      </c>
      <c r="M101" s="6">
        <f t="shared" si="7"/>
        <v>248464.3300000001</v>
      </c>
      <c r="N101" s="6">
        <f t="shared" si="7"/>
        <v>269968.54000000004</v>
      </c>
      <c r="O101" s="6">
        <f>SUM(O24:O99)</f>
        <v>3003007.3929999997</v>
      </c>
      <c r="P101" s="147"/>
      <c r="Q101" s="147"/>
      <c r="R101" s="783" t="s">
        <v>322</v>
      </c>
      <c r="S101" s="781"/>
      <c r="T101" s="147"/>
      <c r="U101" s="147"/>
      <c r="V101" s="147"/>
      <c r="W101" s="784"/>
      <c r="X101" s="785"/>
      <c r="Y101" s="147"/>
      <c r="AA101" s="5"/>
      <c r="AB101" s="5"/>
      <c r="AC101" s="5"/>
      <c r="AD101" s="5"/>
      <c r="AE101" s="5"/>
      <c r="AF101" s="5"/>
    </row>
    <row r="102" spans="1:3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47"/>
      <c r="Q102" s="147"/>
      <c r="R102" s="783"/>
      <c r="S102" s="781"/>
      <c r="T102" s="147"/>
      <c r="U102" s="147"/>
      <c r="V102" s="147"/>
      <c r="W102" s="784"/>
      <c r="X102" s="785"/>
      <c r="Y102" s="147"/>
      <c r="AA102" s="5"/>
      <c r="AB102" s="5"/>
      <c r="AC102" s="5"/>
      <c r="AD102" s="5"/>
      <c r="AE102" s="5"/>
      <c r="AF102" s="5"/>
    </row>
    <row r="103" spans="1:32" ht="13.5" thickBot="1">
      <c r="B103" t="s">
        <v>323</v>
      </c>
      <c r="C103" s="6">
        <f t="shared" ref="C103:H103" si="8">+C20-C101</f>
        <v>164989.22699999996</v>
      </c>
      <c r="D103" s="6">
        <f t="shared" si="8"/>
        <v>70346.31</v>
      </c>
      <c r="E103" s="6">
        <f t="shared" si="8"/>
        <v>47054.26999999996</v>
      </c>
      <c r="F103" s="6">
        <f t="shared" si="8"/>
        <v>89028.040000000008</v>
      </c>
      <c r="G103" s="6">
        <f t="shared" si="8"/>
        <v>89389.410000000033</v>
      </c>
      <c r="H103" s="6">
        <f t="shared" si="8"/>
        <v>-255042.2099999999</v>
      </c>
      <c r="I103" s="6">
        <f t="shared" ref="I103:N103" si="9">+I20-I101</f>
        <v>42173.929999999964</v>
      </c>
      <c r="J103" s="6">
        <f t="shared" si="9"/>
        <v>32152.929999999993</v>
      </c>
      <c r="K103" s="6">
        <f t="shared" si="9"/>
        <v>-256.8300000000163</v>
      </c>
      <c r="L103" s="6">
        <f t="shared" si="9"/>
        <v>25020.739999999962</v>
      </c>
      <c r="M103" s="6">
        <f t="shared" si="9"/>
        <v>50726.83999999988</v>
      </c>
      <c r="N103" s="6">
        <f t="shared" si="9"/>
        <v>54864.29999999993</v>
      </c>
      <c r="O103" s="6">
        <f>+O20-O101</f>
        <v>410446.9570000004</v>
      </c>
      <c r="P103" s="147"/>
      <c r="Q103" s="147"/>
      <c r="R103" s="783" t="s">
        <v>323</v>
      </c>
      <c r="S103" s="781"/>
      <c r="T103" s="147"/>
      <c r="U103" s="147"/>
      <c r="V103" s="147"/>
      <c r="W103" s="784"/>
      <c r="X103" s="785"/>
      <c r="Y103" s="147"/>
      <c r="AA103" s="5"/>
      <c r="AB103" s="5"/>
      <c r="AC103" s="5"/>
      <c r="AD103" s="5"/>
      <c r="AE103" s="5"/>
      <c r="AF103" s="5"/>
    </row>
    <row r="104" spans="1:3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147"/>
      <c r="Q104" s="147"/>
      <c r="R104" s="783"/>
      <c r="S104" s="781"/>
      <c r="T104" s="147"/>
      <c r="U104" s="147"/>
      <c r="V104" s="147"/>
      <c r="W104" s="784"/>
      <c r="X104" s="785"/>
      <c r="Y104" s="147"/>
      <c r="AA104" s="5"/>
      <c r="AB104" s="5"/>
      <c r="AC104" s="5"/>
      <c r="AD104" s="5"/>
      <c r="AE104" s="5"/>
      <c r="AF104" s="5"/>
    </row>
    <row r="105" spans="1:32">
      <c r="A105" t="s">
        <v>668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47"/>
      <c r="Q105" s="147" t="s">
        <v>668</v>
      </c>
      <c r="R105" s="783"/>
      <c r="S105" s="781"/>
      <c r="T105" s="147"/>
      <c r="U105" s="147"/>
      <c r="V105" s="147"/>
      <c r="W105" s="784"/>
      <c r="X105" s="785"/>
      <c r="Y105" s="147"/>
      <c r="AA105" s="5"/>
      <c r="AB105" s="5"/>
      <c r="AC105" s="5"/>
      <c r="AD105" s="5"/>
      <c r="AE105" s="5"/>
      <c r="AF105" s="5"/>
    </row>
    <row r="106" spans="1:32">
      <c r="A106">
        <v>6110</v>
      </c>
      <c r="B106" t="s">
        <v>669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f t="shared" ref="O106:O111" si="10">SUM(C106:N106)</f>
        <v>0</v>
      </c>
      <c r="P106" s="147"/>
      <c r="Q106" s="147">
        <v>6110</v>
      </c>
      <c r="R106" s="783" t="s">
        <v>670</v>
      </c>
      <c r="S106" s="781"/>
      <c r="T106" s="147"/>
      <c r="U106" s="147"/>
      <c r="V106" s="147"/>
      <c r="W106" s="784"/>
      <c r="X106" s="785"/>
      <c r="Y106" s="147"/>
      <c r="AA106" s="5"/>
      <c r="AB106" s="5"/>
      <c r="AC106" s="5"/>
      <c r="AD106" s="5"/>
      <c r="AE106" s="5"/>
      <c r="AF106" s="5"/>
    </row>
    <row r="107" spans="1:32">
      <c r="A107">
        <v>6200</v>
      </c>
      <c r="B107" t="s">
        <v>671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f t="shared" si="10"/>
        <v>0</v>
      </c>
      <c r="P107" s="147"/>
      <c r="Q107" s="147">
        <v>6200</v>
      </c>
      <c r="R107" s="783" t="s">
        <v>671</v>
      </c>
      <c r="S107" s="781"/>
      <c r="T107" s="147"/>
      <c r="U107" s="147"/>
      <c r="V107" s="147"/>
      <c r="W107" s="784"/>
      <c r="X107" s="785"/>
      <c r="Y107" s="147"/>
      <c r="AA107" s="5"/>
      <c r="AB107" s="5"/>
      <c r="AC107" s="5"/>
      <c r="AD107" s="5"/>
      <c r="AE107" s="5"/>
      <c r="AF107" s="5"/>
    </row>
    <row r="108" spans="1:32">
      <c r="A108">
        <v>6455</v>
      </c>
      <c r="B108" t="s">
        <v>326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-3437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f t="shared" si="10"/>
        <v>-3437</v>
      </c>
      <c r="P108" s="147"/>
      <c r="Q108" s="147">
        <v>6455</v>
      </c>
      <c r="R108" s="783" t="s">
        <v>326</v>
      </c>
      <c r="S108" s="781"/>
      <c r="T108" s="147"/>
      <c r="U108" s="147"/>
      <c r="V108" s="147"/>
      <c r="W108" s="784"/>
      <c r="X108" s="785"/>
      <c r="Y108" s="147"/>
      <c r="AA108" s="5"/>
      <c r="AB108" s="5"/>
      <c r="AC108" s="5"/>
      <c r="AD108" s="5"/>
      <c r="AE108" s="5"/>
      <c r="AF108" s="5"/>
    </row>
    <row r="109" spans="1:32">
      <c r="A109">
        <v>6512</v>
      </c>
      <c r="B109" t="s">
        <v>672</v>
      </c>
      <c r="C109" s="5">
        <v>58.04</v>
      </c>
      <c r="D109" s="5">
        <v>61.31</v>
      </c>
      <c r="E109" s="5">
        <v>604.16999999999996</v>
      </c>
      <c r="F109" s="5">
        <v>407.44</v>
      </c>
      <c r="G109" s="5">
        <v>59.64</v>
      </c>
      <c r="H109" s="5">
        <v>1962.04</v>
      </c>
      <c r="I109" s="5">
        <v>61.5</v>
      </c>
      <c r="J109" s="5">
        <v>57.84</v>
      </c>
      <c r="K109" s="5">
        <v>462.4</v>
      </c>
      <c r="L109" s="5">
        <v>225.52</v>
      </c>
      <c r="M109" s="5">
        <v>247.7</v>
      </c>
      <c r="N109" s="5">
        <v>145.86000000000001</v>
      </c>
      <c r="O109" s="5">
        <f t="shared" si="10"/>
        <v>4353.46</v>
      </c>
      <c r="P109" s="147"/>
      <c r="Q109" s="147">
        <v>6512</v>
      </c>
      <c r="R109" s="783" t="s">
        <v>672</v>
      </c>
      <c r="S109" s="781"/>
      <c r="T109" s="147"/>
      <c r="U109" s="147"/>
      <c r="V109" s="147"/>
      <c r="W109" s="784"/>
      <c r="X109" s="785"/>
      <c r="Y109" s="147"/>
      <c r="AA109" s="5"/>
      <c r="AB109" s="5"/>
      <c r="AC109" s="5"/>
      <c r="AD109" s="5"/>
      <c r="AE109" s="5"/>
      <c r="AF109" s="5"/>
    </row>
    <row r="110" spans="1:32">
      <c r="A110">
        <v>6514</v>
      </c>
      <c r="B110" t="s">
        <v>673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f t="shared" si="10"/>
        <v>0</v>
      </c>
      <c r="P110" s="147"/>
      <c r="Q110" s="147">
        <v>6514</v>
      </c>
      <c r="R110" s="783" t="s">
        <v>673</v>
      </c>
      <c r="S110" s="781"/>
      <c r="T110" s="147"/>
      <c r="U110" s="147"/>
      <c r="V110" s="147"/>
      <c r="W110" s="784"/>
      <c r="X110" s="785"/>
      <c r="Y110" s="147"/>
      <c r="AA110" s="5"/>
      <c r="AB110" s="5"/>
      <c r="AC110" s="5"/>
      <c r="AD110" s="5"/>
      <c r="AE110" s="5"/>
      <c r="AF110" s="5"/>
    </row>
    <row r="111" spans="1:32">
      <c r="A111">
        <v>7110</v>
      </c>
      <c r="B111" t="s">
        <v>674</v>
      </c>
      <c r="C111" s="5">
        <v>-500.57</v>
      </c>
      <c r="D111" s="5">
        <v>-459.99</v>
      </c>
      <c r="E111" s="5">
        <v>-554.39</v>
      </c>
      <c r="F111" s="5">
        <v>-406.56</v>
      </c>
      <c r="G111" s="5">
        <v>-393.92</v>
      </c>
      <c r="H111" s="5">
        <v>-381.21</v>
      </c>
      <c r="I111" s="5">
        <v>-368.45</v>
      </c>
      <c r="J111" s="5">
        <v>-355.63</v>
      </c>
      <c r="K111" s="5">
        <v>-342.75</v>
      </c>
      <c r="L111" s="5">
        <v>-329.8</v>
      </c>
      <c r="M111" s="5">
        <v>-316.8</v>
      </c>
      <c r="N111" s="5"/>
      <c r="O111" s="5">
        <f t="shared" si="10"/>
        <v>-4410.07</v>
      </c>
      <c r="P111" s="147"/>
      <c r="Q111" s="147">
        <v>7110</v>
      </c>
      <c r="R111" s="783" t="s">
        <v>674</v>
      </c>
      <c r="S111" s="781"/>
      <c r="T111" s="147"/>
      <c r="U111" s="147"/>
      <c r="V111" s="147"/>
      <c r="W111" s="784"/>
      <c r="X111" s="785"/>
      <c r="Y111" s="147"/>
      <c r="AA111" s="5"/>
      <c r="AB111" s="5"/>
      <c r="AC111" s="5"/>
      <c r="AD111" s="5"/>
      <c r="AE111" s="5"/>
      <c r="AF111" s="5"/>
    </row>
    <row r="112" spans="1:32" ht="13.5" thickBot="1">
      <c r="A112">
        <v>6120</v>
      </c>
      <c r="B112" t="s">
        <v>675</v>
      </c>
      <c r="C112" s="6"/>
      <c r="D112" s="6"/>
      <c r="E112" s="6"/>
      <c r="F112" s="6"/>
      <c r="G112" s="6"/>
      <c r="H112" s="6">
        <v>9353.25</v>
      </c>
      <c r="I112" s="6"/>
      <c r="J112" s="6"/>
      <c r="K112" s="6"/>
      <c r="L112" s="6"/>
      <c r="M112" s="6"/>
      <c r="N112" s="6"/>
      <c r="O112" s="6">
        <f>SUM(C112:N112)</f>
        <v>9353.25</v>
      </c>
      <c r="P112" s="147"/>
      <c r="Q112" s="147">
        <v>6120</v>
      </c>
      <c r="R112" s="783" t="s">
        <v>675</v>
      </c>
      <c r="S112" s="781"/>
      <c r="T112" s="147"/>
      <c r="U112" s="147"/>
      <c r="V112" s="147"/>
      <c r="W112" s="784"/>
      <c r="X112" s="785"/>
      <c r="Y112" s="147"/>
      <c r="AA112" s="5"/>
      <c r="AB112" s="5"/>
      <c r="AC112" s="5"/>
      <c r="AD112" s="5"/>
      <c r="AE112" s="5"/>
      <c r="AF112" s="5"/>
    </row>
    <row r="113" spans="2:3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147"/>
      <c r="Q113" s="147"/>
      <c r="R113" s="783"/>
      <c r="S113" s="781"/>
      <c r="T113" s="147"/>
      <c r="U113" s="147"/>
      <c r="V113" s="147"/>
      <c r="W113" s="784"/>
      <c r="X113" s="785"/>
      <c r="Y113" s="147"/>
      <c r="AA113" s="5"/>
      <c r="AB113" s="5"/>
      <c r="AC113" s="5"/>
      <c r="AD113" s="5"/>
      <c r="AE113" s="5"/>
      <c r="AF113" s="5"/>
    </row>
    <row r="114" spans="2:32" ht="13.5" thickBot="1">
      <c r="B114" t="s">
        <v>676</v>
      </c>
      <c r="C114" s="6">
        <f t="shared" ref="C114:H114" si="11">SUM(C106:C112)</f>
        <v>-442.53</v>
      </c>
      <c r="D114" s="6">
        <f t="shared" si="11"/>
        <v>-398.68</v>
      </c>
      <c r="E114" s="6">
        <f t="shared" si="11"/>
        <v>49.779999999999973</v>
      </c>
      <c r="F114" s="6">
        <f t="shared" si="11"/>
        <v>0.87999999999999545</v>
      </c>
      <c r="G114" s="6">
        <f t="shared" si="11"/>
        <v>-334.28000000000003</v>
      </c>
      <c r="H114" s="6">
        <f t="shared" si="11"/>
        <v>7497.08</v>
      </c>
      <c r="I114" s="6">
        <f t="shared" ref="I114:N114" si="12">SUM(I106:I112)</f>
        <v>-306.95</v>
      </c>
      <c r="J114" s="6">
        <f t="shared" si="12"/>
        <v>-297.78999999999996</v>
      </c>
      <c r="K114" s="6">
        <f t="shared" si="12"/>
        <v>119.64999999999998</v>
      </c>
      <c r="L114" s="6">
        <f t="shared" si="12"/>
        <v>-104.28</v>
      </c>
      <c r="M114" s="6">
        <f t="shared" si="12"/>
        <v>-69.100000000000023</v>
      </c>
      <c r="N114" s="6">
        <f t="shared" si="12"/>
        <v>145.86000000000001</v>
      </c>
      <c r="O114" s="6">
        <f>SUM(O106:O112)</f>
        <v>5859.64</v>
      </c>
      <c r="P114" s="147"/>
      <c r="Q114" s="147"/>
      <c r="R114" s="783" t="s">
        <v>676</v>
      </c>
      <c r="S114" s="781"/>
      <c r="T114" s="147"/>
      <c r="U114" s="147"/>
      <c r="V114" s="147"/>
      <c r="W114" s="784"/>
      <c r="X114" s="785"/>
      <c r="Y114" s="147"/>
      <c r="AA114" s="5"/>
      <c r="AB114" s="5"/>
      <c r="AC114" s="5"/>
      <c r="AD114" s="5"/>
      <c r="AE114" s="5"/>
      <c r="AF114" s="5"/>
    </row>
    <row r="115" spans="2:3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47"/>
      <c r="Q115" s="147"/>
      <c r="R115" s="783"/>
      <c r="S115" s="781"/>
      <c r="T115" s="147"/>
      <c r="U115" s="147"/>
      <c r="V115" s="147"/>
      <c r="W115" s="784"/>
      <c r="X115" s="785"/>
      <c r="Y115" s="147"/>
      <c r="AA115" s="5"/>
      <c r="AB115" s="5"/>
      <c r="AC115" s="5"/>
      <c r="AD115" s="5"/>
      <c r="AE115" s="5"/>
      <c r="AF115" s="5"/>
    </row>
    <row r="116" spans="2:32" ht="13.5" thickBot="1">
      <c r="B116" t="s">
        <v>677</v>
      </c>
      <c r="C116" s="6">
        <f t="shared" ref="C116:H116" si="13">+C103+C114</f>
        <v>164546.69699999996</v>
      </c>
      <c r="D116" s="6">
        <f t="shared" si="13"/>
        <v>69947.63</v>
      </c>
      <c r="E116" s="6">
        <f t="shared" si="13"/>
        <v>47104.049999999959</v>
      </c>
      <c r="F116" s="6">
        <f t="shared" si="13"/>
        <v>89028.920000000013</v>
      </c>
      <c r="G116" s="6">
        <f t="shared" si="13"/>
        <v>89055.130000000034</v>
      </c>
      <c r="H116" s="6">
        <f t="shared" si="13"/>
        <v>-247545.12999999992</v>
      </c>
      <c r="I116" s="6">
        <f t="shared" ref="I116:N116" si="14">+I103+I114</f>
        <v>41866.979999999967</v>
      </c>
      <c r="J116" s="6">
        <f t="shared" si="14"/>
        <v>31855.139999999992</v>
      </c>
      <c r="K116" s="6">
        <f t="shared" si="14"/>
        <v>-137.18000000001632</v>
      </c>
      <c r="L116" s="6">
        <f t="shared" si="14"/>
        <v>24916.459999999963</v>
      </c>
      <c r="M116" s="6">
        <f t="shared" si="14"/>
        <v>50657.739999999882</v>
      </c>
      <c r="N116" s="6">
        <f t="shared" si="14"/>
        <v>55010.159999999931</v>
      </c>
      <c r="O116" s="6">
        <f>+O103+O114</f>
        <v>416306.59700000042</v>
      </c>
      <c r="P116" s="147"/>
      <c r="Q116" s="147"/>
      <c r="R116" s="783" t="s">
        <v>677</v>
      </c>
      <c r="S116" s="781"/>
      <c r="T116" s="147"/>
      <c r="U116" s="147"/>
      <c r="V116" s="147"/>
      <c r="W116" s="784"/>
      <c r="X116" s="785"/>
      <c r="Y116" s="147"/>
      <c r="AA116" s="5"/>
      <c r="AB116" s="5"/>
      <c r="AC116" s="5"/>
      <c r="AD116" s="5"/>
      <c r="AE116" s="5"/>
      <c r="AF116" s="5"/>
    </row>
    <row r="117" spans="2:32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47"/>
      <c r="Q117" s="147"/>
      <c r="R117" s="783"/>
      <c r="S117" s="781"/>
      <c r="T117" s="147"/>
      <c r="U117" s="147"/>
      <c r="V117" s="147"/>
      <c r="W117" s="784"/>
      <c r="X117" s="785"/>
      <c r="Y117" s="147"/>
      <c r="AA117" s="5"/>
      <c r="AB117" s="5"/>
      <c r="AC117" s="5"/>
      <c r="AD117" s="5"/>
      <c r="AE117" s="5"/>
      <c r="AF117" s="5"/>
    </row>
    <row r="118" spans="2:32" ht="13.5" thickBot="1">
      <c r="B118" t="s">
        <v>678</v>
      </c>
      <c r="C118" s="7">
        <f t="shared" ref="C118:H118" si="15">+C116</f>
        <v>164546.69699999996</v>
      </c>
      <c r="D118" s="7">
        <f t="shared" si="15"/>
        <v>69947.63</v>
      </c>
      <c r="E118" s="7">
        <f t="shared" si="15"/>
        <v>47104.049999999959</v>
      </c>
      <c r="F118" s="7">
        <f t="shared" si="15"/>
        <v>89028.920000000013</v>
      </c>
      <c r="G118" s="7">
        <f t="shared" si="15"/>
        <v>89055.130000000034</v>
      </c>
      <c r="H118" s="7">
        <f t="shared" si="15"/>
        <v>-247545.12999999992</v>
      </c>
      <c r="I118" s="7">
        <f t="shared" ref="I118:N118" si="16">+I116</f>
        <v>41866.979999999967</v>
      </c>
      <c r="J118" s="7">
        <f t="shared" si="16"/>
        <v>31855.139999999992</v>
      </c>
      <c r="K118" s="7">
        <f t="shared" si="16"/>
        <v>-137.18000000001632</v>
      </c>
      <c r="L118" s="7">
        <f t="shared" si="16"/>
        <v>24916.459999999963</v>
      </c>
      <c r="M118" s="7">
        <f t="shared" si="16"/>
        <v>50657.739999999882</v>
      </c>
      <c r="N118" s="7">
        <f t="shared" si="16"/>
        <v>55010.159999999931</v>
      </c>
      <c r="O118" s="7">
        <f>+O116</f>
        <v>416306.59700000042</v>
      </c>
      <c r="P118" s="147"/>
      <c r="Q118" s="147"/>
      <c r="R118" s="783" t="s">
        <v>678</v>
      </c>
      <c r="S118" s="781"/>
      <c r="T118" s="147"/>
      <c r="U118" s="147"/>
      <c r="V118" s="147"/>
      <c r="W118" s="784"/>
      <c r="X118" s="785"/>
      <c r="Y118" s="147"/>
      <c r="AA118" s="5"/>
      <c r="AB118" s="5"/>
      <c r="AC118" s="5"/>
      <c r="AD118" s="5"/>
      <c r="AE118" s="5"/>
      <c r="AF118" s="5"/>
    </row>
    <row r="119" spans="2:32" ht="13.5" thickTop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47"/>
      <c r="Q119" s="147"/>
      <c r="R119" s="783"/>
      <c r="S119" s="781"/>
      <c r="T119" s="147"/>
      <c r="U119" s="147"/>
      <c r="V119" s="147"/>
      <c r="W119" s="147"/>
      <c r="X119" s="147"/>
      <c r="Y119" s="147"/>
      <c r="AA119" s="5"/>
      <c r="AB119" s="5"/>
      <c r="AC119" s="5"/>
      <c r="AD119" s="5"/>
      <c r="AE119" s="5"/>
      <c r="AF119" s="5"/>
    </row>
    <row r="120" spans="2:32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47"/>
      <c r="Q120" s="147"/>
      <c r="R120" s="783"/>
      <c r="S120" s="781"/>
      <c r="T120" s="147"/>
      <c r="U120" s="147"/>
      <c r="V120" s="147"/>
      <c r="W120" s="147"/>
      <c r="X120" s="147"/>
      <c r="Y120" s="147"/>
      <c r="AA120" s="5"/>
      <c r="AB120" s="5"/>
      <c r="AC120" s="5"/>
      <c r="AD120" s="5"/>
      <c r="AE120" s="5"/>
      <c r="AF120" s="5"/>
    </row>
    <row r="121" spans="2:32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47"/>
      <c r="Q121" s="147"/>
      <c r="R121" s="783"/>
      <c r="S121" s="781"/>
      <c r="T121" s="147"/>
      <c r="U121" s="147"/>
      <c r="V121" s="147"/>
      <c r="W121" s="147"/>
      <c r="X121" s="147"/>
      <c r="Y121" s="147"/>
      <c r="AA121" s="5"/>
      <c r="AB121" s="5"/>
      <c r="AC121" s="5"/>
      <c r="AD121" s="5"/>
      <c r="AE121" s="5"/>
      <c r="AF121" s="5"/>
    </row>
    <row r="122" spans="2:32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47"/>
      <c r="Q122" s="147"/>
      <c r="R122" s="783"/>
      <c r="S122" s="781"/>
      <c r="T122" s="147"/>
      <c r="U122" s="147"/>
      <c r="V122" s="147"/>
      <c r="W122" s="147"/>
      <c r="X122" s="147"/>
      <c r="Y122" s="147"/>
      <c r="AA122" s="5"/>
      <c r="AB122" s="5"/>
      <c r="AC122" s="5"/>
      <c r="AD122" s="5"/>
      <c r="AE122" s="5"/>
      <c r="AF122" s="5"/>
    </row>
    <row r="123" spans="2:32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47"/>
      <c r="Q123" s="147"/>
      <c r="R123" s="783"/>
      <c r="S123" s="781"/>
      <c r="T123" s="147"/>
      <c r="U123" s="147"/>
      <c r="V123" s="147"/>
      <c r="W123" s="147"/>
      <c r="X123" s="147"/>
      <c r="Y123" s="147"/>
      <c r="AA123" s="5"/>
      <c r="AB123" s="5"/>
      <c r="AC123" s="5"/>
      <c r="AD123" s="5"/>
      <c r="AE123" s="5"/>
      <c r="AF123" s="5"/>
    </row>
    <row r="124" spans="2:32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7"/>
      <c r="Q124" s="147"/>
      <c r="R124" s="783"/>
      <c r="S124" s="781"/>
      <c r="T124" s="147"/>
      <c r="U124" s="147"/>
      <c r="V124" s="147"/>
      <c r="W124" s="147"/>
      <c r="X124" s="147"/>
      <c r="Y124" s="147"/>
      <c r="AA124" s="5"/>
      <c r="AB124" s="5"/>
      <c r="AC124" s="5"/>
      <c r="AD124" s="5"/>
      <c r="AE124" s="5"/>
      <c r="AF124" s="5"/>
    </row>
    <row r="125" spans="2:32">
      <c r="I125" s="5"/>
      <c r="J125" s="5"/>
      <c r="K125" s="5"/>
      <c r="L125" s="5"/>
      <c r="M125" s="5"/>
      <c r="N125" s="5"/>
      <c r="O125" s="5"/>
      <c r="P125" s="147"/>
      <c r="Q125" s="147"/>
      <c r="R125" s="783"/>
      <c r="S125" s="781"/>
      <c r="T125" s="147"/>
      <c r="U125" s="147"/>
      <c r="V125" s="147"/>
      <c r="W125" s="147"/>
      <c r="X125" s="147"/>
      <c r="Y125" s="147"/>
    </row>
    <row r="126" spans="2:32">
      <c r="I126" s="5"/>
      <c r="J126" s="5"/>
      <c r="K126" s="5"/>
      <c r="L126" s="5"/>
      <c r="M126" s="5"/>
      <c r="N126" s="5"/>
      <c r="O126" s="5"/>
      <c r="P126" s="147"/>
      <c r="Q126" s="147"/>
      <c r="R126" s="783"/>
      <c r="S126" s="781"/>
      <c r="T126" s="147"/>
      <c r="U126" s="147"/>
      <c r="V126" s="147"/>
      <c r="W126" s="147"/>
      <c r="X126" s="147"/>
      <c r="Y126" s="147"/>
    </row>
    <row r="127" spans="2:32">
      <c r="I127" s="5"/>
      <c r="J127" s="5"/>
      <c r="K127" s="5"/>
      <c r="L127" s="5"/>
      <c r="M127" s="5"/>
      <c r="N127" s="5"/>
      <c r="O127" s="5"/>
      <c r="P127" s="147"/>
      <c r="Q127" s="147"/>
      <c r="R127" s="783"/>
      <c r="S127" s="781"/>
      <c r="T127" s="147"/>
      <c r="U127" s="147"/>
      <c r="V127" s="147"/>
      <c r="W127" s="147"/>
      <c r="X127" s="147"/>
      <c r="Y127" s="147"/>
    </row>
    <row r="128" spans="2:32">
      <c r="I128" s="5"/>
      <c r="J128" s="5"/>
      <c r="K128" s="5"/>
      <c r="L128" s="5"/>
      <c r="M128" s="5"/>
      <c r="N128" s="5"/>
      <c r="O128" s="5"/>
      <c r="P128" s="147"/>
      <c r="Q128" s="147"/>
      <c r="R128" s="147"/>
      <c r="S128" s="781"/>
      <c r="T128" s="147"/>
      <c r="U128" s="147"/>
      <c r="V128" s="147"/>
      <c r="W128" s="147"/>
      <c r="X128" s="147"/>
      <c r="Y128" s="147"/>
    </row>
    <row r="129" spans="3:1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3:1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3:1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3:1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3:1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3:1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</sheetData>
  <phoneticPr fontId="0" type="noConversion"/>
  <pageMargins left="0.23" right="0.59" top="0.49" bottom="0.5" header="0.49" footer="0.5"/>
  <pageSetup scale="4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U115"/>
  <sheetViews>
    <sheetView workbookViewId="0">
      <selection activeCell="P102" sqref="P102"/>
    </sheetView>
  </sheetViews>
  <sheetFormatPr defaultRowHeight="12.75"/>
  <cols>
    <col min="1" max="1" width="5.28515625" customWidth="1"/>
    <col min="2" max="2" width="27.42578125" customWidth="1"/>
    <col min="3" max="3" width="14.42578125" customWidth="1"/>
    <col min="4" max="4" width="4.85546875" customWidth="1"/>
    <col min="5" max="5" width="13.28515625" customWidth="1"/>
    <col min="6" max="6" width="14.140625" customWidth="1"/>
    <col min="7" max="7" width="5.42578125" customWidth="1"/>
    <col min="8" max="8" width="11.140625" customWidth="1"/>
    <col min="9" max="9" width="8.5703125" customWidth="1"/>
    <col min="10" max="10" width="14.28515625" customWidth="1"/>
    <col min="11" max="13" width="13" customWidth="1"/>
    <col min="14" max="14" width="14.28515625" customWidth="1"/>
    <col min="15" max="15" width="11.28515625" customWidth="1"/>
    <col min="16" max="16" width="13" customWidth="1"/>
    <col min="19" max="20" width="10.42578125" customWidth="1"/>
    <col min="21" max="21" width="10.7109375" customWidth="1"/>
  </cols>
  <sheetData>
    <row r="1" spans="1:21">
      <c r="A1" t="s">
        <v>4</v>
      </c>
    </row>
    <row r="3" spans="1:21">
      <c r="A3" t="s">
        <v>679</v>
      </c>
      <c r="C3" s="459" t="s">
        <v>11</v>
      </c>
      <c r="D3" s="459" t="s">
        <v>12</v>
      </c>
    </row>
    <row r="4" spans="1:21">
      <c r="O4">
        <f ca="1">+O21/(N21-N15)</f>
        <v>5.0084641994521333E-2</v>
      </c>
    </row>
    <row r="5" spans="1:21">
      <c r="A5" s="480" t="s">
        <v>1417</v>
      </c>
      <c r="N5" s="84" t="s">
        <v>116</v>
      </c>
    </row>
    <row r="6" spans="1:21">
      <c r="A6" s="1"/>
      <c r="I6" s="530" t="s">
        <v>216</v>
      </c>
      <c r="L6" s="530" t="s">
        <v>216</v>
      </c>
      <c r="M6" s="530" t="s">
        <v>216</v>
      </c>
      <c r="N6" s="84" t="s">
        <v>680</v>
      </c>
      <c r="O6" s="530" t="s">
        <v>681</v>
      </c>
      <c r="P6" s="530" t="s">
        <v>682</v>
      </c>
    </row>
    <row r="7" spans="1:21">
      <c r="C7" s="530" t="s">
        <v>217</v>
      </c>
      <c r="E7" s="530" t="s">
        <v>218</v>
      </c>
      <c r="F7" s="530" t="s">
        <v>217</v>
      </c>
      <c r="H7" s="530" t="s">
        <v>116</v>
      </c>
      <c r="I7" s="462" t="s">
        <v>683</v>
      </c>
      <c r="J7" s="530" t="s">
        <v>116</v>
      </c>
      <c r="K7" s="530" t="s">
        <v>219</v>
      </c>
      <c r="L7" s="462" t="s">
        <v>220</v>
      </c>
      <c r="M7" s="462" t="s">
        <v>221</v>
      </c>
      <c r="N7" s="535" t="s">
        <v>684</v>
      </c>
      <c r="O7" s="530" t="s">
        <v>18</v>
      </c>
      <c r="P7" s="530" t="s">
        <v>685</v>
      </c>
    </row>
    <row r="8" spans="1:21" ht="13.5" thickBot="1">
      <c r="C8" s="481">
        <v>45473</v>
      </c>
      <c r="D8" s="8"/>
      <c r="E8" s="3" t="s">
        <v>225</v>
      </c>
      <c r="F8" s="3" t="s">
        <v>226</v>
      </c>
      <c r="G8" s="8"/>
      <c r="H8" s="8" t="s">
        <v>227</v>
      </c>
      <c r="I8" s="536" t="s">
        <v>686</v>
      </c>
      <c r="J8" s="3" t="s">
        <v>228</v>
      </c>
      <c r="K8" s="3" t="s">
        <v>229</v>
      </c>
      <c r="L8" s="536" t="s">
        <v>16</v>
      </c>
      <c r="M8" s="536" t="s">
        <v>16</v>
      </c>
      <c r="N8" s="85" t="s">
        <v>229</v>
      </c>
      <c r="O8" s="3" t="s">
        <v>26</v>
      </c>
      <c r="P8" s="3" t="s">
        <v>26</v>
      </c>
      <c r="S8" s="15" t="s">
        <v>1467</v>
      </c>
    </row>
    <row r="9" spans="1:21" ht="13.5" thickTop="1">
      <c r="N9" s="86"/>
    </row>
    <row r="10" spans="1:21">
      <c r="A10" t="s">
        <v>230</v>
      </c>
      <c r="N10" s="86"/>
    </row>
    <row r="11" spans="1:21">
      <c r="A11">
        <v>3100</v>
      </c>
      <c r="B11" t="s">
        <v>231</v>
      </c>
      <c r="C11" s="81">
        <f>+'Monthy Income Statements'!O10</f>
        <v>2122236.2999999998</v>
      </c>
      <c r="E11" s="81"/>
      <c r="F11" s="81">
        <f t="shared" ref="F11:F19" si="0">+C11+E11</f>
        <v>2122236.2999999998</v>
      </c>
      <c r="G11">
        <v>9</v>
      </c>
      <c r="H11" s="81">
        <f>+'Proforma AJEs'!H54</f>
        <v>0</v>
      </c>
      <c r="J11" s="81">
        <f t="shared" ref="J11:J19" si="1">+F11+H11+I11</f>
        <v>2122236.2999999998</v>
      </c>
      <c r="K11" s="81"/>
      <c r="L11" s="81"/>
      <c r="M11" s="81"/>
      <c r="N11" s="87">
        <f>+J11+K11+L11+M11</f>
        <v>2122236.2999999998</v>
      </c>
      <c r="O11" s="81">
        <f ca="1">+SUM(S11:U11)</f>
        <v>111754.79380786374</v>
      </c>
      <c r="P11" s="81">
        <f t="shared" ref="P11:P19" ca="1" si="2">+N11+O11</f>
        <v>2233991.0938078635</v>
      </c>
      <c r="S11" s="5">
        <f ca="1">IF('Results of Operations Regulated'!$E$1=0,0,'Results of Operations Regulated'!$E$11)</f>
        <v>111754.79380786374</v>
      </c>
      <c r="T11" s="5">
        <f>IF('Results of Operations Regulated'!$H$1=0,0,'Results of Operations Regulated'!$H$11)</f>
        <v>0</v>
      </c>
      <c r="U11" s="5">
        <f>IF('Results of Operations Regulated'!$K$1=0,0,'Results of Operations Regulated'!$K$11)</f>
        <v>0</v>
      </c>
    </row>
    <row r="12" spans="1:21">
      <c r="A12">
        <v>3112</v>
      </c>
      <c r="B12" t="s">
        <v>232</v>
      </c>
      <c r="C12" s="81">
        <f>+'Monthy Income Statements'!O11</f>
        <v>310699.99999999994</v>
      </c>
      <c r="E12" s="81"/>
      <c r="F12" s="81">
        <f t="shared" si="0"/>
        <v>310699.99999999994</v>
      </c>
      <c r="G12">
        <v>6</v>
      </c>
      <c r="H12" s="81">
        <f>+'Proforma AJEs'!H38</f>
        <v>3954.1942500000005</v>
      </c>
      <c r="J12" s="81">
        <f t="shared" si="1"/>
        <v>314654.19424999994</v>
      </c>
      <c r="K12" s="81">
        <f>-'Cost Allocations-Contracts'!I13</f>
        <v>-314654.19424999994</v>
      </c>
      <c r="L12" s="81"/>
      <c r="M12" s="81"/>
      <c r="N12" s="87">
        <f t="shared" ref="N12:N18" si="3">+J12+K12+L12+M12</f>
        <v>0</v>
      </c>
      <c r="O12" s="81"/>
      <c r="P12" s="81">
        <f t="shared" si="2"/>
        <v>0</v>
      </c>
    </row>
    <row r="13" spans="1:21">
      <c r="A13">
        <v>3114</v>
      </c>
      <c r="B13" t="s">
        <v>233</v>
      </c>
      <c r="C13" s="81">
        <f>+'Monthy Income Statements'!O12</f>
        <v>115021.26999999999</v>
      </c>
      <c r="E13" s="81"/>
      <c r="F13" s="81">
        <f t="shared" si="0"/>
        <v>115021.26999999999</v>
      </c>
      <c r="G13">
        <v>6</v>
      </c>
      <c r="H13" s="81">
        <f>+'Proforma AJEs'!H39</f>
        <v>0</v>
      </c>
      <c r="J13" s="81">
        <f t="shared" si="1"/>
        <v>115021.26999999999</v>
      </c>
      <c r="K13" s="81">
        <f>-'Cost Allocations-Contracts'!L14</f>
        <v>-115021.26999999999</v>
      </c>
      <c r="L13" s="81"/>
      <c r="M13" s="81"/>
      <c r="N13" s="87">
        <f t="shared" si="3"/>
        <v>0</v>
      </c>
      <c r="O13" s="81"/>
      <c r="P13" s="81">
        <f t="shared" si="2"/>
        <v>0</v>
      </c>
    </row>
    <row r="14" spans="1:21">
      <c r="A14">
        <v>3300</v>
      </c>
      <c r="B14" t="s">
        <v>234</v>
      </c>
      <c r="C14" s="81">
        <f>+'Monthy Income Statements'!O13</f>
        <v>275552.33999999997</v>
      </c>
      <c r="E14" s="81"/>
      <c r="F14" s="81">
        <f t="shared" si="0"/>
        <v>275552.33999999997</v>
      </c>
      <c r="G14">
        <v>9</v>
      </c>
      <c r="H14" s="81">
        <f>+'Proforma AJEs'!H60</f>
        <v>0</v>
      </c>
      <c r="J14" s="81">
        <f t="shared" si="1"/>
        <v>275552.33999999997</v>
      </c>
      <c r="K14" s="81"/>
      <c r="L14" s="81"/>
      <c r="M14" s="81"/>
      <c r="N14" s="87">
        <f t="shared" si="3"/>
        <v>275552.33999999997</v>
      </c>
      <c r="O14" s="81">
        <f ca="1">+SUM(S14:U14)</f>
        <v>8337.5918050664332</v>
      </c>
      <c r="P14" s="81">
        <f t="shared" ca="1" si="2"/>
        <v>283889.93180506642</v>
      </c>
      <c r="S14" s="5">
        <f ca="1">IF('Results of Operations Regulated'!$E$1=0,0,'Results of Operations Regulated'!$E$14)</f>
        <v>8337.5918050664332</v>
      </c>
      <c r="T14" s="5">
        <f>IF('Results of Operations Regulated'!$H$1=0,0,'Results of Operations Regulated'!$H$14)</f>
        <v>0</v>
      </c>
      <c r="U14" s="5">
        <f>IF('Results of Operations Regulated'!$K$1=0,0,'Results of Operations Regulated'!$K$14)</f>
        <v>0</v>
      </c>
    </row>
    <row r="15" spans="1:21">
      <c r="A15">
        <v>3310</v>
      </c>
      <c r="B15" t="s">
        <v>235</v>
      </c>
      <c r="C15" s="81">
        <f>+'Monthy Income Statements'!O14</f>
        <v>462056.2</v>
      </c>
      <c r="D15">
        <v>4</v>
      </c>
      <c r="E15" s="81">
        <f>-'Restating AJEs'!I46</f>
        <v>4481.7399999999325</v>
      </c>
      <c r="F15" s="81">
        <f t="shared" si="0"/>
        <v>466537.93999999994</v>
      </c>
      <c r="H15" s="81"/>
      <c r="J15" s="81">
        <f t="shared" si="1"/>
        <v>466537.93999999994</v>
      </c>
      <c r="K15" s="81"/>
      <c r="L15" s="81"/>
      <c r="M15" s="81"/>
      <c r="N15" s="87">
        <f t="shared" si="3"/>
        <v>466537.93999999994</v>
      </c>
      <c r="O15" s="81"/>
      <c r="P15" s="81">
        <f t="shared" si="2"/>
        <v>466537.93999999994</v>
      </c>
    </row>
    <row r="16" spans="1:21">
      <c r="A16">
        <v>3410</v>
      </c>
      <c r="B16" t="s">
        <v>236</v>
      </c>
      <c r="C16" s="81">
        <f>+'Monthy Income Statements'!O15</f>
        <v>90645.74</v>
      </c>
      <c r="E16" s="81"/>
      <c r="F16" s="81">
        <f t="shared" si="0"/>
        <v>90645.74</v>
      </c>
      <c r="H16" s="81"/>
      <c r="J16" s="81">
        <f t="shared" si="1"/>
        <v>90645.74</v>
      </c>
      <c r="K16" s="81"/>
      <c r="L16" s="81"/>
      <c r="M16" s="81">
        <f>-'Cost Allocations-Recycle'!M17</f>
        <v>-90645.74</v>
      </c>
      <c r="N16" s="87">
        <f t="shared" si="3"/>
        <v>0</v>
      </c>
      <c r="O16" s="81"/>
      <c r="P16" s="81">
        <f t="shared" si="2"/>
        <v>0</v>
      </c>
    </row>
    <row r="17" spans="1:16">
      <c r="A17">
        <v>3450</v>
      </c>
      <c r="B17" t="s">
        <v>237</v>
      </c>
      <c r="C17" s="81">
        <f>+'Monthy Income Statements'!O16</f>
        <v>37242.5</v>
      </c>
      <c r="E17" s="81"/>
      <c r="F17" s="81">
        <f t="shared" si="0"/>
        <v>37242.5</v>
      </c>
      <c r="H17" s="81"/>
      <c r="J17" s="81">
        <f t="shared" si="1"/>
        <v>37242.5</v>
      </c>
      <c r="K17" s="81"/>
      <c r="L17" s="81">
        <f>-'Cost Allocations-Recycle'!J18</f>
        <v>-37242.5</v>
      </c>
      <c r="M17" s="81"/>
      <c r="N17" s="87">
        <f t="shared" si="3"/>
        <v>0</v>
      </c>
      <c r="O17" s="81"/>
      <c r="P17" s="81">
        <f t="shared" si="2"/>
        <v>0</v>
      </c>
    </row>
    <row r="18" spans="1:16">
      <c r="A18">
        <v>3460</v>
      </c>
      <c r="B18" t="s">
        <v>238</v>
      </c>
      <c r="C18" s="81">
        <f>+'Monthy Income Statements'!O17</f>
        <v>0</v>
      </c>
      <c r="E18" s="81"/>
      <c r="F18" s="81">
        <f t="shared" si="0"/>
        <v>0</v>
      </c>
      <c r="H18" s="81"/>
      <c r="J18" s="81">
        <f t="shared" si="1"/>
        <v>0</v>
      </c>
      <c r="K18" s="81"/>
      <c r="L18" s="81"/>
      <c r="M18" s="81"/>
      <c r="N18" s="87">
        <f t="shared" si="3"/>
        <v>0</v>
      </c>
      <c r="O18" s="81"/>
      <c r="P18" s="81">
        <f t="shared" si="2"/>
        <v>0</v>
      </c>
    </row>
    <row r="19" spans="1:16" ht="13.5" thickBot="1">
      <c r="A19">
        <v>3500</v>
      </c>
      <c r="B19" t="s">
        <v>239</v>
      </c>
      <c r="C19" s="82">
        <f>+'Monthy Income Statements'!O18</f>
        <v>0</v>
      </c>
      <c r="D19" s="4"/>
      <c r="E19" s="82"/>
      <c r="F19" s="82">
        <f t="shared" si="0"/>
        <v>0</v>
      </c>
      <c r="G19" s="4"/>
      <c r="H19" s="82"/>
      <c r="I19" s="43">
        <v>0</v>
      </c>
      <c r="J19" s="82">
        <f t="shared" si="1"/>
        <v>0</v>
      </c>
      <c r="K19" s="82"/>
      <c r="L19" s="82"/>
      <c r="M19" s="82"/>
      <c r="N19" s="88">
        <f>+J19+K19+L19+M19</f>
        <v>0</v>
      </c>
      <c r="O19" s="82"/>
      <c r="P19" s="82">
        <f t="shared" si="2"/>
        <v>0</v>
      </c>
    </row>
    <row r="20" spans="1:16">
      <c r="C20" s="81"/>
      <c r="E20" s="81"/>
      <c r="F20" s="81"/>
      <c r="H20" s="81"/>
      <c r="J20" s="81"/>
      <c r="K20" s="81"/>
      <c r="L20" s="81"/>
      <c r="M20" s="81"/>
      <c r="N20" s="87"/>
      <c r="O20" s="81"/>
      <c r="P20" s="81"/>
    </row>
    <row r="21" spans="1:16" ht="13.5" thickBot="1">
      <c r="B21" t="s">
        <v>240</v>
      </c>
      <c r="C21" s="82">
        <f>SUM(C11:C19)</f>
        <v>3413454.35</v>
      </c>
      <c r="D21" s="4"/>
      <c r="E21" s="82">
        <f>SUM(E11:E19)</f>
        <v>4481.7399999999325</v>
      </c>
      <c r="F21" s="82">
        <f>SUM(F11:F19)</f>
        <v>3417936.09</v>
      </c>
      <c r="G21" s="4"/>
      <c r="H21" s="82">
        <f t="shared" ref="H21:P21" si="4">SUM(H11:H19)</f>
        <v>3954.1942500000005</v>
      </c>
      <c r="I21" s="6">
        <f t="shared" si="4"/>
        <v>0</v>
      </c>
      <c r="J21" s="82">
        <f t="shared" si="4"/>
        <v>3421890.2842499996</v>
      </c>
      <c r="K21" s="82">
        <f t="shared" si="4"/>
        <v>-429675.46424999996</v>
      </c>
      <c r="L21" s="82">
        <f t="shared" si="4"/>
        <v>-37242.5</v>
      </c>
      <c r="M21" s="82">
        <f t="shared" si="4"/>
        <v>-90645.74</v>
      </c>
      <c r="N21" s="88">
        <f t="shared" si="4"/>
        <v>2864326.5799999996</v>
      </c>
      <c r="O21" s="82">
        <f t="shared" ca="1" si="4"/>
        <v>120092.38561293017</v>
      </c>
      <c r="P21" s="82">
        <f t="shared" ca="1" si="4"/>
        <v>2984418.9656129298</v>
      </c>
    </row>
    <row r="22" spans="1:16">
      <c r="C22" s="81"/>
      <c r="E22" s="81"/>
      <c r="F22" s="81"/>
      <c r="H22" s="81"/>
      <c r="J22" s="81"/>
      <c r="K22" s="81"/>
      <c r="L22" s="81"/>
      <c r="M22" s="81"/>
      <c r="N22" s="87"/>
      <c r="O22" s="81"/>
      <c r="P22" s="81"/>
    </row>
    <row r="23" spans="1:16">
      <c r="A23" t="s">
        <v>241</v>
      </c>
      <c r="C23" s="81"/>
      <c r="E23" s="81"/>
      <c r="F23" s="81"/>
      <c r="H23" s="81"/>
      <c r="J23" s="81"/>
      <c r="K23" s="81"/>
      <c r="L23" s="81"/>
      <c r="M23" s="81"/>
      <c r="N23" s="87"/>
      <c r="O23" s="81"/>
      <c r="P23" s="81"/>
    </row>
    <row r="24" spans="1:16">
      <c r="A24" t="s">
        <v>242</v>
      </c>
      <c r="C24" s="81"/>
      <c r="E24" s="81"/>
      <c r="F24" s="81"/>
      <c r="H24" s="81"/>
      <c r="J24" s="81"/>
      <c r="K24" s="81"/>
      <c r="L24" s="81"/>
      <c r="M24" s="81"/>
      <c r="N24" s="87"/>
      <c r="O24" s="81"/>
      <c r="P24" s="81"/>
    </row>
    <row r="25" spans="1:16">
      <c r="A25">
        <v>4116</v>
      </c>
      <c r="B25" t="s">
        <v>243</v>
      </c>
      <c r="C25" s="81">
        <f>+'Monthy Income Statements'!O24</f>
        <v>128214.31999999999</v>
      </c>
      <c r="E25" s="81"/>
      <c r="F25" s="81">
        <f t="shared" ref="F25:F38" si="5">+C25+E25</f>
        <v>128214.31999999999</v>
      </c>
      <c r="H25" s="81"/>
      <c r="J25" s="81">
        <f t="shared" ref="J25:J38" si="6">+F25+H25+I25</f>
        <v>128214.31999999999</v>
      </c>
      <c r="K25" s="81">
        <f>-'Cost Allocations-Contracts'!I26-'Cost Allocations-Contracts'!L26</f>
        <v>-16323.261425719425</v>
      </c>
      <c r="L25" s="81">
        <f>-'Cost Allocations-Recycle'!J26</f>
        <v>-3905.5844969602158</v>
      </c>
      <c r="M25" s="81">
        <f>-'Cost Allocations-Recycle'!M26</f>
        <v>0</v>
      </c>
      <c r="N25" s="87">
        <f>+J25+K25+L25+M25</f>
        <v>107985.47407732035</v>
      </c>
      <c r="O25" s="81"/>
      <c r="P25" s="81">
        <f t="shared" ref="P25:P97" si="7">+N25+O25</f>
        <v>107985.47407732035</v>
      </c>
    </row>
    <row r="26" spans="1:16">
      <c r="A26">
        <v>4117</v>
      </c>
      <c r="B26" t="s">
        <v>245</v>
      </c>
      <c r="C26" s="81">
        <f>+'Monthy Income Statements'!O25</f>
        <v>1875.4300000000003</v>
      </c>
      <c r="E26" s="81"/>
      <c r="F26" s="81">
        <f t="shared" si="5"/>
        <v>1875.4300000000003</v>
      </c>
      <c r="H26" s="81"/>
      <c r="J26" s="81">
        <f t="shared" si="6"/>
        <v>1875.4300000000003</v>
      </c>
      <c r="K26" s="81">
        <f>-'Cost Allocations-Contracts'!I27-'Cost Allocations-Contracts'!L27</f>
        <v>0</v>
      </c>
      <c r="L26" s="81">
        <f>-'Cost Allocations-Recycle'!J27</f>
        <v>0</v>
      </c>
      <c r="M26" s="81">
        <f>-'Cost Allocations-Recycle'!M27</f>
        <v>0</v>
      </c>
      <c r="N26" s="87">
        <f t="shared" ref="N26:N92" si="8">+J26+K26+L26+M26</f>
        <v>1875.4300000000003</v>
      </c>
      <c r="O26" s="81"/>
      <c r="P26" s="81">
        <f>+N26+O26</f>
        <v>1875.4300000000003</v>
      </c>
    </row>
    <row r="27" spans="1:16">
      <c r="A27">
        <v>4118</v>
      </c>
      <c r="B27" t="s">
        <v>246</v>
      </c>
      <c r="C27" s="81">
        <f>+'Monthy Income Statements'!O26</f>
        <v>9680.5999999999985</v>
      </c>
      <c r="E27" s="81"/>
      <c r="F27" s="81">
        <f t="shared" si="5"/>
        <v>9680.5999999999985</v>
      </c>
      <c r="H27" s="81"/>
      <c r="J27" s="81">
        <f t="shared" si="6"/>
        <v>9680.5999999999985</v>
      </c>
      <c r="K27" s="81">
        <f>-'Cost Allocations-Contracts'!I28-'Cost Allocations-Contracts'!L28</f>
        <v>-781.21314475873533</v>
      </c>
      <c r="L27" s="81">
        <f>-'Cost Allocations-Recycle'!J28</f>
        <v>0</v>
      </c>
      <c r="M27" s="81">
        <f>-'Cost Allocations-Recycle'!M28</f>
        <v>0</v>
      </c>
      <c r="N27" s="87">
        <f t="shared" si="8"/>
        <v>8899.3868552412641</v>
      </c>
      <c r="O27" s="81"/>
      <c r="P27" s="81">
        <f t="shared" si="7"/>
        <v>8899.3868552412641</v>
      </c>
    </row>
    <row r="28" spans="1:16">
      <c r="A28">
        <v>4120</v>
      </c>
      <c r="B28" t="s">
        <v>247</v>
      </c>
      <c r="C28" s="81">
        <f>+'Monthy Income Statements'!O27</f>
        <v>0</v>
      </c>
      <c r="E28" s="81"/>
      <c r="F28" s="81">
        <f t="shared" si="5"/>
        <v>0</v>
      </c>
      <c r="H28" s="81"/>
      <c r="J28" s="81">
        <f t="shared" si="6"/>
        <v>0</v>
      </c>
      <c r="K28" s="81">
        <f>-'Cost Allocations-Contracts'!I29-'Cost Allocations-Contracts'!L29</f>
        <v>0</v>
      </c>
      <c r="L28" s="81">
        <f>-'Cost Allocations-Recycle'!J29</f>
        <v>0</v>
      </c>
      <c r="M28" s="81">
        <f>-'Cost Allocations-Recycle'!M29</f>
        <v>0</v>
      </c>
      <c r="N28" s="87">
        <f t="shared" si="8"/>
        <v>0</v>
      </c>
      <c r="O28" s="81"/>
      <c r="P28" s="81">
        <f>+N28+O28</f>
        <v>0</v>
      </c>
    </row>
    <row r="29" spans="1:16">
      <c r="A29">
        <v>4122</v>
      </c>
      <c r="B29" t="s">
        <v>248</v>
      </c>
      <c r="C29" s="81">
        <f>+'Monthy Income Statements'!O28</f>
        <v>2463.7900000000004</v>
      </c>
      <c r="E29" s="81"/>
      <c r="F29" s="81">
        <f t="shared" si="5"/>
        <v>2463.7900000000004</v>
      </c>
      <c r="H29" s="81"/>
      <c r="J29" s="81">
        <f t="shared" si="6"/>
        <v>2463.7900000000004</v>
      </c>
      <c r="K29" s="81">
        <f>-'Cost Allocations-Contracts'!I30-'Cost Allocations-Contracts'!L30</f>
        <v>0</v>
      </c>
      <c r="L29" s="81">
        <f>-'Cost Allocations-Recycle'!J30</f>
        <v>0</v>
      </c>
      <c r="M29" s="81">
        <f>-'Cost Allocations-Recycle'!M30</f>
        <v>-2463.7900000000004</v>
      </c>
      <c r="N29" s="87">
        <f t="shared" si="8"/>
        <v>0</v>
      </c>
      <c r="O29" s="81"/>
      <c r="P29" s="81">
        <f>+N29+O29</f>
        <v>0</v>
      </c>
    </row>
    <row r="30" spans="1:16">
      <c r="A30">
        <v>4132</v>
      </c>
      <c r="B30" t="s">
        <v>249</v>
      </c>
      <c r="C30" s="81">
        <f>+'Monthy Income Statements'!O29</f>
        <v>72403.460000000006</v>
      </c>
      <c r="E30" s="81"/>
      <c r="F30" s="81">
        <f t="shared" si="5"/>
        <v>72403.460000000006</v>
      </c>
      <c r="H30" s="81"/>
      <c r="J30" s="81">
        <f t="shared" si="6"/>
        <v>72403.460000000006</v>
      </c>
      <c r="K30" s="81">
        <f>-'Cost Allocations-Contracts'!I31-'Cost Allocations-Contracts'!L31</f>
        <v>-9217.8518414060109</v>
      </c>
      <c r="L30" s="81">
        <f>-'Cost Allocations-Recycle'!J31</f>
        <v>-2205.5089548677493</v>
      </c>
      <c r="M30" s="81">
        <f>-'Cost Allocations-Recycle'!M31</f>
        <v>0</v>
      </c>
      <c r="N30" s="87">
        <f t="shared" si="8"/>
        <v>60980.099203726248</v>
      </c>
      <c r="O30" s="81"/>
      <c r="P30" s="81">
        <f t="shared" si="7"/>
        <v>60980.099203726248</v>
      </c>
    </row>
    <row r="31" spans="1:16">
      <c r="A31">
        <v>4133</v>
      </c>
      <c r="B31" t="s">
        <v>250</v>
      </c>
      <c r="C31" s="81">
        <f>+'Monthy Income Statements'!O30</f>
        <v>13243.509999999998</v>
      </c>
      <c r="E31" s="81"/>
      <c r="F31" s="81">
        <f t="shared" si="5"/>
        <v>13243.509999999998</v>
      </c>
      <c r="H31" s="81"/>
      <c r="J31" s="81">
        <f t="shared" si="6"/>
        <v>13243.509999999998</v>
      </c>
      <c r="K31" s="81">
        <f>-'Cost Allocations-Contracts'!I32-'Cost Allocations-Contracts'!L32</f>
        <v>0</v>
      </c>
      <c r="L31" s="81">
        <f>-'Cost Allocations-Recycle'!J32</f>
        <v>0</v>
      </c>
      <c r="M31" s="81">
        <f>-'Cost Allocations-Recycle'!M32</f>
        <v>0</v>
      </c>
      <c r="N31" s="87">
        <f t="shared" si="8"/>
        <v>13243.509999999998</v>
      </c>
      <c r="O31" s="81"/>
      <c r="P31" s="81">
        <f>+N31+O31</f>
        <v>13243.509999999998</v>
      </c>
    </row>
    <row r="32" spans="1:16">
      <c r="A32">
        <v>4134</v>
      </c>
      <c r="B32" t="s">
        <v>251</v>
      </c>
      <c r="C32" s="81">
        <f>+'Monthy Income Statements'!O31</f>
        <v>13343.75</v>
      </c>
      <c r="E32" s="81"/>
      <c r="F32" s="81">
        <f t="shared" si="5"/>
        <v>13343.75</v>
      </c>
      <c r="H32" s="81"/>
      <c r="J32" s="81">
        <f t="shared" si="6"/>
        <v>13343.75</v>
      </c>
      <c r="K32" s="81">
        <f>-'Cost Allocations-Contracts'!I33-'Cost Allocations-Contracts'!L33</f>
        <v>-1076.8250831946755</v>
      </c>
      <c r="L32" s="81">
        <f>-'Cost Allocations-Recycle'!J33</f>
        <v>0</v>
      </c>
      <c r="M32" s="81">
        <f>-'Cost Allocations-Recycle'!M33</f>
        <v>0</v>
      </c>
      <c r="N32" s="87">
        <f t="shared" si="8"/>
        <v>12266.924916805325</v>
      </c>
      <c r="O32" s="81"/>
      <c r="P32" s="81">
        <f t="shared" si="7"/>
        <v>12266.924916805325</v>
      </c>
    </row>
    <row r="33" spans="1:16">
      <c r="A33">
        <v>4136</v>
      </c>
      <c r="B33" t="s">
        <v>252</v>
      </c>
      <c r="C33" s="81">
        <f>+'Monthy Income Statements'!O32</f>
        <v>37.83</v>
      </c>
      <c r="E33" s="81"/>
      <c r="F33" s="81">
        <f t="shared" si="5"/>
        <v>37.83</v>
      </c>
      <c r="H33" s="81"/>
      <c r="J33" s="81">
        <f t="shared" si="6"/>
        <v>37.83</v>
      </c>
      <c r="K33" s="81">
        <f>-'Cost Allocations-Contracts'!I34-'Cost Allocations-Contracts'!L34</f>
        <v>0</v>
      </c>
      <c r="L33" s="81">
        <f>-'Cost Allocations-Recycle'!J34</f>
        <v>0</v>
      </c>
      <c r="M33" s="81">
        <f>-'Cost Allocations-Recycle'!M34</f>
        <v>0</v>
      </c>
      <c r="N33" s="87">
        <f t="shared" si="8"/>
        <v>37.83</v>
      </c>
      <c r="O33" s="81"/>
      <c r="P33" s="81">
        <f>+N33+O33</f>
        <v>37.83</v>
      </c>
    </row>
    <row r="34" spans="1:16">
      <c r="A34">
        <v>4138</v>
      </c>
      <c r="B34" t="s">
        <v>253</v>
      </c>
      <c r="C34" s="81">
        <f>+'Monthy Income Statements'!O33</f>
        <v>0</v>
      </c>
      <c r="E34" s="81"/>
      <c r="F34" s="81">
        <f t="shared" si="5"/>
        <v>0</v>
      </c>
      <c r="H34" s="81"/>
      <c r="J34" s="81">
        <f t="shared" si="6"/>
        <v>0</v>
      </c>
      <c r="K34" s="81">
        <f>-'Cost Allocations-Contracts'!I35-'Cost Allocations-Contracts'!L35</f>
        <v>0</v>
      </c>
      <c r="L34" s="81">
        <f>-'Cost Allocations-Recycle'!J35</f>
        <v>0</v>
      </c>
      <c r="M34" s="81">
        <f>-'Cost Allocations-Recycle'!M35</f>
        <v>0</v>
      </c>
      <c r="N34" s="87">
        <f t="shared" si="8"/>
        <v>0</v>
      </c>
      <c r="O34" s="81"/>
      <c r="P34" s="81">
        <f>+N34+O34</f>
        <v>0</v>
      </c>
    </row>
    <row r="35" spans="1:16">
      <c r="A35">
        <v>4160</v>
      </c>
      <c r="B35" t="s">
        <v>254</v>
      </c>
      <c r="C35" s="81">
        <f>+'Monthy Income Statements'!O34</f>
        <v>23746.66</v>
      </c>
      <c r="E35" s="81"/>
      <c r="F35" s="81">
        <f t="shared" si="5"/>
        <v>23746.66</v>
      </c>
      <c r="H35" s="81"/>
      <c r="J35" s="81">
        <f t="shared" si="6"/>
        <v>23746.66</v>
      </c>
      <c r="K35" s="81">
        <f>-'Cost Allocations-Contracts'!I36-'Cost Allocations-Contracts'!L36</f>
        <v>-3106.6888303190708</v>
      </c>
      <c r="L35" s="81">
        <f>-'Cost Allocations-Recycle'!J36</f>
        <v>-740.5191601725237</v>
      </c>
      <c r="M35" s="81">
        <f>-'Cost Allocations-Recycle'!M36</f>
        <v>-1747.567023967064</v>
      </c>
      <c r="N35" s="87">
        <f t="shared" si="8"/>
        <v>18151.884985541339</v>
      </c>
      <c r="O35" s="81"/>
      <c r="P35" s="81">
        <f t="shared" si="7"/>
        <v>18151.884985541339</v>
      </c>
    </row>
    <row r="36" spans="1:16">
      <c r="A36">
        <v>4162</v>
      </c>
      <c r="B36" t="s">
        <v>256</v>
      </c>
      <c r="C36" s="81">
        <f>+'Monthy Income Statements'!O35</f>
        <v>0</v>
      </c>
      <c r="E36" s="81"/>
      <c r="F36" s="81">
        <f t="shared" si="5"/>
        <v>0</v>
      </c>
      <c r="H36" s="81"/>
      <c r="J36" s="81">
        <f t="shared" si="6"/>
        <v>0</v>
      </c>
      <c r="K36" s="81">
        <f>-'Cost Allocations-Contracts'!I37-'Cost Allocations-Contracts'!L37</f>
        <v>0</v>
      </c>
      <c r="L36" s="81">
        <f>-'Cost Allocations-Recycle'!J37</f>
        <v>0</v>
      </c>
      <c r="M36" s="81">
        <f>-'Cost Allocations-Recycle'!M37</f>
        <v>0</v>
      </c>
      <c r="N36" s="87">
        <f t="shared" si="8"/>
        <v>0</v>
      </c>
      <c r="O36" s="81"/>
      <c r="P36" s="81">
        <f>+N36+O36</f>
        <v>0</v>
      </c>
    </row>
    <row r="37" spans="1:16">
      <c r="A37">
        <v>4164</v>
      </c>
      <c r="B37" t="s">
        <v>257</v>
      </c>
      <c r="C37" s="81">
        <f>+'Monthy Income Statements'!O36</f>
        <v>0</v>
      </c>
      <c r="E37" s="81"/>
      <c r="F37" s="81">
        <f t="shared" si="5"/>
        <v>0</v>
      </c>
      <c r="H37" s="81"/>
      <c r="J37" s="81">
        <f>+F37+H37+I37</f>
        <v>0</v>
      </c>
      <c r="K37" s="81"/>
      <c r="L37" s="81"/>
      <c r="M37" s="81">
        <f>-'Cost Allocations-Recycle'!M38</f>
        <v>0</v>
      </c>
      <c r="N37" s="87">
        <f>+J37+K37+L37+M37</f>
        <v>0</v>
      </c>
      <c r="O37" s="81"/>
      <c r="P37" s="81">
        <f>+N37+O37</f>
        <v>0</v>
      </c>
    </row>
    <row r="38" spans="1:16">
      <c r="A38">
        <v>4180</v>
      </c>
      <c r="B38" t="s">
        <v>258</v>
      </c>
      <c r="C38" s="81">
        <f>+'Monthy Income Statements'!O37</f>
        <v>15162.140000000001</v>
      </c>
      <c r="E38" s="81"/>
      <c r="F38" s="81">
        <f t="shared" si="5"/>
        <v>15162.140000000001</v>
      </c>
      <c r="H38" s="81"/>
      <c r="J38" s="81">
        <f t="shared" si="6"/>
        <v>15162.140000000001</v>
      </c>
      <c r="K38" s="81">
        <f>-'Cost Allocations-Contracts'!I39-'Cost Allocations-Contracts'!L39</f>
        <v>-1930.3270882172724</v>
      </c>
      <c r="L38" s="81">
        <f>-'Cost Allocations-Recycle'!J39</f>
        <v>-461.85963412464673</v>
      </c>
      <c r="M38" s="81">
        <f>-'Cost Allocations-Recycle'!M39</f>
        <v>0</v>
      </c>
      <c r="N38" s="87">
        <f t="shared" si="8"/>
        <v>12769.953277658082</v>
      </c>
      <c r="O38" s="81"/>
      <c r="P38" s="81">
        <f t="shared" si="7"/>
        <v>12769.953277658082</v>
      </c>
    </row>
    <row r="39" spans="1:16">
      <c r="A39" t="s">
        <v>259</v>
      </c>
      <c r="C39" s="81"/>
      <c r="E39" s="81"/>
      <c r="F39" s="81"/>
      <c r="H39" s="81"/>
      <c r="J39" s="81"/>
      <c r="K39" s="81"/>
      <c r="L39" s="81"/>
      <c r="M39" s="81"/>
      <c r="N39" s="87"/>
      <c r="O39" s="81"/>
      <c r="P39" s="81"/>
    </row>
    <row r="40" spans="1:16">
      <c r="A40">
        <v>4210</v>
      </c>
      <c r="B40" t="s">
        <v>260</v>
      </c>
      <c r="C40" s="81">
        <f>+'Monthy Income Statements'!O39</f>
        <v>0</v>
      </c>
      <c r="E40" s="81"/>
      <c r="F40" s="81">
        <f t="shared" ref="F40:F48" si="9">+C40+E40</f>
        <v>0</v>
      </c>
      <c r="H40" s="81"/>
      <c r="J40" s="81">
        <f t="shared" ref="J40:J49" si="10">+F40+H40+I40</f>
        <v>0</v>
      </c>
      <c r="K40" s="81">
        <f>-'Cost Allocations-Contracts'!I41-'Cost Allocations-Contracts'!L41</f>
        <v>0</v>
      </c>
      <c r="L40" s="81">
        <f>-'Cost Allocations-Recycle'!J41</f>
        <v>0</v>
      </c>
      <c r="M40" s="81">
        <f>-'Cost Allocations-Recycle'!M41</f>
        <v>0</v>
      </c>
      <c r="N40" s="87">
        <f t="shared" si="8"/>
        <v>0</v>
      </c>
      <c r="O40" s="81"/>
      <c r="P40" s="81">
        <f t="shared" si="7"/>
        <v>0</v>
      </c>
    </row>
    <row r="41" spans="1:16">
      <c r="A41">
        <v>4213</v>
      </c>
      <c r="B41" t="s">
        <v>261</v>
      </c>
      <c r="C41" s="81">
        <f>+'Monthy Income Statements'!O40</f>
        <v>356065.02999999997</v>
      </c>
      <c r="E41" s="81"/>
      <c r="F41" s="81">
        <f t="shared" si="9"/>
        <v>356065.02999999997</v>
      </c>
      <c r="G41">
        <v>1</v>
      </c>
      <c r="H41" s="81">
        <f>+'Proforma AJEs'!H10</f>
        <v>18771.219999999972</v>
      </c>
      <c r="J41" s="81">
        <f t="shared" si="10"/>
        <v>374836.24999999994</v>
      </c>
      <c r="K41" s="81">
        <f>-'Cost Allocations-Contracts'!I42-'Cost Allocations-Contracts'!L42</f>
        <v>-47721.269360445251</v>
      </c>
      <c r="L41" s="81">
        <f>-'Cost Allocations-Recycle'!J42</f>
        <v>-8185.3769878282319</v>
      </c>
      <c r="M41" s="81">
        <f>-'Cost Allocations-Recycle'!M42</f>
        <v>0</v>
      </c>
      <c r="N41" s="87">
        <f t="shared" si="8"/>
        <v>318929.60365172644</v>
      </c>
      <c r="O41" s="81"/>
      <c r="P41" s="81">
        <f t="shared" si="7"/>
        <v>318929.60365172644</v>
      </c>
    </row>
    <row r="42" spans="1:16">
      <c r="A42">
        <v>4215</v>
      </c>
      <c r="B42" t="s">
        <v>262</v>
      </c>
      <c r="C42" s="81">
        <f>+'Monthy Income Statements'!O41</f>
        <v>52288.270000000004</v>
      </c>
      <c r="E42" s="81"/>
      <c r="F42" s="81">
        <f t="shared" si="9"/>
        <v>52288.270000000004</v>
      </c>
      <c r="G42">
        <v>1</v>
      </c>
      <c r="H42" s="81">
        <f>+'Proforma AJEs'!H11</f>
        <v>2453.75</v>
      </c>
      <c r="J42" s="81">
        <f t="shared" si="10"/>
        <v>54742.020000000004</v>
      </c>
      <c r="K42" s="81">
        <f>-'Cost Allocations-Contracts'!I43-'Cost Allocations-Contracts'!L43</f>
        <v>0</v>
      </c>
      <c r="L42" s="81">
        <f>-'Cost Allocations-Recycle'!J43</f>
        <v>0</v>
      </c>
      <c r="M42" s="81">
        <f>-'Cost Allocations-Recycle'!M43</f>
        <v>0</v>
      </c>
      <c r="N42" s="87">
        <f t="shared" si="8"/>
        <v>54742.020000000004</v>
      </c>
      <c r="O42" s="81"/>
      <c r="P42" s="81">
        <f t="shared" si="7"/>
        <v>54742.020000000004</v>
      </c>
    </row>
    <row r="43" spans="1:16">
      <c r="A43">
        <v>4217</v>
      </c>
      <c r="B43" t="s">
        <v>264</v>
      </c>
      <c r="C43" s="81">
        <f>+'Monthy Income Statements'!O42</f>
        <v>23495.61</v>
      </c>
      <c r="E43" s="81"/>
      <c r="F43" s="81">
        <f t="shared" si="9"/>
        <v>23495.61</v>
      </c>
      <c r="H43" s="81"/>
      <c r="J43" s="81">
        <f t="shared" si="10"/>
        <v>23495.61</v>
      </c>
      <c r="K43" s="81">
        <f>-'Cost Allocations-Contracts'!I44-'Cost Allocations-Contracts'!L44</f>
        <v>-2991.2804153759707</v>
      </c>
      <c r="L43" s="81">
        <f>-'Cost Allocations-Recycle'!J44</f>
        <v>0</v>
      </c>
      <c r="M43" s="81">
        <f>-'Cost Allocations-Recycle'!M44</f>
        <v>-1389.6997189062911</v>
      </c>
      <c r="N43" s="87">
        <f t="shared" si="8"/>
        <v>19114.629865717739</v>
      </c>
      <c r="O43" s="81"/>
      <c r="P43" s="81">
        <f>+N43+O43</f>
        <v>19114.629865717739</v>
      </c>
    </row>
    <row r="44" spans="1:16">
      <c r="A44">
        <v>4222</v>
      </c>
      <c r="B44" t="s">
        <v>265</v>
      </c>
      <c r="C44" s="81">
        <f>+'Monthy Income Statements'!O43</f>
        <v>9997.2900000000009</v>
      </c>
      <c r="E44" s="81"/>
      <c r="F44" s="81">
        <f>+C44+E44</f>
        <v>9997.2900000000009</v>
      </c>
      <c r="H44" s="81"/>
      <c r="J44" s="81">
        <f t="shared" si="10"/>
        <v>9997.2900000000009</v>
      </c>
      <c r="K44" s="81">
        <f>-'Cost Allocations-Contracts'!I45-'Cost Allocations-Contracts'!L45</f>
        <v>0</v>
      </c>
      <c r="L44" s="81">
        <f>-'Cost Allocations-Recycle'!J45</f>
        <v>0</v>
      </c>
      <c r="M44" s="81">
        <f>-'Cost Allocations-Recycle'!M45</f>
        <v>-9997.2900000000009</v>
      </c>
      <c r="N44" s="87">
        <f t="shared" si="8"/>
        <v>0</v>
      </c>
      <c r="O44" s="81"/>
      <c r="P44" s="81">
        <f>+N44+O44</f>
        <v>0</v>
      </c>
    </row>
    <row r="45" spans="1:16">
      <c r="A45">
        <v>4240</v>
      </c>
      <c r="B45" t="s">
        <v>266</v>
      </c>
      <c r="C45" s="81">
        <f>+'Monthy Income Statements'!O44</f>
        <v>110562</v>
      </c>
      <c r="D45">
        <v>3</v>
      </c>
      <c r="E45" s="81">
        <f>-E46</f>
        <v>0</v>
      </c>
      <c r="F45" s="81">
        <f t="shared" si="9"/>
        <v>110562</v>
      </c>
      <c r="G45">
        <v>10</v>
      </c>
      <c r="H45" s="81">
        <f>+'Proforma AJEs'!H65</f>
        <v>-5895.6658203670859</v>
      </c>
      <c r="J45" s="81">
        <f t="shared" si="10"/>
        <v>104666.33417963292</v>
      </c>
      <c r="K45" s="81">
        <f>-'Cost Allocations-Contracts'!I46-'Cost Allocations-Contracts'!L46</f>
        <v>-13325.312923594345</v>
      </c>
      <c r="L45" s="81">
        <f>-'Cost Allocations-Recycle'!J46</f>
        <v>-3580.2630426561068</v>
      </c>
      <c r="M45" s="81">
        <f>-'Cost Allocations-Recycle'!M46</f>
        <v>0</v>
      </c>
      <c r="N45" s="87">
        <f t="shared" si="8"/>
        <v>87760.758213382462</v>
      </c>
      <c r="O45" s="81"/>
      <c r="P45" s="81">
        <f t="shared" si="7"/>
        <v>87760.758213382462</v>
      </c>
    </row>
    <row r="46" spans="1:16">
      <c r="A46">
        <v>4242</v>
      </c>
      <c r="B46" t="s">
        <v>267</v>
      </c>
      <c r="C46" s="81">
        <f>+'Monthy Income Statements'!O45</f>
        <v>27358.28</v>
      </c>
      <c r="D46">
        <v>3</v>
      </c>
      <c r="E46" s="81">
        <f>+'Restating AJEs'!I38</f>
        <v>0</v>
      </c>
      <c r="F46" s="81">
        <f t="shared" si="9"/>
        <v>27358.28</v>
      </c>
      <c r="G46">
        <v>10</v>
      </c>
      <c r="H46" s="81">
        <f>+'Proforma AJEs'!H67</f>
        <v>-1626.8810080515261</v>
      </c>
      <c r="J46" s="81">
        <f t="shared" si="10"/>
        <v>25731.398991948474</v>
      </c>
      <c r="K46" s="81">
        <f>-'Cost Allocations-Contracts'!I47-'Cost Allocations-Contracts'!L47</f>
        <v>0</v>
      </c>
      <c r="L46" s="81">
        <f>-'Cost Allocations-Recycle'!J47</f>
        <v>0</v>
      </c>
      <c r="M46" s="81">
        <f>-'Cost Allocations-Recycle'!M47</f>
        <v>0</v>
      </c>
      <c r="N46" s="87">
        <f t="shared" si="8"/>
        <v>25731.398991948474</v>
      </c>
      <c r="O46" s="81"/>
      <c r="P46" s="81">
        <f>+N46+O46</f>
        <v>25731.398991948474</v>
      </c>
    </row>
    <row r="47" spans="1:16">
      <c r="A47">
        <v>4244</v>
      </c>
      <c r="B47" t="s">
        <v>268</v>
      </c>
      <c r="C47" s="81">
        <f>+'Monthy Income Statements'!O46</f>
        <v>4247.1930000000002</v>
      </c>
      <c r="E47" s="81"/>
      <c r="F47" s="81">
        <f>+C47+E47</f>
        <v>4247.1930000000002</v>
      </c>
      <c r="H47" s="81"/>
      <c r="J47" s="81">
        <f t="shared" si="10"/>
        <v>4247.1930000000002</v>
      </c>
      <c r="K47" s="81">
        <f>-'Cost Allocations-Contracts'!I48-'Cost Allocations-Contracts'!L48</f>
        <v>0</v>
      </c>
      <c r="L47" s="81">
        <f>-'Cost Allocations-Recycle'!J48</f>
        <v>0</v>
      </c>
      <c r="M47" s="81">
        <f>-'Cost Allocations-Recycle'!M48</f>
        <v>-4247.1930000000002</v>
      </c>
      <c r="N47" s="87">
        <f t="shared" si="8"/>
        <v>0</v>
      </c>
      <c r="O47" s="81"/>
      <c r="P47" s="81">
        <f>+N47+O47</f>
        <v>0</v>
      </c>
    </row>
    <row r="48" spans="1:16">
      <c r="A48">
        <v>4280</v>
      </c>
      <c r="B48" t="s">
        <v>269</v>
      </c>
      <c r="C48" s="81">
        <f>+'Monthy Income Statements'!O47</f>
        <v>5111.78</v>
      </c>
      <c r="E48" s="81"/>
      <c r="F48" s="81">
        <f t="shared" si="9"/>
        <v>5111.78</v>
      </c>
      <c r="H48" s="81"/>
      <c r="J48" s="81">
        <f t="shared" si="10"/>
        <v>5111.78</v>
      </c>
      <c r="K48" s="81">
        <f>-'Cost Allocations-Contracts'!I49-'Cost Allocations-Contracts'!L49</f>
        <v>-650.79252684695473</v>
      </c>
      <c r="L48" s="81">
        <f>-'Cost Allocations-Recycle'!J49</f>
        <v>-111.6270008005912</v>
      </c>
      <c r="M48" s="81">
        <f>-'Cost Allocations-Recycle'!M49</f>
        <v>0</v>
      </c>
      <c r="N48" s="87">
        <f t="shared" si="8"/>
        <v>4349.3604723524541</v>
      </c>
      <c r="O48" s="81"/>
      <c r="P48" s="81">
        <f t="shared" si="7"/>
        <v>4349.3604723524541</v>
      </c>
    </row>
    <row r="49" spans="1:16">
      <c r="A49">
        <v>4282</v>
      </c>
      <c r="B49" t="s">
        <v>270</v>
      </c>
      <c r="C49" s="81">
        <f>+'Monthy Income Statements'!O48</f>
        <v>0</v>
      </c>
      <c r="E49" s="81"/>
      <c r="F49" s="81">
        <f>+C49+E49</f>
        <v>0</v>
      </c>
      <c r="H49" s="81"/>
      <c r="J49" s="81">
        <f t="shared" si="10"/>
        <v>0</v>
      </c>
      <c r="K49" s="81">
        <f>-'Cost Allocations-Contracts'!I50-'Cost Allocations-Contracts'!L50</f>
        <v>0</v>
      </c>
      <c r="L49" s="81">
        <f>-'Cost Allocations-Recycle'!J50</f>
        <v>0</v>
      </c>
      <c r="M49" s="81">
        <f>-'Cost Allocations-Recycle'!M50</f>
        <v>0</v>
      </c>
      <c r="N49" s="87">
        <f t="shared" si="8"/>
        <v>0</v>
      </c>
      <c r="O49" s="81"/>
      <c r="P49" s="81">
        <f>+N49+O49</f>
        <v>0</v>
      </c>
    </row>
    <row r="50" spans="1:16">
      <c r="A50" t="s">
        <v>271</v>
      </c>
      <c r="C50" s="81"/>
      <c r="E50" s="81"/>
      <c r="F50" s="81"/>
      <c r="H50" s="81"/>
      <c r="J50" s="81"/>
      <c r="K50" s="81"/>
      <c r="L50" s="81"/>
      <c r="M50" s="81"/>
      <c r="N50" s="87"/>
      <c r="O50" s="81"/>
      <c r="P50" s="81"/>
    </row>
    <row r="51" spans="1:16">
      <c r="A51">
        <v>4360</v>
      </c>
      <c r="B51" t="s">
        <v>272</v>
      </c>
      <c r="C51" s="81">
        <f>+'Monthy Income Statements'!O50</f>
        <v>439151.59</v>
      </c>
      <c r="E51" s="81"/>
      <c r="F51" s="81">
        <f>+C51+E51</f>
        <v>439151.59</v>
      </c>
      <c r="G51">
        <v>8</v>
      </c>
      <c r="H51" s="81">
        <f>+'Proforma AJEs'!H47</f>
        <v>0</v>
      </c>
      <c r="J51" s="81">
        <f>+F51+H51+I51</f>
        <v>439151.59</v>
      </c>
      <c r="K51" s="81">
        <f>-'Cost Allocations-Contracts'!I52-'Cost Allocations-Contracts'!L52</f>
        <v>-395.41832342877723</v>
      </c>
      <c r="L51" s="81">
        <f>-'Cost Allocations-Recycle'!J52</f>
        <v>0</v>
      </c>
      <c r="M51" s="81">
        <f>-'Cost Allocations-Recycle'!M52</f>
        <v>0</v>
      </c>
      <c r="N51" s="87">
        <f t="shared" si="8"/>
        <v>438756.17167657125</v>
      </c>
      <c r="O51" s="81"/>
      <c r="P51" s="81">
        <f t="shared" si="7"/>
        <v>438756.17167657125</v>
      </c>
    </row>
    <row r="52" spans="1:16">
      <c r="A52">
        <v>4361</v>
      </c>
      <c r="B52" t="s">
        <v>273</v>
      </c>
      <c r="C52" s="81">
        <f>+'Monthy Income Statements'!O51</f>
        <v>333898.95999999996</v>
      </c>
      <c r="E52" s="81"/>
      <c r="F52" s="81">
        <f>+C52+E52</f>
        <v>333898.95999999996</v>
      </c>
      <c r="H52" s="81"/>
      <c r="J52" s="81">
        <f>+F52+H52+I52</f>
        <v>333898.95999999996</v>
      </c>
      <c r="K52" s="81">
        <f>-'Cost Allocations-Contracts'!I53-'Cost Allocations-Contracts'!L53</f>
        <v>0</v>
      </c>
      <c r="L52" s="81">
        <f>-'Cost Allocations-Recycle'!J53</f>
        <v>0</v>
      </c>
      <c r="M52" s="81">
        <f>-'Cost Allocations-Recycle'!M53</f>
        <v>0</v>
      </c>
      <c r="N52" s="87">
        <f t="shared" si="8"/>
        <v>333898.95999999996</v>
      </c>
      <c r="O52" s="81"/>
      <c r="P52" s="81">
        <f t="shared" si="7"/>
        <v>333898.95999999996</v>
      </c>
    </row>
    <row r="53" spans="1:16">
      <c r="A53">
        <v>4362</v>
      </c>
      <c r="B53" t="s">
        <v>274</v>
      </c>
      <c r="C53" s="81">
        <f>+'Monthy Income Statements'!O52</f>
        <v>246015.2</v>
      </c>
      <c r="E53" s="81"/>
      <c r="F53" s="81">
        <f>+C53+E53</f>
        <v>246015.2</v>
      </c>
      <c r="G53">
        <v>8</v>
      </c>
      <c r="H53" s="81">
        <f>'Proforma AJEs'!H48</f>
        <v>0</v>
      </c>
      <c r="J53" s="81">
        <f>+F53+H53+I53</f>
        <v>246015.2</v>
      </c>
      <c r="K53" s="81">
        <f>-'Cost Allocations-Contracts'!I54-'Cost Allocations-Contracts'!L54</f>
        <v>-129540.54502254157</v>
      </c>
      <c r="L53" s="81">
        <f>-'Cost Allocations-Recycle'!J54</f>
        <v>0</v>
      </c>
      <c r="M53" s="81">
        <f>-'Cost Allocations-Recycle'!M54</f>
        <v>0</v>
      </c>
      <c r="N53" s="87">
        <f t="shared" si="8"/>
        <v>116474.65497745844</v>
      </c>
      <c r="O53" s="81"/>
      <c r="P53" s="81">
        <f t="shared" si="7"/>
        <v>116474.65497745844</v>
      </c>
    </row>
    <row r="54" spans="1:16">
      <c r="A54">
        <v>4363</v>
      </c>
      <c r="B54" t="s">
        <v>275</v>
      </c>
      <c r="C54" s="81">
        <f>+'Monthy Income Statements'!O53</f>
        <v>132638.97999999998</v>
      </c>
      <c r="E54" s="81"/>
      <c r="F54" s="81">
        <f>+C54+E54</f>
        <v>132638.97999999998</v>
      </c>
      <c r="H54" s="81"/>
      <c r="J54" s="81">
        <f>+F54+H54+I54</f>
        <v>132638.97999999998</v>
      </c>
      <c r="K54" s="81">
        <f>-'Cost Allocations-Contracts'!I55-'Cost Allocations-Contracts'!L55</f>
        <v>0</v>
      </c>
      <c r="L54" s="81">
        <f>-'Cost Allocations-Recycle'!J55</f>
        <v>0</v>
      </c>
      <c r="M54" s="81">
        <f>-'Cost Allocations-Recycle'!M55</f>
        <v>0</v>
      </c>
      <c r="N54" s="87">
        <f t="shared" si="8"/>
        <v>132638.97999999998</v>
      </c>
      <c r="O54" s="81"/>
      <c r="P54" s="81">
        <f t="shared" si="7"/>
        <v>132638.97999999998</v>
      </c>
    </row>
    <row r="55" spans="1:16">
      <c r="A55">
        <v>4380</v>
      </c>
      <c r="B55" t="s">
        <v>276</v>
      </c>
      <c r="C55" s="81">
        <f>+'Monthy Income Statements'!O54</f>
        <v>6214.07</v>
      </c>
      <c r="E55" s="81"/>
      <c r="F55" s="81">
        <f>+C55+E55</f>
        <v>6214.07</v>
      </c>
      <c r="H55" s="81"/>
      <c r="J55" s="81">
        <f>+F55+H55+I55</f>
        <v>6214.07</v>
      </c>
      <c r="K55" s="81">
        <f>-'Cost Allocations-Contracts'!I56-'Cost Allocations-Contracts'!L56</f>
        <v>0</v>
      </c>
      <c r="L55" s="81">
        <f>-'Cost Allocations-Recycle'!J56</f>
        <v>0</v>
      </c>
      <c r="M55" s="81">
        <f>-'Cost Allocations-Recycle'!M56</f>
        <v>-6214.07</v>
      </c>
      <c r="N55" s="87">
        <f t="shared" si="8"/>
        <v>0</v>
      </c>
      <c r="O55" s="81"/>
      <c r="P55" s="81">
        <f>+N55+O55</f>
        <v>0</v>
      </c>
    </row>
    <row r="56" spans="1:16">
      <c r="A56" t="s">
        <v>277</v>
      </c>
      <c r="C56" s="81"/>
      <c r="E56" s="81"/>
      <c r="F56" s="81"/>
      <c r="H56" s="81"/>
      <c r="J56" s="81"/>
      <c r="K56" s="81"/>
      <c r="L56" s="81"/>
      <c r="M56" s="81"/>
      <c r="N56" s="87"/>
      <c r="O56" s="81"/>
      <c r="P56" s="81"/>
    </row>
    <row r="57" spans="1:16">
      <c r="A57">
        <v>4430</v>
      </c>
      <c r="B57" t="s">
        <v>278</v>
      </c>
      <c r="C57" s="81">
        <f>+'Monthy Income Statements'!O56</f>
        <v>0</v>
      </c>
      <c r="E57" s="81"/>
      <c r="F57" s="81">
        <f>+C57+E57</f>
        <v>0</v>
      </c>
      <c r="H57" s="81"/>
      <c r="J57" s="81">
        <f>+F57+H57+I57</f>
        <v>0</v>
      </c>
      <c r="K57" s="81">
        <f>-'Cost Allocations-Contracts'!I58-'Cost Allocations-Contracts'!L58</f>
        <v>0</v>
      </c>
      <c r="L57" s="81">
        <f>-'Cost Allocations-Recycle'!J58</f>
        <v>0</v>
      </c>
      <c r="M57" s="81">
        <f>-'Cost Allocations-Recycle'!M58</f>
        <v>0</v>
      </c>
      <c r="N57" s="87">
        <f t="shared" si="8"/>
        <v>0</v>
      </c>
      <c r="O57" s="81"/>
      <c r="P57" s="81">
        <f t="shared" si="7"/>
        <v>0</v>
      </c>
    </row>
    <row r="58" spans="1:16">
      <c r="A58">
        <v>4450</v>
      </c>
      <c r="B58" t="s">
        <v>279</v>
      </c>
      <c r="C58" s="81">
        <f>+'Monthy Income Statements'!O57</f>
        <v>1995</v>
      </c>
      <c r="E58" s="81"/>
      <c r="F58" s="81">
        <f>+C58+E58</f>
        <v>1995</v>
      </c>
      <c r="G58">
        <v>5</v>
      </c>
      <c r="H58" s="81">
        <f>+'Proforma AJEs'!H33</f>
        <v>0</v>
      </c>
      <c r="J58" s="81">
        <f>+F58+H58+I58</f>
        <v>1995</v>
      </c>
      <c r="K58" s="81">
        <f>-'Cost Allocations-Contracts'!I59-'Cost Allocations-Contracts'!L59</f>
        <v>0</v>
      </c>
      <c r="L58" s="81">
        <f>-'Cost Allocations-Recycle'!J59</f>
        <v>0</v>
      </c>
      <c r="M58" s="81">
        <f>-'Cost Allocations-Recycle'!M59</f>
        <v>0</v>
      </c>
      <c r="N58" s="87">
        <f t="shared" si="8"/>
        <v>1995</v>
      </c>
      <c r="O58" s="81"/>
      <c r="P58" s="81">
        <f t="shared" si="7"/>
        <v>1995</v>
      </c>
    </row>
    <row r="59" spans="1:16">
      <c r="A59" t="s">
        <v>280</v>
      </c>
      <c r="C59" s="81"/>
      <c r="E59" s="81"/>
      <c r="F59" s="81"/>
      <c r="H59" s="81"/>
      <c r="J59" s="81"/>
      <c r="K59" s="81"/>
      <c r="L59" s="81"/>
      <c r="M59" s="81"/>
      <c r="N59" s="87"/>
      <c r="O59" s="81"/>
      <c r="P59" s="81"/>
    </row>
    <row r="60" spans="1:16">
      <c r="A60">
        <v>4530</v>
      </c>
      <c r="B60" t="s">
        <v>281</v>
      </c>
      <c r="C60" s="81">
        <f>+'Monthy Income Statements'!O59</f>
        <v>93303.27</v>
      </c>
      <c r="E60" s="81"/>
      <c r="F60" s="81">
        <f>+C60+E60</f>
        <v>93303.27</v>
      </c>
      <c r="H60" s="81"/>
      <c r="J60" s="81">
        <f>+F60+H60+I60</f>
        <v>93303.27</v>
      </c>
      <c r="K60" s="81">
        <f>-'Cost Allocations-Contracts'!I61-'Cost Allocations-Contracts'!L61</f>
        <v>-11878.65495901304</v>
      </c>
      <c r="L60" s="81">
        <f>-'Cost Allocations-Recycle'!J61</f>
        <v>-2842.1459071630475</v>
      </c>
      <c r="M60" s="81">
        <f>-'Cost Allocations-Recycle'!M61</f>
        <v>0</v>
      </c>
      <c r="N60" s="87">
        <f t="shared" si="8"/>
        <v>78582.469133823906</v>
      </c>
      <c r="O60" s="81"/>
      <c r="P60" s="81">
        <f t="shared" si="7"/>
        <v>78582.469133823906</v>
      </c>
    </row>
    <row r="61" spans="1:16">
      <c r="A61">
        <v>4540</v>
      </c>
      <c r="B61" t="s">
        <v>282</v>
      </c>
      <c r="C61" s="81">
        <f>+'Monthy Income Statements'!O60</f>
        <v>23094.43</v>
      </c>
      <c r="E61" s="81"/>
      <c r="F61" s="81">
        <f>+C61+E61</f>
        <v>23094.43</v>
      </c>
      <c r="G61">
        <v>2</v>
      </c>
      <c r="H61" s="81">
        <f>+'Proforma AJEs'!H19</f>
        <v>1539.6481499999993</v>
      </c>
      <c r="J61" s="81">
        <f>+F61+H61+I61</f>
        <v>24634.078150000001</v>
      </c>
      <c r="K61" s="81">
        <f>-'Cost Allocations-Contracts'!I62-'Cost Allocations-Contracts'!L62</f>
        <v>-3136.2214269361862</v>
      </c>
      <c r="L61" s="81">
        <f>-'Cost Allocations-Recycle'!J62</f>
        <v>-750.38789520192756</v>
      </c>
      <c r="M61" s="81">
        <f>-'Cost Allocations-Recycle'!M62</f>
        <v>0</v>
      </c>
      <c r="N61" s="87">
        <f t="shared" si="8"/>
        <v>20747.468827861889</v>
      </c>
      <c r="O61" s="81"/>
      <c r="P61" s="81">
        <f t="shared" si="7"/>
        <v>20747.468827861889</v>
      </c>
    </row>
    <row r="62" spans="1:16">
      <c r="A62">
        <v>4580</v>
      </c>
      <c r="B62" t="s">
        <v>283</v>
      </c>
      <c r="C62" s="81">
        <f>+'Monthy Income Statements'!O61</f>
        <v>0</v>
      </c>
      <c r="E62" s="81"/>
      <c r="F62" s="81">
        <f>+C62+E62</f>
        <v>0</v>
      </c>
      <c r="H62" s="81"/>
      <c r="J62" s="81">
        <f>+F62+H62+I62</f>
        <v>0</v>
      </c>
      <c r="K62" s="81">
        <f>-'Cost Allocations-Contracts'!I63-'Cost Allocations-Contracts'!L63</f>
        <v>0</v>
      </c>
      <c r="L62" s="81">
        <f>-'Cost Allocations-Recycle'!J63</f>
        <v>0</v>
      </c>
      <c r="M62" s="81">
        <f>-'Cost Allocations-Recycle'!M63</f>
        <v>0</v>
      </c>
      <c r="N62" s="87">
        <f t="shared" si="8"/>
        <v>0</v>
      </c>
      <c r="O62" s="81"/>
      <c r="P62" s="81">
        <f t="shared" si="7"/>
        <v>0</v>
      </c>
    </row>
    <row r="63" spans="1:16">
      <c r="A63" t="s">
        <v>284</v>
      </c>
      <c r="C63" s="81"/>
      <c r="E63" s="81"/>
      <c r="F63" s="81"/>
      <c r="H63" s="81"/>
      <c r="J63" s="81"/>
      <c r="K63" s="81"/>
      <c r="L63" s="81"/>
      <c r="M63" s="81"/>
      <c r="N63" s="87"/>
      <c r="O63" s="81"/>
      <c r="P63" s="81"/>
    </row>
    <row r="64" spans="1:16">
      <c r="A64">
        <v>4611</v>
      </c>
      <c r="B64" t="s">
        <v>285</v>
      </c>
      <c r="C64" s="81">
        <f>+'Monthy Income Statements'!O63</f>
        <v>79872</v>
      </c>
      <c r="E64" s="81"/>
      <c r="F64" s="81">
        <f t="shared" ref="F64:F83" si="11">+C64+E64</f>
        <v>79872</v>
      </c>
      <c r="G64">
        <v>1</v>
      </c>
      <c r="H64" s="81">
        <f>+'Proforma AJEs'!H13</f>
        <v>1536</v>
      </c>
      <c r="J64" s="81">
        <f t="shared" ref="J64:J83" si="12">+F64+H64+I64</f>
        <v>81408</v>
      </c>
      <c r="K64" s="81">
        <f>-'Cost Allocations-Contracts'!I65-'Cost Allocations-Contracts'!L65</f>
        <v>-11470.165131105319</v>
      </c>
      <c r="L64" s="81">
        <f>-'Cost Allocations-Recycle'!J65</f>
        <v>-1634.2102218462414</v>
      </c>
      <c r="M64" s="81">
        <f>-'Cost Allocations-Recycle'!M65</f>
        <v>-4629.3407243836273</v>
      </c>
      <c r="N64" s="87">
        <f t="shared" si="8"/>
        <v>63674.283922664821</v>
      </c>
      <c r="O64" s="81"/>
      <c r="P64" s="81">
        <f t="shared" si="7"/>
        <v>63674.283922664821</v>
      </c>
    </row>
    <row r="65" spans="1:16">
      <c r="A65">
        <v>4612</v>
      </c>
      <c r="B65" t="s">
        <v>286</v>
      </c>
      <c r="C65" s="81">
        <f>+'Monthy Income Statements'!O64</f>
        <v>30856.23</v>
      </c>
      <c r="E65" s="81"/>
      <c r="F65" s="81">
        <f t="shared" si="11"/>
        <v>30856.23</v>
      </c>
      <c r="G65">
        <v>1</v>
      </c>
      <c r="H65" s="81">
        <f>+'Proforma AJEs'!H14</f>
        <v>16631.029999999995</v>
      </c>
      <c r="J65" s="81">
        <f t="shared" si="12"/>
        <v>47487.259999999995</v>
      </c>
      <c r="K65" s="81">
        <f>-'Cost Allocations-Contracts'!I66-'Cost Allocations-Contracts'!L66</f>
        <v>0</v>
      </c>
      <c r="L65" s="81">
        <f>-'Cost Allocations-Recycle'!J66</f>
        <v>-1109.6163592274017</v>
      </c>
      <c r="M65" s="81">
        <f>-'Cost Allocations-Recycle'!M66</f>
        <v>-3143.2872781877691</v>
      </c>
      <c r="N65" s="87">
        <f t="shared" si="8"/>
        <v>43234.356362584826</v>
      </c>
      <c r="O65" s="81"/>
      <c r="P65" s="81">
        <f t="shared" si="7"/>
        <v>43234.356362584826</v>
      </c>
    </row>
    <row r="66" spans="1:16">
      <c r="A66">
        <v>4613</v>
      </c>
      <c r="B66" t="s">
        <v>287</v>
      </c>
      <c r="C66" s="81">
        <f>+'Monthy Income Statements'!O65</f>
        <v>132000</v>
      </c>
      <c r="E66" s="81"/>
      <c r="F66" s="81">
        <f t="shared" si="11"/>
        <v>132000</v>
      </c>
      <c r="G66">
        <v>1</v>
      </c>
      <c r="H66" s="81">
        <f>+'Proforma AJEs'!H15</f>
        <v>0</v>
      </c>
      <c r="J66" s="81">
        <f t="shared" si="12"/>
        <v>132000</v>
      </c>
      <c r="K66" s="81">
        <f>-'Cost Allocations-Contracts'!I67-'Cost Allocations-Contracts'!L67</f>
        <v>-18598.439923667233</v>
      </c>
      <c r="L66" s="81">
        <f>-'Cost Allocations-Recycle'!J67</f>
        <v>-2649.8102064134223</v>
      </c>
      <c r="M66" s="81">
        <f>-'Cost Allocations-Recycle'!M67</f>
        <v>-7506.3012924852446</v>
      </c>
      <c r="N66" s="87">
        <f t="shared" si="8"/>
        <v>103245.44857743409</v>
      </c>
      <c r="O66" s="81"/>
      <c r="P66" s="81">
        <f t="shared" si="7"/>
        <v>103245.44857743409</v>
      </c>
    </row>
    <row r="67" spans="1:16">
      <c r="A67">
        <v>4620</v>
      </c>
      <c r="B67" t="s">
        <v>288</v>
      </c>
      <c r="C67" s="81">
        <f>+'Monthy Income Statements'!O66</f>
        <v>49498.58</v>
      </c>
      <c r="E67" s="81"/>
      <c r="F67" s="81">
        <f t="shared" si="11"/>
        <v>49498.58</v>
      </c>
      <c r="H67" s="81"/>
      <c r="J67" s="81">
        <f t="shared" si="12"/>
        <v>49498.58</v>
      </c>
      <c r="K67" s="81">
        <f>-'Cost Allocations-Contracts'!I68-'Cost Allocations-Contracts'!L68</f>
        <v>-6974.2148972487603</v>
      </c>
      <c r="L67" s="81">
        <f>-'Cost Allocations-Recycle'!J68</f>
        <v>-993.65032187099462</v>
      </c>
      <c r="M67" s="81">
        <f>-'Cost Allocations-Recycle'!M68</f>
        <v>-2814.7822350771535</v>
      </c>
      <c r="N67" s="87">
        <f t="shared" si="8"/>
        <v>38715.932545803094</v>
      </c>
      <c r="O67" s="81"/>
      <c r="P67" s="81">
        <f t="shared" si="7"/>
        <v>38715.932545803094</v>
      </c>
    </row>
    <row r="68" spans="1:16">
      <c r="A68">
        <v>4622</v>
      </c>
      <c r="B68" t="s">
        <v>289</v>
      </c>
      <c r="C68" s="81">
        <f>+'Monthy Income Statements'!O67</f>
        <v>0</v>
      </c>
      <c r="E68" s="81"/>
      <c r="F68" s="81">
        <f t="shared" si="11"/>
        <v>0</v>
      </c>
      <c r="H68" s="81"/>
      <c r="J68" s="81">
        <f t="shared" si="12"/>
        <v>0</v>
      </c>
      <c r="K68" s="81">
        <f>-'Cost Allocations-Contracts'!I69-'Cost Allocations-Contracts'!L69</f>
        <v>0</v>
      </c>
      <c r="L68" s="81">
        <f>-'Cost Allocations-Recycle'!J69</f>
        <v>0</v>
      </c>
      <c r="M68" s="81">
        <f>-'Cost Allocations-Recycle'!M69</f>
        <v>0</v>
      </c>
      <c r="N68" s="87">
        <f t="shared" si="8"/>
        <v>0</v>
      </c>
      <c r="O68" s="81"/>
      <c r="P68" s="81">
        <f t="shared" si="7"/>
        <v>0</v>
      </c>
    </row>
    <row r="69" spans="1:16">
      <c r="A69">
        <v>4624</v>
      </c>
      <c r="B69" t="s">
        <v>290</v>
      </c>
      <c r="C69" s="81">
        <f>+'Monthy Income Statements'!O68</f>
        <v>290.27</v>
      </c>
      <c r="E69" s="81"/>
      <c r="F69" s="81">
        <f t="shared" si="11"/>
        <v>290.27</v>
      </c>
      <c r="H69" s="81"/>
      <c r="J69" s="81">
        <f t="shared" si="12"/>
        <v>290.27</v>
      </c>
      <c r="K69" s="81">
        <f>-'Cost Allocations-Contracts'!I70-'Cost Allocations-Contracts'!L70</f>
        <v>-40.89825118668854</v>
      </c>
      <c r="L69" s="81">
        <f>-'Cost Allocations-Recycle'!J70</f>
        <v>-5.8269727925426062</v>
      </c>
      <c r="M69" s="81">
        <f>-'Cost Allocations-Recycle'!M70</f>
        <v>-16.506470274012816</v>
      </c>
      <c r="N69" s="87">
        <f t="shared" si="8"/>
        <v>227.03830574675601</v>
      </c>
      <c r="O69" s="81"/>
      <c r="P69" s="81">
        <f t="shared" si="7"/>
        <v>227.03830574675601</v>
      </c>
    </row>
    <row r="70" spans="1:16">
      <c r="A70">
        <v>4625</v>
      </c>
      <c r="B70" t="s">
        <v>291</v>
      </c>
      <c r="C70" s="81">
        <f>+'Monthy Income Statements'!O69</f>
        <v>2953.48</v>
      </c>
      <c r="E70" s="81"/>
      <c r="F70" s="81">
        <f t="shared" si="11"/>
        <v>2953.48</v>
      </c>
      <c r="H70" s="81"/>
      <c r="J70" s="81">
        <f t="shared" si="12"/>
        <v>2953.48</v>
      </c>
      <c r="K70" s="81">
        <f>-'Cost Allocations-Contracts'!I71-'Cost Allocations-Contracts'!L71</f>
        <v>-416.13727534661132</v>
      </c>
      <c r="L70" s="81">
        <f>-'Cost Allocations-Recycle'!J71</f>
        <v>-59.289101882105413</v>
      </c>
      <c r="M70" s="81">
        <f>-'Cost Allocations-Recycle'!M71</f>
        <v>-167.9523541009797</v>
      </c>
      <c r="N70" s="87">
        <f t="shared" si="8"/>
        <v>2310.1012686703034</v>
      </c>
      <c r="O70" s="81"/>
      <c r="P70" s="81">
        <f t="shared" si="7"/>
        <v>2310.1012686703034</v>
      </c>
    </row>
    <row r="71" spans="1:16">
      <c r="A71">
        <v>4627</v>
      </c>
      <c r="B71" t="s">
        <v>292</v>
      </c>
      <c r="C71" s="81">
        <f>+'Monthy Income Statements'!O70</f>
        <v>1116.03</v>
      </c>
      <c r="E71" s="81"/>
      <c r="F71" s="81">
        <f t="shared" si="11"/>
        <v>1116.03</v>
      </c>
      <c r="H71" s="81"/>
      <c r="J71" s="81">
        <f t="shared" si="12"/>
        <v>1116.03</v>
      </c>
      <c r="K71" s="81">
        <f>-'Cost Allocations-Contracts'!I72-'Cost Allocations-Contracts'!L72</f>
        <v>-157.24558263644198</v>
      </c>
      <c r="L71" s="81">
        <f>-'Cost Allocations-Recycle'!J72</f>
        <v>-22.403543065633116</v>
      </c>
      <c r="M71" s="81">
        <f>-'Cost Allocations-Recycle'!M72</f>
        <v>-63.464071450396268</v>
      </c>
      <c r="N71" s="87">
        <f t="shared" si="8"/>
        <v>872.91680284752852</v>
      </c>
      <c r="O71" s="81"/>
      <c r="P71" s="81">
        <f t="shared" si="7"/>
        <v>872.91680284752852</v>
      </c>
    </row>
    <row r="72" spans="1:16">
      <c r="A72">
        <v>4628</v>
      </c>
      <c r="B72" t="s">
        <v>293</v>
      </c>
      <c r="C72" s="81">
        <f>+'Monthy Income Statements'!O71</f>
        <v>25526.959999999999</v>
      </c>
      <c r="E72" s="81"/>
      <c r="F72" s="81">
        <f>+C72+E72</f>
        <v>25526.959999999999</v>
      </c>
      <c r="H72" s="81"/>
      <c r="J72" s="81">
        <f>+F72+H72+I72</f>
        <v>25526.959999999999</v>
      </c>
      <c r="K72" s="81">
        <f>-'Cost Allocations-Contracts'!I73-'Cost Allocations-Contracts'!L73</f>
        <v>0</v>
      </c>
      <c r="L72" s="81">
        <f>-'Cost Allocations-Recycle'!J73</f>
        <v>-596.47855903548691</v>
      </c>
      <c r="M72" s="81">
        <f>-'Cost Allocations-Recycle'!M73</f>
        <v>0</v>
      </c>
      <c r="N72" s="87">
        <f>+J72+K72+L72+M72</f>
        <v>24930.481440964511</v>
      </c>
      <c r="O72" s="81"/>
      <c r="P72" s="81">
        <f>+N72+O72</f>
        <v>24930.481440964511</v>
      </c>
    </row>
    <row r="73" spans="1:16">
      <c r="A73">
        <v>4630</v>
      </c>
      <c r="B73" t="s">
        <v>294</v>
      </c>
      <c r="C73" s="81">
        <f>+'Monthy Income Statements'!O72</f>
        <v>1859.04</v>
      </c>
      <c r="E73" s="81"/>
      <c r="F73" s="81">
        <f t="shared" si="11"/>
        <v>1859.04</v>
      </c>
      <c r="H73" s="81"/>
      <c r="J73" s="81">
        <f t="shared" si="12"/>
        <v>1859.04</v>
      </c>
      <c r="K73" s="81">
        <f>-'Cost Allocations-Contracts'!I74-'Cost Allocations-Contracts'!L74</f>
        <v>-261.93366481586611</v>
      </c>
      <c r="L73" s="81">
        <f>-'Cost Allocations-Recycle'!J74</f>
        <v>-37.31896337977885</v>
      </c>
      <c r="M73" s="81">
        <f>-'Cost Allocations-Recycle'!M74</f>
        <v>-105.71601783925581</v>
      </c>
      <c r="N73" s="87">
        <f t="shared" si="8"/>
        <v>1454.0713539650994</v>
      </c>
      <c r="O73" s="81"/>
      <c r="P73" s="81">
        <f t="shared" si="7"/>
        <v>1454.0713539650994</v>
      </c>
    </row>
    <row r="74" spans="1:16">
      <c r="A74">
        <v>4640</v>
      </c>
      <c r="B74" t="s">
        <v>295</v>
      </c>
      <c r="C74" s="81">
        <f>+'Monthy Income Statements'!O73</f>
        <v>15977.070000000003</v>
      </c>
      <c r="E74" s="81"/>
      <c r="F74" s="81">
        <f t="shared" si="11"/>
        <v>15977.070000000003</v>
      </c>
      <c r="H74" s="81"/>
      <c r="J74" s="81">
        <f t="shared" si="12"/>
        <v>15977.070000000003</v>
      </c>
      <c r="K74" s="81">
        <f>-'Cost Allocations-Contracts'!I75-'Cost Allocations-Contracts'!L75</f>
        <v>-2251.1255799335308</v>
      </c>
      <c r="L74" s="81">
        <f>-'Cost Allocations-Recycle'!J75</f>
        <v>-320.72881177713413</v>
      </c>
      <c r="M74" s="81">
        <f>-'Cost Allocations-Recycle'!M75</f>
        <v>-908.55076659944893</v>
      </c>
      <c r="N74" s="87">
        <f t="shared" si="8"/>
        <v>12496.66484168989</v>
      </c>
      <c r="O74" s="81"/>
      <c r="P74" s="81">
        <f t="shared" si="7"/>
        <v>12496.66484168989</v>
      </c>
    </row>
    <row r="75" spans="1:16">
      <c r="A75">
        <v>4642</v>
      </c>
      <c r="B75" t="s">
        <v>296</v>
      </c>
      <c r="C75" s="81">
        <f>+'Monthy Income Statements'!O74</f>
        <v>1160.2599999999998</v>
      </c>
      <c r="E75" s="81"/>
      <c r="F75" s="81">
        <f>+C75+E75</f>
        <v>1160.2599999999998</v>
      </c>
      <c r="H75" s="81"/>
      <c r="J75" s="81">
        <f>+F75+H75+I75</f>
        <v>1160.2599999999998</v>
      </c>
      <c r="K75" s="81">
        <f>-'Cost Allocations-Contracts'!I76-'Cost Allocations-Contracts'!L76</f>
        <v>0</v>
      </c>
      <c r="L75" s="81">
        <f>-'Cost Allocations-Recycle'!J76</f>
        <v>-337.88081726670089</v>
      </c>
      <c r="M75" s="81">
        <f>-'Cost Allocations-Recycle'!M76</f>
        <v>-822.37918273329888</v>
      </c>
      <c r="N75" s="87">
        <f>+J75+K75+L75+M75</f>
        <v>0</v>
      </c>
      <c r="O75" s="81"/>
      <c r="P75" s="81">
        <f>+N75+O75</f>
        <v>0</v>
      </c>
    </row>
    <row r="76" spans="1:16">
      <c r="A76">
        <v>4650</v>
      </c>
      <c r="B76" t="s">
        <v>297</v>
      </c>
      <c r="C76" s="81">
        <f>+'Monthy Income Statements'!O75</f>
        <v>88939.279999999984</v>
      </c>
      <c r="E76" s="81"/>
      <c r="F76" s="81">
        <f t="shared" si="11"/>
        <v>88939.279999999984</v>
      </c>
      <c r="G76">
        <v>3</v>
      </c>
      <c r="H76" s="81">
        <f>+'Proforma AJEs'!H21</f>
        <v>5858.9200000000274</v>
      </c>
      <c r="J76" s="81">
        <f t="shared" si="12"/>
        <v>94798.200000000012</v>
      </c>
      <c r="K76" s="81">
        <f>-'Cost Allocations-Contracts'!I77-'Cost Allocations-Contracts'!L77</f>
        <v>-13356.807784634782</v>
      </c>
      <c r="L76" s="81">
        <f>-'Cost Allocations-Recycle'!J77</f>
        <v>-1903.0093781031885</v>
      </c>
      <c r="M76" s="81">
        <f>-'Cost Allocations-Recycle'!M77</f>
        <v>-5390.786751403597</v>
      </c>
      <c r="N76" s="87">
        <f t="shared" si="8"/>
        <v>74147.596085858444</v>
      </c>
      <c r="O76" s="81"/>
      <c r="P76" s="81">
        <f t="shared" si="7"/>
        <v>74147.596085858444</v>
      </c>
    </row>
    <row r="77" spans="1:16">
      <c r="A77">
        <v>4652</v>
      </c>
      <c r="B77" t="s">
        <v>298</v>
      </c>
      <c r="C77" s="81">
        <f>+'Monthy Income Statements'!O76</f>
        <v>12972.55</v>
      </c>
      <c r="E77" s="81"/>
      <c r="F77" s="81">
        <f t="shared" si="11"/>
        <v>12972.55</v>
      </c>
      <c r="H77" s="81"/>
      <c r="J77" s="81">
        <f t="shared" si="12"/>
        <v>12972.55</v>
      </c>
      <c r="K77" s="81">
        <f>-'Cost Allocations-Contracts'!I78-'Cost Allocations-Contracts'!L78</f>
        <v>-1827.7969078164342</v>
      </c>
      <c r="L77" s="81">
        <f>-'Cost Allocations-Recycle'!J78</f>
        <v>-260.41511661521548</v>
      </c>
      <c r="M77" s="81">
        <f>-'Cost Allocations-Recycle'!M78</f>
        <v>-737.69597599870804</v>
      </c>
      <c r="N77" s="87">
        <f t="shared" si="8"/>
        <v>10146.641999569641</v>
      </c>
      <c r="O77" s="81"/>
      <c r="P77" s="81">
        <f t="shared" si="7"/>
        <v>10146.641999569641</v>
      </c>
    </row>
    <row r="78" spans="1:16">
      <c r="A78">
        <v>4660</v>
      </c>
      <c r="B78" t="s">
        <v>299</v>
      </c>
      <c r="C78" s="81">
        <f>+'Monthy Income Statements'!O77</f>
        <v>0</v>
      </c>
      <c r="E78" s="81"/>
      <c r="F78" s="81">
        <f t="shared" si="11"/>
        <v>0</v>
      </c>
      <c r="H78" s="81"/>
      <c r="J78" s="81">
        <f t="shared" si="12"/>
        <v>0</v>
      </c>
      <c r="K78" s="81">
        <f>-'Cost Allocations-Contracts'!I79-'Cost Allocations-Contracts'!L79</f>
        <v>0</v>
      </c>
      <c r="L78" s="81">
        <f>-'Cost Allocations-Recycle'!J79</f>
        <v>0</v>
      </c>
      <c r="M78" s="81">
        <f>-'Cost Allocations-Recycle'!M79</f>
        <v>0</v>
      </c>
      <c r="N78" s="87">
        <f t="shared" si="8"/>
        <v>0</v>
      </c>
      <c r="O78" s="81"/>
      <c r="P78" s="81">
        <f t="shared" si="7"/>
        <v>0</v>
      </c>
    </row>
    <row r="79" spans="1:16">
      <c r="A79">
        <v>4670</v>
      </c>
      <c r="B79" t="s">
        <v>300</v>
      </c>
      <c r="C79" s="81">
        <f>+'Monthy Income Statements'!O78</f>
        <v>0</v>
      </c>
      <c r="E79" s="81"/>
      <c r="F79" s="81">
        <f t="shared" si="11"/>
        <v>0</v>
      </c>
      <c r="H79" s="81"/>
      <c r="J79" s="81">
        <f t="shared" si="12"/>
        <v>0</v>
      </c>
      <c r="K79" s="81">
        <f>-'Cost Allocations-Contracts'!I80-'Cost Allocations-Contracts'!L80</f>
        <v>0</v>
      </c>
      <c r="L79" s="81">
        <f>-'Cost Allocations-Recycle'!J80</f>
        <v>0</v>
      </c>
      <c r="M79" s="81">
        <f>-'Cost Allocations-Recycle'!M80</f>
        <v>0</v>
      </c>
      <c r="N79" s="87">
        <f t="shared" si="8"/>
        <v>0</v>
      </c>
      <c r="O79" s="81"/>
      <c r="P79" s="81">
        <f t="shared" si="7"/>
        <v>0</v>
      </c>
    </row>
    <row r="80" spans="1:16">
      <c r="A80">
        <v>4680</v>
      </c>
      <c r="B80" t="s">
        <v>301</v>
      </c>
      <c r="C80" s="81">
        <f>+'Monthy Income Statements'!O79</f>
        <v>14726.46</v>
      </c>
      <c r="E80" s="81"/>
      <c r="F80" s="81">
        <f t="shared" si="11"/>
        <v>14726.46</v>
      </c>
      <c r="H80" s="81"/>
      <c r="J80" s="81">
        <f t="shared" si="12"/>
        <v>14726.46</v>
      </c>
      <c r="K80" s="81">
        <f>-'Cost Allocations-Contracts'!I81-'Cost Allocations-Contracts'!L81</f>
        <v>0</v>
      </c>
      <c r="L80" s="81">
        <f>-'Cost Allocations-Recycle'!J81</f>
        <v>-344.10747070915363</v>
      </c>
      <c r="M80" s="81">
        <f>-'Cost Allocations-Recycle'!M81</f>
        <v>-974.77711644641226</v>
      </c>
      <c r="N80" s="87">
        <f t="shared" si="8"/>
        <v>13407.575412844433</v>
      </c>
      <c r="O80" s="81"/>
      <c r="P80" s="81">
        <f t="shared" si="7"/>
        <v>13407.575412844433</v>
      </c>
    </row>
    <row r="81" spans="1:16">
      <c r="A81">
        <v>4692</v>
      </c>
      <c r="B81" t="s">
        <v>302</v>
      </c>
      <c r="C81" s="81">
        <f>+'Monthy Income Statements'!O80</f>
        <v>15634.43</v>
      </c>
      <c r="E81" s="81"/>
      <c r="F81" s="81">
        <f t="shared" si="11"/>
        <v>15634.43</v>
      </c>
      <c r="G81">
        <v>4</v>
      </c>
      <c r="H81" s="81">
        <f>-'Proforma AJEs'!J30</f>
        <v>-1487.7999999999993</v>
      </c>
      <c r="J81" s="81">
        <f t="shared" si="12"/>
        <v>14146.630000000001</v>
      </c>
      <c r="K81" s="81">
        <f>-'Cost Allocations-Contracts'!I82-'Cost Allocations-Contracts'!L82</f>
        <v>-1993.2215771011256</v>
      </c>
      <c r="L81" s="81">
        <f>-'Cost Allocations-Recycle'!J82</f>
        <v>-283.98397394207814</v>
      </c>
      <c r="M81" s="81">
        <f>-'Cost Allocations-Recycle'!M82</f>
        <v>-804.46111404023145</v>
      </c>
      <c r="N81" s="87">
        <f t="shared" si="8"/>
        <v>11064.963334916565</v>
      </c>
      <c r="O81" s="81"/>
      <c r="P81" s="81">
        <f t="shared" si="7"/>
        <v>11064.963334916565</v>
      </c>
    </row>
    <row r="82" spans="1:16">
      <c r="A82">
        <v>4694</v>
      </c>
      <c r="B82" t="s">
        <v>303</v>
      </c>
      <c r="C82" s="81">
        <f>+'Monthy Income Statements'!O81</f>
        <v>0</v>
      </c>
      <c r="E82" s="81"/>
      <c r="F82" s="81">
        <f t="shared" si="11"/>
        <v>0</v>
      </c>
      <c r="H82" s="81"/>
      <c r="J82" s="81">
        <f t="shared" si="12"/>
        <v>0</v>
      </c>
      <c r="K82" s="81">
        <f>-'Cost Allocations-Contracts'!I83-'Cost Allocations-Contracts'!L83</f>
        <v>0</v>
      </c>
      <c r="L82" s="81">
        <f>-'Cost Allocations-Recycle'!J83</f>
        <v>0</v>
      </c>
      <c r="M82" s="81">
        <f>-'Cost Allocations-Recycle'!M83</f>
        <v>0</v>
      </c>
      <c r="N82" s="87">
        <f t="shared" si="8"/>
        <v>0</v>
      </c>
      <c r="O82" s="81"/>
      <c r="P82" s="81">
        <f t="shared" si="7"/>
        <v>0</v>
      </c>
    </row>
    <row r="83" spans="1:16">
      <c r="A83">
        <v>4698</v>
      </c>
      <c r="B83" t="s">
        <v>304</v>
      </c>
      <c r="C83" s="81">
        <f>+'Monthy Income Statements'!O82</f>
        <v>1453.9499999999998</v>
      </c>
      <c r="E83" s="81"/>
      <c r="F83" s="81">
        <f t="shared" si="11"/>
        <v>1453.9499999999998</v>
      </c>
      <c r="H83" s="81"/>
      <c r="J83" s="81">
        <f t="shared" si="12"/>
        <v>1453.9499999999998</v>
      </c>
      <c r="K83" s="81">
        <f>-'Cost Allocations-Contracts'!I84-'Cost Allocations-Contracts'!L84</f>
        <v>-204.85758884103006</v>
      </c>
      <c r="L83" s="81">
        <f>-'Cost Allocations-Recycle'!J84</f>
        <v>-29.187057194051473</v>
      </c>
      <c r="M83" s="81">
        <f>-'Cost Allocations-Recycle'!M84</f>
        <v>-82.68020275915849</v>
      </c>
      <c r="N83" s="87">
        <f t="shared" si="8"/>
        <v>1137.2251512057599</v>
      </c>
      <c r="O83" s="81"/>
      <c r="P83" s="81">
        <f t="shared" si="7"/>
        <v>1137.2251512057599</v>
      </c>
    </row>
    <row r="84" spans="1:16">
      <c r="A84" t="s">
        <v>305</v>
      </c>
      <c r="C84" s="81"/>
      <c r="E84" s="81"/>
      <c r="F84" s="81"/>
      <c r="H84" s="81"/>
      <c r="J84" s="81"/>
      <c r="K84" s="81"/>
      <c r="L84" s="81"/>
      <c r="M84" s="81"/>
      <c r="N84" s="87"/>
      <c r="O84" s="81"/>
      <c r="P84" s="81"/>
    </row>
    <row r="85" spans="1:16">
      <c r="A85">
        <v>5010</v>
      </c>
      <c r="B85" t="s">
        <v>306</v>
      </c>
      <c r="C85" s="81">
        <f>+'Monthy Income Statements'!O84</f>
        <v>249077</v>
      </c>
      <c r="D85">
        <v>1</v>
      </c>
      <c r="E85" s="81">
        <f>-'Restating AJEs'!I13</f>
        <v>38090</v>
      </c>
      <c r="F85" s="81">
        <f>+C85+E85</f>
        <v>287167</v>
      </c>
      <c r="H85" s="81"/>
      <c r="J85" s="81">
        <f>+F85+H85+I85</f>
        <v>287167</v>
      </c>
      <c r="K85" s="81">
        <f>-'Cost Allocations-Contracts'!I86-'Cost Allocations-Contracts'!L86</f>
        <v>-34347.528379508396</v>
      </c>
      <c r="L85" s="81">
        <f>-'Cost Allocations-Recycle'!J86</f>
        <v>-163.99488647975537</v>
      </c>
      <c r="M85" s="81">
        <f>-'Cost Allocations-Recycle'!M86</f>
        <v>-3965.039757211423</v>
      </c>
      <c r="N85" s="87">
        <f t="shared" si="8"/>
        <v>248690.43697680041</v>
      </c>
      <c r="O85" s="81"/>
      <c r="P85" s="81">
        <f t="shared" si="7"/>
        <v>248690.43697680041</v>
      </c>
    </row>
    <row r="86" spans="1:16">
      <c r="A86">
        <v>5100</v>
      </c>
      <c r="B86" t="s">
        <v>307</v>
      </c>
      <c r="C86" s="81">
        <f>+'Monthy Income Statements'!O85</f>
        <v>-143862.09</v>
      </c>
      <c r="D86">
        <v>2</v>
      </c>
      <c r="E86" s="81">
        <f>-'Restating AJEs'!I20</f>
        <v>122346.59</v>
      </c>
      <c r="F86" s="81">
        <f>+C86+E86</f>
        <v>-21515.5</v>
      </c>
      <c r="H86" s="81">
        <f>'Proforma AJEs'!J96</f>
        <v>0</v>
      </c>
      <c r="J86" s="81">
        <f>+F86+H86+I86</f>
        <v>-21515.5</v>
      </c>
      <c r="K86" s="81">
        <f>-'Cost Allocations-Contracts'!I87-'Cost Allocations-Contracts'!L87</f>
        <v>2573.4302578266752</v>
      </c>
      <c r="L86" s="81">
        <f>-'Cost Allocations-Recycle'!J87</f>
        <v>12.287038483026175</v>
      </c>
      <c r="M86" s="81">
        <f>-'Cost Allocations-Recycle'!M87</f>
        <v>297.07387302956948</v>
      </c>
      <c r="N86" s="87">
        <f t="shared" si="8"/>
        <v>-18632.708830660726</v>
      </c>
      <c r="O86" s="81"/>
      <c r="P86" s="81">
        <f t="shared" si="7"/>
        <v>-18632.708830660726</v>
      </c>
    </row>
    <row r="87" spans="1:16">
      <c r="A87" t="s">
        <v>308</v>
      </c>
      <c r="C87" s="81"/>
      <c r="E87" s="81"/>
      <c r="F87" s="81"/>
      <c r="H87" s="81"/>
      <c r="J87" s="81"/>
      <c r="K87" s="81"/>
      <c r="L87" s="81"/>
      <c r="M87" s="81"/>
      <c r="N87" s="87"/>
      <c r="O87" s="81"/>
      <c r="P87" s="81"/>
    </row>
    <row r="88" spans="1:16">
      <c r="A88">
        <v>5151</v>
      </c>
      <c r="B88" t="s">
        <v>309</v>
      </c>
      <c r="C88" s="81">
        <f>+'Monthy Income Statements'!O87</f>
        <v>0</v>
      </c>
      <c r="E88" s="81"/>
      <c r="F88" s="81">
        <f>+C88+E88</f>
        <v>0</v>
      </c>
      <c r="H88" s="81"/>
      <c r="J88" s="81">
        <f>+F88+H88+I88</f>
        <v>0</v>
      </c>
      <c r="K88" s="81">
        <f>-'Cost Allocations-Contracts'!I89-'Cost Allocations-Contracts'!L89</f>
        <v>0</v>
      </c>
      <c r="L88" s="81"/>
      <c r="M88" s="81">
        <f>-'Cost Allocations-Recycle'!M89</f>
        <v>0</v>
      </c>
      <c r="N88" s="87">
        <f t="shared" si="8"/>
        <v>0</v>
      </c>
      <c r="O88" s="81"/>
      <c r="P88" s="81">
        <f t="shared" si="7"/>
        <v>0</v>
      </c>
    </row>
    <row r="89" spans="1:16">
      <c r="A89" t="s">
        <v>310</v>
      </c>
      <c r="C89" s="81"/>
      <c r="E89" s="81"/>
      <c r="F89" s="81"/>
      <c r="H89" s="81"/>
      <c r="J89" s="81"/>
      <c r="K89" s="81"/>
      <c r="L89" s="81"/>
      <c r="M89" s="81"/>
      <c r="N89" s="87"/>
      <c r="O89" s="81"/>
      <c r="P89" s="81"/>
    </row>
    <row r="90" spans="1:16">
      <c r="A90">
        <v>5220</v>
      </c>
      <c r="B90" t="s">
        <v>311</v>
      </c>
      <c r="C90" s="81">
        <f>+'Monthy Income Statements'!O89</f>
        <v>8440.630000000001</v>
      </c>
      <c r="E90" s="81"/>
      <c r="F90" s="81">
        <f t="shared" ref="F90:F99" si="13">+C90+E90</f>
        <v>8440.630000000001</v>
      </c>
      <c r="H90" s="81"/>
      <c r="J90" s="81">
        <f t="shared" ref="J90:J99" si="14">+F90+H90+I90</f>
        <v>8440.630000000001</v>
      </c>
      <c r="K90" s="81">
        <f>-'Cost Allocations-Contracts'!I91-'Cost Allocations-Contracts'!L91</f>
        <v>-1074.5961144415865</v>
      </c>
      <c r="L90" s="81">
        <f>-'Cost Allocations-Recycle'!J91</f>
        <v>-257.11319665835543</v>
      </c>
      <c r="M90" s="81">
        <f>-'Cost Allocations-Recycle'!M91</f>
        <v>0</v>
      </c>
      <c r="N90" s="87">
        <f t="shared" si="8"/>
        <v>7108.9206889000588</v>
      </c>
      <c r="O90" s="81"/>
      <c r="P90" s="81">
        <f t="shared" si="7"/>
        <v>7108.9206889000588</v>
      </c>
    </row>
    <row r="91" spans="1:16">
      <c r="A91">
        <v>5230</v>
      </c>
      <c r="B91" t="s">
        <v>312</v>
      </c>
      <c r="C91" s="81">
        <f>+'Monthy Income Statements'!O90</f>
        <v>2655.59</v>
      </c>
      <c r="E91" s="81"/>
      <c r="F91" s="81">
        <f t="shared" si="13"/>
        <v>2655.59</v>
      </c>
      <c r="H91" s="81"/>
      <c r="J91" s="81">
        <f t="shared" si="14"/>
        <v>2655.59</v>
      </c>
      <c r="K91" s="81">
        <f>-'Cost Allocations-Contracts'!I92-'Cost Allocations-Contracts'!L92</f>
        <v>-214.30301996672216</v>
      </c>
      <c r="L91" s="81">
        <f>-'Cost Allocations-Recycle'!J92</f>
        <v>0</v>
      </c>
      <c r="M91" s="81">
        <f>-'Cost Allocations-Recycle'!M92</f>
        <v>0</v>
      </c>
      <c r="N91" s="87">
        <f t="shared" si="8"/>
        <v>2441.2869800332778</v>
      </c>
      <c r="O91" s="81"/>
      <c r="P91" s="81">
        <f t="shared" si="7"/>
        <v>2441.2869800332778</v>
      </c>
    </row>
    <row r="92" spans="1:16">
      <c r="A92">
        <v>5240</v>
      </c>
      <c r="B92" t="s">
        <v>313</v>
      </c>
      <c r="C92" s="81">
        <f>+'Monthy Income Statements'!O91</f>
        <v>63250.929999999993</v>
      </c>
      <c r="E92" s="81"/>
      <c r="F92" s="81">
        <f t="shared" si="13"/>
        <v>63250.929999999993</v>
      </c>
      <c r="H92" s="81"/>
      <c r="J92" s="81">
        <f t="shared" si="14"/>
        <v>63250.929999999993</v>
      </c>
      <c r="K92" s="81">
        <f>-'Cost Allocations-Contracts'!I93-'Cost Allocations-Contracts'!L93</f>
        <v>-8052.6220925235148</v>
      </c>
      <c r="L92" s="81">
        <f>-'Cost Allocations-Recycle'!J93</f>
        <v>-1337.5717678290769</v>
      </c>
      <c r="M92" s="81">
        <f>-'Cost Allocations-Recycle'!M93</f>
        <v>-2228.4227395681642</v>
      </c>
      <c r="N92" s="87">
        <f t="shared" si="8"/>
        <v>51632.313400079234</v>
      </c>
      <c r="O92" s="81"/>
      <c r="P92" s="81">
        <f t="shared" si="7"/>
        <v>51632.313400079234</v>
      </c>
    </row>
    <row r="93" spans="1:16">
      <c r="A93">
        <v>5241</v>
      </c>
      <c r="B93" t="s">
        <v>314</v>
      </c>
      <c r="C93" s="81">
        <f>+'Monthy Income Statements'!O92</f>
        <v>637.81000000000006</v>
      </c>
      <c r="E93" s="81"/>
      <c r="F93" s="81">
        <f t="shared" si="13"/>
        <v>637.81000000000006</v>
      </c>
      <c r="H93" s="81"/>
      <c r="J93" s="81">
        <f t="shared" si="14"/>
        <v>637.81000000000006</v>
      </c>
      <c r="K93" s="81">
        <f>-'Cost Allocations-Contracts'!I94-'Cost Allocations-Contracts'!L94</f>
        <v>-81.201065293939934</v>
      </c>
      <c r="L93" s="81">
        <f>-'Cost Allocations-Recycle'!J94</f>
        <v>-104.90758963365309</v>
      </c>
      <c r="M93" s="81">
        <f>-'Cost Allocations-Recycle'!M94</f>
        <v>-174.7782540837776</v>
      </c>
      <c r="N93" s="87">
        <f>+J93+K93+L93+M93</f>
        <v>276.9230909886295</v>
      </c>
      <c r="O93" s="81"/>
      <c r="P93" s="81">
        <f t="shared" si="7"/>
        <v>276.9230909886295</v>
      </c>
    </row>
    <row r="94" spans="1:16">
      <c r="A94">
        <v>5242</v>
      </c>
      <c r="B94" t="s">
        <v>315</v>
      </c>
      <c r="C94" s="81">
        <f>+'Monthy Income Statements'!O93</f>
        <v>5698.62</v>
      </c>
      <c r="E94" s="81"/>
      <c r="F94" s="81">
        <f t="shared" si="13"/>
        <v>5698.62</v>
      </c>
      <c r="G94">
        <v>11</v>
      </c>
      <c r="H94" s="81">
        <f>+'Proforma AJEs'!H71</f>
        <v>1003.2708524999989</v>
      </c>
      <c r="J94" s="81">
        <f t="shared" si="14"/>
        <v>6701.8908524999988</v>
      </c>
      <c r="K94" s="81">
        <f>-'Cost Allocations-Contracts'!I95-'Cost Allocations-Contracts'!L95</f>
        <v>-853.23321476099647</v>
      </c>
      <c r="L94" s="81">
        <f>-'Cost Allocations-Recycle'!J95</f>
        <v>-22.729977753958167</v>
      </c>
      <c r="M94" s="81">
        <f>-'Cost Allocations-Recycle'!M95</f>
        <v>-37.868621718151807</v>
      </c>
      <c r="N94" s="87">
        <f>+J94+K94+L94+M94</f>
        <v>5788.0590382668915</v>
      </c>
      <c r="O94" s="81"/>
      <c r="P94" s="81">
        <f t="shared" si="7"/>
        <v>5788.0590382668915</v>
      </c>
    </row>
    <row r="95" spans="1:16">
      <c r="A95">
        <v>5260</v>
      </c>
      <c r="B95" t="s">
        <v>316</v>
      </c>
      <c r="C95" s="81">
        <f>+'Monthy Income Statements'!O94</f>
        <v>60782.270000000004</v>
      </c>
      <c r="E95" s="81"/>
      <c r="F95" s="81">
        <f t="shared" si="13"/>
        <v>60782.270000000004</v>
      </c>
      <c r="G95">
        <v>7</v>
      </c>
      <c r="H95" s="81">
        <f>'Proforma AJEs'!I44</f>
        <v>69.198399375000008</v>
      </c>
      <c r="J95" s="81">
        <f t="shared" si="14"/>
        <v>60851.468399375008</v>
      </c>
      <c r="K95" s="81">
        <f>-'Cost Allocations-Contracts'!I96-'Cost Allocations-Contracts'!L96</f>
        <v>-7640.9179613794513</v>
      </c>
      <c r="L95" s="81">
        <f>-'Cost Allocations-Recycle'!J96</f>
        <v>-662.283306479663</v>
      </c>
      <c r="M95" s="81">
        <f>-'Cost Allocations-Recycle'!M96</f>
        <v>-1611.953021561277</v>
      </c>
      <c r="N95" s="87">
        <f>+J95+K95+L95+M95</f>
        <v>50936.314109954612</v>
      </c>
      <c r="O95" s="81">
        <f ca="1">+O21*'General Data'!$E$10</f>
        <v>2101.6167482262781</v>
      </c>
      <c r="P95" s="81">
        <f t="shared" ca="1" si="7"/>
        <v>53037.930858180887</v>
      </c>
    </row>
    <row r="96" spans="1:16">
      <c r="A96">
        <v>5270</v>
      </c>
      <c r="B96" t="s">
        <v>317</v>
      </c>
      <c r="C96" s="81">
        <f>+'Monthy Income Statements'!O95</f>
        <v>10854.68</v>
      </c>
      <c r="E96" s="81"/>
      <c r="F96" s="81">
        <f t="shared" si="13"/>
        <v>10854.68</v>
      </c>
      <c r="H96" s="81"/>
      <c r="J96" s="81">
        <f t="shared" si="14"/>
        <v>10854.68</v>
      </c>
      <c r="K96" s="81">
        <f>-'Cost Allocations-Contracts'!I97-'Cost Allocations-Contracts'!L97</f>
        <v>0</v>
      </c>
      <c r="L96" s="81">
        <f>-'Cost Allocations-Recycle'!J97</f>
        <v>0</v>
      </c>
      <c r="M96" s="81">
        <f>-'Cost Allocations-Recycle'!M97</f>
        <v>0</v>
      </c>
      <c r="N96" s="87">
        <f>+J96+K96+L96+M96</f>
        <v>10854.68</v>
      </c>
      <c r="O96" s="81"/>
      <c r="P96" s="81">
        <f t="shared" si="7"/>
        <v>10854.68</v>
      </c>
    </row>
    <row r="97" spans="1:16">
      <c r="A97">
        <v>5290</v>
      </c>
      <c r="B97" t="s">
        <v>318</v>
      </c>
      <c r="C97" s="81">
        <f>+'Monthy Income Statements'!O96</f>
        <v>274.92</v>
      </c>
      <c r="E97" s="81"/>
      <c r="F97" s="81">
        <f t="shared" si="13"/>
        <v>274.92</v>
      </c>
      <c r="H97" s="81"/>
      <c r="J97" s="81">
        <f t="shared" si="14"/>
        <v>274.92</v>
      </c>
      <c r="K97" s="81">
        <f>-'Cost Allocations-Contracts'!I98-'Cost Allocations-Contracts'!L98</f>
        <v>-35.000700632805959</v>
      </c>
      <c r="L97" s="81">
        <f>-'Cost Allocations-Recycle'!J98</f>
        <v>-8.3744412473138929</v>
      </c>
      <c r="M97" s="81">
        <f>-'Cost Allocations-Recycle'!M98</f>
        <v>0</v>
      </c>
      <c r="N97" s="87">
        <f>+J97+K97+L97+M97</f>
        <v>231.54485811988019</v>
      </c>
      <c r="O97" s="81"/>
      <c r="P97" s="81">
        <f t="shared" si="7"/>
        <v>231.54485811988019</v>
      </c>
    </row>
    <row r="98" spans="1:16">
      <c r="A98" t="s">
        <v>319</v>
      </c>
      <c r="C98" s="81"/>
      <c r="E98" s="81"/>
      <c r="F98" s="81"/>
      <c r="H98" s="81"/>
      <c r="J98" s="81"/>
      <c r="K98" s="81"/>
      <c r="L98" s="81"/>
      <c r="M98" s="81"/>
      <c r="N98" s="87"/>
      <c r="O98" s="81"/>
      <c r="P98" s="81"/>
    </row>
    <row r="99" spans="1:16">
      <c r="A99">
        <v>5320</v>
      </c>
      <c r="B99" t="s">
        <v>320</v>
      </c>
      <c r="C99" s="81">
        <f>+'Monthy Income Statements'!O98</f>
        <v>94356</v>
      </c>
      <c r="E99" s="81"/>
      <c r="F99" s="81">
        <f t="shared" si="13"/>
        <v>94356</v>
      </c>
      <c r="G99">
        <v>12</v>
      </c>
      <c r="H99" s="81">
        <f>'Proforma AJEs'!H74</f>
        <v>1404</v>
      </c>
      <c r="J99" s="81">
        <f t="shared" si="14"/>
        <v>95760</v>
      </c>
      <c r="K99" s="81">
        <f>-'Cost Allocations-Contracts'!I100-'Cost Allocations-Contracts'!L100</f>
        <v>-13492.322780987683</v>
      </c>
      <c r="L99" s="81">
        <f>-'Cost Allocations-Recycle'!J100</f>
        <v>0</v>
      </c>
      <c r="M99" s="81">
        <f>-'Cost Allocations-Recycle'!M100</f>
        <v>0</v>
      </c>
      <c r="N99" s="87">
        <f>+J99+K99+L99+M99</f>
        <v>82267.677219012316</v>
      </c>
      <c r="O99" s="81"/>
      <c r="P99" s="81">
        <f>+N99+O99</f>
        <v>82267.677219012316</v>
      </c>
    </row>
    <row r="100" spans="1:16" ht="13.5" thickBot="1">
      <c r="A100">
        <v>5322</v>
      </c>
      <c r="B100" s="459" t="s">
        <v>321</v>
      </c>
      <c r="C100" s="82">
        <f>+'Monthy Income Statements'!O99</f>
        <v>30396</v>
      </c>
      <c r="D100" s="4"/>
      <c r="E100" s="82"/>
      <c r="F100" s="82">
        <f>+C100+E100</f>
        <v>30396</v>
      </c>
      <c r="G100" s="4">
        <v>12</v>
      </c>
      <c r="H100" s="82">
        <f>'Proforma AJEs'!H75</f>
        <v>444</v>
      </c>
      <c r="I100" s="4"/>
      <c r="J100" s="82">
        <f>+F100+H100+I100</f>
        <v>30840</v>
      </c>
      <c r="K100" s="82">
        <f>-'Cost Allocations-Contracts'!I101-'Cost Allocations-Contracts'!L101</f>
        <v>0</v>
      </c>
      <c r="L100" s="82">
        <f>-'Cost Allocations-Recycle'!J101</f>
        <v>-8980.956341255458</v>
      </c>
      <c r="M100" s="82">
        <f>-'Cost Allocations-Recycle'!M101</f>
        <v>-21859.04365874454</v>
      </c>
      <c r="N100" s="88">
        <f>+J100+K100+L100+M100</f>
        <v>0</v>
      </c>
      <c r="O100" s="82"/>
      <c r="P100" s="82">
        <f>+N100+O100</f>
        <v>0</v>
      </c>
    </row>
    <row r="101" spans="1:16">
      <c r="C101" s="81"/>
      <c r="E101" s="81"/>
      <c r="F101" s="81"/>
      <c r="H101" s="81"/>
      <c r="J101" s="81"/>
      <c r="K101" s="81"/>
      <c r="L101" s="81"/>
      <c r="M101" s="81"/>
      <c r="N101" s="87"/>
      <c r="O101" s="81"/>
      <c r="P101" s="81"/>
    </row>
    <row r="102" spans="1:16" ht="13.5" thickBot="1">
      <c r="B102" t="s">
        <v>322</v>
      </c>
      <c r="C102" s="82">
        <f>SUM(C25:C100)</f>
        <v>3003007.3929999997</v>
      </c>
      <c r="D102" s="4"/>
      <c r="E102" s="82">
        <f>SUM(E25:E100)</f>
        <v>160436.59</v>
      </c>
      <c r="F102" s="82">
        <f>SUM(F25:F100)</f>
        <v>3163443.9829999995</v>
      </c>
      <c r="G102" s="4"/>
      <c r="H102" s="82">
        <f t="shared" ref="H102:P102" si="15">SUM(H25:H100)</f>
        <v>40700.690573456377</v>
      </c>
      <c r="I102" s="6">
        <f t="shared" si="15"/>
        <v>0</v>
      </c>
      <c r="J102" s="82">
        <f t="shared" si="15"/>
        <v>3204144.6735734562</v>
      </c>
      <c r="K102" s="82">
        <f t="shared" si="15"/>
        <v>-362846.80160779948</v>
      </c>
      <c r="L102" s="82">
        <f t="shared" si="15"/>
        <v>-44896.834423750384</v>
      </c>
      <c r="M102" s="82">
        <f t="shared" si="15"/>
        <v>-83808.323476510428</v>
      </c>
      <c r="N102" s="88">
        <f t="shared" si="15"/>
        <v>2712592.7140653972</v>
      </c>
      <c r="O102" s="82">
        <f t="shared" ca="1" si="15"/>
        <v>2101.6167482262781</v>
      </c>
      <c r="P102" s="82">
        <f t="shared" ca="1" si="15"/>
        <v>2714694.3308136235</v>
      </c>
    </row>
    <row r="103" spans="1:16">
      <c r="C103" s="81"/>
      <c r="E103" s="81"/>
      <c r="F103" s="81"/>
      <c r="H103" s="81"/>
      <c r="I103" s="5"/>
      <c r="J103" s="81"/>
      <c r="K103" s="81"/>
      <c r="L103" s="81"/>
      <c r="M103" s="81"/>
      <c r="N103" s="89"/>
      <c r="O103" s="81"/>
      <c r="P103" s="81"/>
    </row>
    <row r="104" spans="1:16" ht="13.5" thickBot="1">
      <c r="B104" t="s">
        <v>323</v>
      </c>
      <c r="C104" s="82">
        <f>+C21-C102</f>
        <v>410446.9570000004</v>
      </c>
      <c r="D104" s="4"/>
      <c r="E104" s="82">
        <f>+E21-E102</f>
        <v>-155954.85000000006</v>
      </c>
      <c r="F104" s="82">
        <f>+F21-F102</f>
        <v>254492.10700000031</v>
      </c>
      <c r="G104" s="4"/>
      <c r="H104" s="82">
        <f t="shared" ref="H104:P104" si="16">+H21-H102</f>
        <v>-36746.496323456377</v>
      </c>
      <c r="I104" s="6">
        <f t="shared" si="16"/>
        <v>0</v>
      </c>
      <c r="J104" s="82">
        <f t="shared" si="16"/>
        <v>217745.61067654332</v>
      </c>
      <c r="K104" s="82">
        <f t="shared" si="16"/>
        <v>-66828.662642200477</v>
      </c>
      <c r="L104" s="82">
        <f t="shared" si="16"/>
        <v>7654.3344237503843</v>
      </c>
      <c r="M104" s="82">
        <f t="shared" si="16"/>
        <v>-6837.4165234895772</v>
      </c>
      <c r="N104" s="88">
        <f t="shared" si="16"/>
        <v>151733.86593460245</v>
      </c>
      <c r="O104" s="82">
        <f t="shared" ca="1" si="16"/>
        <v>117990.76886470389</v>
      </c>
      <c r="P104" s="82">
        <f t="shared" ca="1" si="16"/>
        <v>269724.63479930628</v>
      </c>
    </row>
    <row r="105" spans="1:16">
      <c r="C105" s="5"/>
      <c r="E105" s="5"/>
      <c r="F105" s="5"/>
      <c r="J105" s="5"/>
      <c r="N105" s="5"/>
    </row>
    <row r="106" spans="1:16">
      <c r="B106" t="s">
        <v>324</v>
      </c>
      <c r="C106" s="9">
        <f>+C102/C21</f>
        <v>0.87975613120474272</v>
      </c>
      <c r="E106" s="9"/>
      <c r="F106" s="9">
        <f>+F102/F21</f>
        <v>0.92554216922177723</v>
      </c>
      <c r="J106" s="9">
        <f>+J102/J21</f>
        <v>0.93636686375400013</v>
      </c>
      <c r="K106" s="9">
        <f>+K102/K21</f>
        <v>0.8444671194831892</v>
      </c>
      <c r="L106" s="9">
        <f>+L102/L21</f>
        <v>1.2055268691347354</v>
      </c>
      <c r="M106" s="9">
        <f>+M102/M21</f>
        <v>0.92456990782479598</v>
      </c>
      <c r="N106" s="9">
        <f>+N102/N21</f>
        <v>0.94702633875827025</v>
      </c>
      <c r="P106" s="9">
        <f ca="1">+P102/P21</f>
        <v>0.9096223962161053</v>
      </c>
    </row>
    <row r="107" spans="1:16">
      <c r="C107" s="5"/>
    </row>
    <row r="108" spans="1:16">
      <c r="B108" t="s">
        <v>325</v>
      </c>
      <c r="C108" s="83">
        <f>'Depr Allocation'!AD18</f>
        <v>1583082.1705238093</v>
      </c>
      <c r="D108" s="81"/>
      <c r="E108" s="81"/>
      <c r="F108" s="81">
        <f>+C108</f>
        <v>1583082.1705238093</v>
      </c>
      <c r="G108" s="81"/>
      <c r="H108" s="81"/>
      <c r="I108" s="81"/>
      <c r="J108" s="81">
        <f>+F108</f>
        <v>1583082.1705238093</v>
      </c>
      <c r="K108" s="81">
        <f>+'Depr Allocation'!AD14+'Depr Allocation'!AD16</f>
        <v>151958.25120670104</v>
      </c>
      <c r="L108" s="81">
        <f>(J108-K108)*L109</f>
        <v>928.31854754912422</v>
      </c>
      <c r="M108" s="81">
        <f>(J108-K108)*M109</f>
        <v>22444.723902067672</v>
      </c>
      <c r="N108" s="81">
        <f>+J108-K108-L108-M108</f>
        <v>1407750.8768674913</v>
      </c>
      <c r="O108" s="81"/>
      <c r="P108" s="81">
        <f>+N108-O108</f>
        <v>1407750.8768674913</v>
      </c>
    </row>
    <row r="109" spans="1:16">
      <c r="C109" s="5"/>
      <c r="K109" s="46"/>
      <c r="L109" s="46">
        <f>'Depr Allocation'!N40</f>
        <v>6.486639871074837E-4</v>
      </c>
      <c r="M109" s="46">
        <f>'Depr Allocation'!N38</f>
        <v>1.568328472406335E-2</v>
      </c>
      <c r="N109" s="9">
        <f>+N108/J108</f>
        <v>0.88924687743889852</v>
      </c>
    </row>
    <row r="110" spans="1:16">
      <c r="C110" s="5"/>
    </row>
    <row r="111" spans="1:16">
      <c r="C111" s="5"/>
    </row>
    <row r="112" spans="1:16">
      <c r="C112" s="5"/>
    </row>
    <row r="113" spans="3:3">
      <c r="C113" s="5"/>
    </row>
    <row r="114" spans="3:3">
      <c r="C114" s="5"/>
    </row>
    <row r="115" spans="3:3">
      <c r="C115" s="5"/>
    </row>
  </sheetData>
  <phoneticPr fontId="0" type="noConversion"/>
  <pageMargins left="0.25" right="0.42" top="0.5" bottom="0.5" header="0.5" footer="0.5"/>
  <pageSetup scale="68" fitToHeight="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V109"/>
  <sheetViews>
    <sheetView workbookViewId="0">
      <selection activeCell="U12" sqref="U12"/>
    </sheetView>
  </sheetViews>
  <sheetFormatPr defaultRowHeight="12.75"/>
  <cols>
    <col min="1" max="1" width="6" customWidth="1"/>
    <col min="2" max="2" width="27.140625" customWidth="1"/>
    <col min="3" max="3" width="12.140625" customWidth="1"/>
    <col min="4" max="4" width="12" customWidth="1"/>
    <col min="5" max="5" width="10.5703125" customWidth="1"/>
    <col min="6" max="6" width="13" customWidth="1"/>
    <col min="7" max="7" width="11.5703125" customWidth="1"/>
    <col min="8" max="8" width="12.28515625" customWidth="1"/>
    <col min="9" max="9" width="13" customWidth="1"/>
    <col min="10" max="11" width="11.7109375" customWidth="1"/>
    <col min="12" max="12" width="13.85546875" customWidth="1"/>
    <col min="15" max="15" width="10.42578125" customWidth="1"/>
    <col min="17" max="17" width="13.42578125" bestFit="1" customWidth="1"/>
    <col min="18" max="18" width="10.42578125" customWidth="1"/>
    <col min="19" max="19" width="11.85546875" customWidth="1"/>
    <col min="21" max="21" width="11.7109375" bestFit="1" customWidth="1"/>
  </cols>
  <sheetData>
    <row r="1" spans="1:22">
      <c r="A1" t="s">
        <v>4</v>
      </c>
      <c r="E1" s="119">
        <f ca="1">IF('Priceout-Chelan'!K84=0,0,'Priceout-Chelan'!K84)</f>
        <v>6.7199999999999996E-2</v>
      </c>
      <c r="H1" s="118">
        <f>IF('Priceout-Douglas'!K70=0,0,'Priceout-Douglas'!K70)</f>
        <v>0</v>
      </c>
      <c r="K1" s="118">
        <f>IF('Priceout-Okanogan'!K70=0,0,'Priceout-Okanogan'!K70)</f>
        <v>0</v>
      </c>
    </row>
    <row r="2" spans="1:22">
      <c r="D2" s="117"/>
    </row>
    <row r="3" spans="1:22">
      <c r="A3" t="s">
        <v>687</v>
      </c>
      <c r="C3" s="459" t="s">
        <v>11</v>
      </c>
      <c r="D3" s="459" t="s">
        <v>12</v>
      </c>
    </row>
    <row r="4" spans="1:22">
      <c r="E4">
        <f ca="1">+E21/(D21-D15)</f>
        <v>6.6722650513492757E-2</v>
      </c>
      <c r="H4">
        <f ca="1">+H21/(G21-G15)</f>
        <v>0.21078398732670331</v>
      </c>
      <c r="K4">
        <f ca="1">+K21/(J21-J15)</f>
        <v>-7.4723797465621744E-2</v>
      </c>
    </row>
    <row r="5" spans="1:22">
      <c r="A5" s="480" t="s">
        <v>1417</v>
      </c>
      <c r="F5" s="530" t="s">
        <v>222</v>
      </c>
      <c r="I5" s="530" t="s">
        <v>223</v>
      </c>
      <c r="L5" s="530" t="s">
        <v>224</v>
      </c>
    </row>
    <row r="6" spans="1:22" ht="13.5" thickBot="1">
      <c r="A6" s="1"/>
      <c r="C6" s="530" t="s">
        <v>116</v>
      </c>
      <c r="D6" s="530" t="s">
        <v>222</v>
      </c>
      <c r="E6" s="530" t="s">
        <v>681</v>
      </c>
      <c r="F6" s="530" t="s">
        <v>682</v>
      </c>
      <c r="G6" s="530" t="s">
        <v>223</v>
      </c>
      <c r="H6" s="530" t="s">
        <v>681</v>
      </c>
      <c r="I6" s="530" t="s">
        <v>682</v>
      </c>
      <c r="J6" s="530" t="s">
        <v>224</v>
      </c>
      <c r="K6" s="530" t="s">
        <v>681</v>
      </c>
      <c r="L6" s="530" t="s">
        <v>682</v>
      </c>
      <c r="Q6" s="789" t="s">
        <v>688</v>
      </c>
      <c r="R6" s="789"/>
      <c r="S6" s="789"/>
      <c r="T6" s="789"/>
      <c r="U6" s="789"/>
      <c r="V6" s="789"/>
    </row>
    <row r="7" spans="1:22">
      <c r="C7" s="530" t="s">
        <v>680</v>
      </c>
      <c r="D7" s="530" t="s">
        <v>116</v>
      </c>
      <c r="E7" s="530" t="s">
        <v>18</v>
      </c>
      <c r="F7" s="530" t="s">
        <v>685</v>
      </c>
      <c r="G7" s="530" t="s">
        <v>116</v>
      </c>
      <c r="H7" s="530" t="s">
        <v>18</v>
      </c>
      <c r="I7" s="530" t="s">
        <v>685</v>
      </c>
      <c r="J7" s="530" t="s">
        <v>116</v>
      </c>
      <c r="K7" s="530" t="s">
        <v>18</v>
      </c>
      <c r="L7" s="530" t="s">
        <v>685</v>
      </c>
      <c r="Q7" t="s">
        <v>222</v>
      </c>
      <c r="S7" t="s">
        <v>223</v>
      </c>
      <c r="U7" t="s">
        <v>224</v>
      </c>
    </row>
    <row r="8" spans="1:22" ht="13.5" thickBot="1">
      <c r="C8" s="3" t="s">
        <v>229</v>
      </c>
      <c r="D8" s="3" t="s">
        <v>228</v>
      </c>
      <c r="E8" s="3" t="s">
        <v>26</v>
      </c>
      <c r="F8" s="3" t="s">
        <v>26</v>
      </c>
      <c r="G8" s="3" t="s">
        <v>228</v>
      </c>
      <c r="H8" s="3" t="s">
        <v>26</v>
      </c>
      <c r="I8" s="3" t="s">
        <v>26</v>
      </c>
      <c r="J8" s="3" t="s">
        <v>228</v>
      </c>
      <c r="K8" s="3" t="s">
        <v>26</v>
      </c>
      <c r="L8" s="3" t="s">
        <v>26</v>
      </c>
    </row>
    <row r="9" spans="1:22" ht="13.5" thickTop="1">
      <c r="D9" s="116"/>
      <c r="F9" s="115"/>
      <c r="I9" s="115"/>
    </row>
    <row r="10" spans="1:22">
      <c r="A10" t="s">
        <v>230</v>
      </c>
      <c r="D10" s="86"/>
      <c r="F10" s="107"/>
      <c r="I10" s="107"/>
    </row>
    <row r="11" spans="1:22">
      <c r="A11">
        <v>3100</v>
      </c>
      <c r="B11" t="s">
        <v>231</v>
      </c>
      <c r="C11" s="5">
        <f>'Results of Operations Co'!N11</f>
        <v>2122236.2999999998</v>
      </c>
      <c r="D11" s="89">
        <f>+'Cost Allocations'!F11</f>
        <v>1675474.5944338869</v>
      </c>
      <c r="E11" s="5">
        <f ca="1">+IF(E1=0,+'New LG Chelan - MSW'!M21,'Priceout-Chelan'!J84-('Priceout-Chelan'!J70-'Priceout-Chelan'!E70))</f>
        <v>111754.79380786374</v>
      </c>
      <c r="F11" s="109">
        <f t="shared" ref="F11:F19" ca="1" si="0">+D11+E11</f>
        <v>1787229.3882417507</v>
      </c>
      <c r="G11" s="5">
        <f>+'Cost Allocations'!I11</f>
        <v>120338.75515754282</v>
      </c>
      <c r="H11" s="5">
        <f ca="1">+IF(H1=0,+'New LG Total Douglas'!M21,'Priceout-Douglas'!J70-('Priceout-Douglas'!J60-'Priceout-Douglas'!E60))</f>
        <v>32461.063357031038</v>
      </c>
      <c r="I11" s="109">
        <f t="shared" ref="I11:I19" ca="1" si="1">+G11+H11</f>
        <v>152799.81851457385</v>
      </c>
      <c r="J11" s="5">
        <f>+'Cost Allocations'!L11</f>
        <v>326422.95040857018</v>
      </c>
      <c r="K11" s="5">
        <f ca="1">+IF(K1=0,+'New LG Total Okanogan'!M21,'Priceout-Okanogan'!J70-('Priceout-Okanogan'!J60-'Priceout-Okanogan'!E60))</f>
        <v>-33170.846560172766</v>
      </c>
      <c r="L11" s="5">
        <f t="shared" ref="L11:L19" ca="1" si="2">+J11+K11</f>
        <v>293252.10384839738</v>
      </c>
      <c r="O11" s="5">
        <f t="shared" ref="O11:O43" si="3">+C11-D11-G11-J11</f>
        <v>0</v>
      </c>
      <c r="Q11" s="51">
        <f>'Priceout-Chelan'!E34+'Priceout-Chelan'!E54</f>
        <v>1652449.5164999999</v>
      </c>
      <c r="R11" s="537">
        <f>(Q11-D11)/Q11</f>
        <v>-1.3933907029520451E-2</v>
      </c>
      <c r="S11" s="51">
        <f>'Priceout-Douglas'!E28+'Priceout-Douglas'!E46</f>
        <v>119524.87250000003</v>
      </c>
      <c r="T11" s="537">
        <f>(S11-G11)/S11</f>
        <v>-6.8093162579428435E-3</v>
      </c>
      <c r="U11" s="51">
        <f>'Priceout-Okanogan'!E28+'Priceout-Okanogan'!E46</f>
        <v>324215.26612586604</v>
      </c>
      <c r="V11" s="537">
        <f>(U11-J11)/U11</f>
        <v>-6.8093162579428894E-3</v>
      </c>
    </row>
    <row r="12" spans="1:22">
      <c r="A12">
        <v>3112</v>
      </c>
      <c r="B12" t="s">
        <v>232</v>
      </c>
      <c r="C12" s="5">
        <f>'Results of Operations Co'!N12</f>
        <v>0</v>
      </c>
      <c r="D12" s="89">
        <f>+'Cost Allocations'!F12</f>
        <v>0</v>
      </c>
      <c r="F12" s="109">
        <f t="shared" si="0"/>
        <v>0</v>
      </c>
      <c r="G12" s="5">
        <f>+'Cost Allocations'!I12</f>
        <v>0</v>
      </c>
      <c r="I12" s="109">
        <f t="shared" si="1"/>
        <v>0</v>
      </c>
      <c r="J12" s="5">
        <f>+'Cost Allocations'!L12</f>
        <v>0</v>
      </c>
      <c r="L12" s="5">
        <f t="shared" si="2"/>
        <v>0</v>
      </c>
      <c r="O12" s="5">
        <f t="shared" si="3"/>
        <v>0</v>
      </c>
      <c r="R12" s="72"/>
      <c r="T12" s="72"/>
      <c r="V12" s="72"/>
    </row>
    <row r="13" spans="1:22">
      <c r="A13">
        <v>3114</v>
      </c>
      <c r="B13" t="s">
        <v>233</v>
      </c>
      <c r="C13" s="5">
        <f>'Results of Operations Co'!N13</f>
        <v>0</v>
      </c>
      <c r="D13" s="89">
        <f>+'Cost Allocations'!F13</f>
        <v>0</v>
      </c>
      <c r="F13" s="109">
        <f t="shared" si="0"/>
        <v>0</v>
      </c>
      <c r="G13" s="5">
        <f>+'Cost Allocations'!I13</f>
        <v>0</v>
      </c>
      <c r="I13" s="109">
        <f t="shared" si="1"/>
        <v>0</v>
      </c>
      <c r="J13" s="5">
        <f>+'Cost Allocations'!L13</f>
        <v>0</v>
      </c>
      <c r="L13" s="5">
        <f t="shared" si="2"/>
        <v>0</v>
      </c>
      <c r="O13" s="5">
        <f t="shared" si="3"/>
        <v>0</v>
      </c>
      <c r="R13" s="72"/>
      <c r="T13" s="72"/>
      <c r="V13" s="72"/>
    </row>
    <row r="14" spans="1:22">
      <c r="A14">
        <v>3300</v>
      </c>
      <c r="B14" t="s">
        <v>234</v>
      </c>
      <c r="C14" s="5">
        <f>'Results of Operations Co'!N14</f>
        <v>275552.33999999997</v>
      </c>
      <c r="D14" s="89">
        <f>+'Cost Allocations'!F14</f>
        <v>124399.73143158376</v>
      </c>
      <c r="E14" s="5">
        <f ca="1">+IF(E1=0,0,'Priceout-Chelan'!J70-'Priceout-Chelan'!E70)</f>
        <v>8337.5918050664332</v>
      </c>
      <c r="F14" s="109">
        <f t="shared" ca="1" si="0"/>
        <v>132737.32323665021</v>
      </c>
      <c r="G14" s="5">
        <f>+'Cost Allocations'!I14</f>
        <v>33662.807146704778</v>
      </c>
      <c r="H14" s="5">
        <f>+IF(H1=0,0,'Priceout-Douglas'!J60-'Priceout-Douglas'!E60)</f>
        <v>0</v>
      </c>
      <c r="I14" s="109">
        <f t="shared" si="1"/>
        <v>33662.807146704778</v>
      </c>
      <c r="J14" s="5">
        <f>+'Cost Allocations'!L14</f>
        <v>117489.80142171141</v>
      </c>
      <c r="K14" s="5">
        <f>+IF(K1=0,0,'Priceout-Okanogan'!J60-'Priceout-Okanogan'!E60)</f>
        <v>0</v>
      </c>
      <c r="L14" s="5">
        <f t="shared" si="2"/>
        <v>117489.80142171141</v>
      </c>
      <c r="O14" s="5">
        <f t="shared" si="3"/>
        <v>0</v>
      </c>
      <c r="Q14" s="5">
        <f>'Priceout-Chelan'!E70</f>
        <v>124155.25000000001</v>
      </c>
      <c r="R14" s="537">
        <f>(Q14-D14)/Q14</f>
        <v>-1.9691590293905649E-3</v>
      </c>
      <c r="S14" s="5">
        <f>'Priceout-Douglas'!E60</f>
        <v>33596.65</v>
      </c>
      <c r="T14" s="537">
        <f>(S14-G14)/S14</f>
        <v>-1.9691590293906117E-3</v>
      </c>
      <c r="U14" s="51">
        <f>'Priceout-Okanogan'!E60</f>
        <v>117258.90000000001</v>
      </c>
      <c r="V14" s="537">
        <f>(U14-J14)/U14</f>
        <v>-1.9691590293905346E-3</v>
      </c>
    </row>
    <row r="15" spans="1:22">
      <c r="A15">
        <v>3310</v>
      </c>
      <c r="B15" t="s">
        <v>235</v>
      </c>
      <c r="C15" s="5">
        <f>'Results of Operations Co'!N15</f>
        <v>466537.93999999994</v>
      </c>
      <c r="D15" s="89">
        <f>+'Cost Allocations'!F15</f>
        <v>333220.30652668345</v>
      </c>
      <c r="F15" s="109">
        <f t="shared" si="0"/>
        <v>333220.30652668345</v>
      </c>
      <c r="G15" s="5">
        <f>+'Cost Allocations'!I15</f>
        <v>23483.920781392455</v>
      </c>
      <c r="I15" s="109">
        <f t="shared" si="1"/>
        <v>23483.920781392455</v>
      </c>
      <c r="J15" s="5">
        <f>+'Cost Allocations'!L15</f>
        <v>109833.71269192404</v>
      </c>
      <c r="L15" s="5">
        <f t="shared" si="2"/>
        <v>109833.71269192404</v>
      </c>
      <c r="O15" s="5">
        <f t="shared" si="3"/>
        <v>0</v>
      </c>
      <c r="R15" s="53"/>
      <c r="T15" s="51"/>
    </row>
    <row r="16" spans="1:22">
      <c r="A16">
        <v>3410</v>
      </c>
      <c r="B16" t="s">
        <v>236</v>
      </c>
      <c r="C16" s="5">
        <f>'Results of Operations Co'!N16</f>
        <v>0</v>
      </c>
      <c r="D16" s="89">
        <f>+'Cost Allocations'!F18</f>
        <v>0</v>
      </c>
      <c r="F16" s="109">
        <f t="shared" si="0"/>
        <v>0</v>
      </c>
      <c r="G16" s="5">
        <f>+'Cost Allocations'!I18</f>
        <v>0</v>
      </c>
      <c r="I16" s="109">
        <f t="shared" si="1"/>
        <v>0</v>
      </c>
      <c r="J16" s="5">
        <f>+'Cost Allocations'!L18</f>
        <v>0</v>
      </c>
      <c r="L16" s="5">
        <f t="shared" si="2"/>
        <v>0</v>
      </c>
      <c r="O16" s="5">
        <f t="shared" si="3"/>
        <v>0</v>
      </c>
      <c r="R16" s="53"/>
      <c r="T16" s="51"/>
    </row>
    <row r="17" spans="1:18">
      <c r="A17">
        <v>3450</v>
      </c>
      <c r="B17" t="s">
        <v>237</v>
      </c>
      <c r="C17" s="5">
        <f>'Results of Operations Co'!N17</f>
        <v>0</v>
      </c>
      <c r="D17" s="89">
        <f>+'Cost Allocations'!F19</f>
        <v>0</v>
      </c>
      <c r="F17" s="109">
        <f t="shared" si="0"/>
        <v>0</v>
      </c>
      <c r="G17" s="5">
        <f>+'Cost Allocations'!I19</f>
        <v>0</v>
      </c>
      <c r="I17" s="109">
        <f t="shared" si="1"/>
        <v>0</v>
      </c>
      <c r="J17" s="5">
        <f>+'Cost Allocations'!L19</f>
        <v>0</v>
      </c>
      <c r="L17" s="5">
        <f t="shared" si="2"/>
        <v>0</v>
      </c>
      <c r="O17" s="5">
        <f t="shared" si="3"/>
        <v>0</v>
      </c>
      <c r="R17" s="53"/>
    </row>
    <row r="18" spans="1:18">
      <c r="A18">
        <v>3460</v>
      </c>
      <c r="B18" t="s">
        <v>238</v>
      </c>
      <c r="C18" s="5">
        <f>'Results of Operations Co'!N18</f>
        <v>0</v>
      </c>
      <c r="D18" s="89">
        <f>+'Cost Allocations'!F18</f>
        <v>0</v>
      </c>
      <c r="F18" s="109">
        <f t="shared" si="0"/>
        <v>0</v>
      </c>
      <c r="G18" s="5">
        <f>+'Cost Allocations'!I18</f>
        <v>0</v>
      </c>
      <c r="I18" s="109">
        <f t="shared" si="1"/>
        <v>0</v>
      </c>
      <c r="J18" s="5">
        <f>+'Cost Allocations'!L18</f>
        <v>0</v>
      </c>
      <c r="L18" s="5">
        <f t="shared" si="2"/>
        <v>0</v>
      </c>
      <c r="O18" s="5">
        <f t="shared" si="3"/>
        <v>0</v>
      </c>
      <c r="R18" s="53"/>
    </row>
    <row r="19" spans="1:18" ht="13.5" thickBot="1">
      <c r="A19">
        <v>3500</v>
      </c>
      <c r="B19" t="s">
        <v>239</v>
      </c>
      <c r="C19" s="5">
        <f>'Results of Operations Co'!N19</f>
        <v>0</v>
      </c>
      <c r="D19" s="113">
        <f>+'Cost Allocations'!F19</f>
        <v>0</v>
      </c>
      <c r="E19" s="4"/>
      <c r="F19" s="112">
        <f t="shared" si="0"/>
        <v>0</v>
      </c>
      <c r="G19" s="6">
        <f>+'Cost Allocations'!I19</f>
        <v>0</v>
      </c>
      <c r="H19" s="4"/>
      <c r="I19" s="112">
        <f t="shared" si="1"/>
        <v>0</v>
      </c>
      <c r="J19" s="6">
        <f>+'Cost Allocations'!L19</f>
        <v>0</v>
      </c>
      <c r="K19" s="4"/>
      <c r="L19" s="6">
        <f t="shared" si="2"/>
        <v>0</v>
      </c>
      <c r="O19" s="5">
        <f t="shared" si="3"/>
        <v>0</v>
      </c>
    </row>
    <row r="20" spans="1:18">
      <c r="A20">
        <v>0</v>
      </c>
      <c r="D20" s="86"/>
      <c r="F20" s="107"/>
      <c r="I20" s="107"/>
      <c r="O20" s="5">
        <f t="shared" si="3"/>
        <v>0</v>
      </c>
    </row>
    <row r="21" spans="1:18" ht="13.5" thickBot="1">
      <c r="B21" t="s">
        <v>240</v>
      </c>
      <c r="C21" s="114">
        <f t="shared" ref="C21:L21" si="4">SUM(C11:C19)</f>
        <v>2864326.5799999996</v>
      </c>
      <c r="D21" s="113">
        <f t="shared" si="4"/>
        <v>2133094.6323921541</v>
      </c>
      <c r="E21" s="6">
        <f t="shared" ca="1" si="4"/>
        <v>120092.38561293017</v>
      </c>
      <c r="F21" s="112">
        <f t="shared" ca="1" si="4"/>
        <v>2253187.0180050842</v>
      </c>
      <c r="G21" s="6">
        <f t="shared" si="4"/>
        <v>177485.48308564007</v>
      </c>
      <c r="H21" s="6">
        <f t="shared" ca="1" si="4"/>
        <v>32461.063357031038</v>
      </c>
      <c r="I21" s="112">
        <f t="shared" ca="1" si="4"/>
        <v>209946.5464426711</v>
      </c>
      <c r="J21" s="6">
        <f t="shared" si="4"/>
        <v>553746.46452220564</v>
      </c>
      <c r="K21" s="6">
        <f t="shared" ca="1" si="4"/>
        <v>-33170.846560172766</v>
      </c>
      <c r="L21" s="6">
        <f t="shared" ca="1" si="4"/>
        <v>520575.61796203279</v>
      </c>
      <c r="O21" s="5">
        <f t="shared" si="3"/>
        <v>0</v>
      </c>
    </row>
    <row r="22" spans="1:18">
      <c r="D22" s="86"/>
      <c r="F22" s="107"/>
      <c r="I22" s="107"/>
      <c r="O22" s="5">
        <f t="shared" si="3"/>
        <v>0</v>
      </c>
    </row>
    <row r="23" spans="1:18">
      <c r="A23" t="s">
        <v>241</v>
      </c>
      <c r="D23" s="86"/>
      <c r="F23" s="107"/>
      <c r="I23" s="107"/>
      <c r="O23" s="5">
        <f t="shared" si="3"/>
        <v>0</v>
      </c>
    </row>
    <row r="24" spans="1:18">
      <c r="A24" t="s">
        <v>242</v>
      </c>
      <c r="D24" s="86"/>
      <c r="F24" s="107"/>
      <c r="I24" s="107"/>
      <c r="O24" s="5">
        <f t="shared" si="3"/>
        <v>0</v>
      </c>
    </row>
    <row r="25" spans="1:18">
      <c r="A25">
        <v>4116</v>
      </c>
      <c r="B25" t="s">
        <v>243</v>
      </c>
      <c r="C25" s="5">
        <f>'Results of Operations Co'!N25</f>
        <v>107985.47407732035</v>
      </c>
      <c r="D25" s="89">
        <f>+'Cost Allocations'!F25</f>
        <v>83996.214372645249</v>
      </c>
      <c r="F25" s="109">
        <f t="shared" ref="F25:F38" si="5">+D25+E25</f>
        <v>83996.214372645249</v>
      </c>
      <c r="G25" s="5">
        <f>+'Cost Allocations'!I25</f>
        <v>7745.7183097483512</v>
      </c>
      <c r="I25" s="109">
        <f t="shared" ref="I25:I38" si="6">+G25+H25</f>
        <v>7745.7183097483512</v>
      </c>
      <c r="J25" s="5">
        <f>+'Cost Allocations'!L25</f>
        <v>16243.541394926753</v>
      </c>
      <c r="L25" s="5">
        <f t="shared" ref="L25:L38" si="7">+J25+K25</f>
        <v>16243.541394926753</v>
      </c>
      <c r="O25" s="5">
        <f t="shared" si="3"/>
        <v>0</v>
      </c>
    </row>
    <row r="26" spans="1:18">
      <c r="A26">
        <v>4117</v>
      </c>
      <c r="B26" t="s">
        <v>245</v>
      </c>
      <c r="C26" s="5">
        <f>'Results of Operations Co'!N26</f>
        <v>1875.4300000000003</v>
      </c>
      <c r="D26" s="89">
        <f>+'Cost Allocations'!F26</f>
        <v>1458.7982473281111</v>
      </c>
      <c r="F26" s="109">
        <f t="shared" si="5"/>
        <v>1458.7982473281111</v>
      </c>
      <c r="G26" s="5">
        <f>+'Cost Allocations'!I26</f>
        <v>134.52320892021061</v>
      </c>
      <c r="I26" s="109">
        <f t="shared" si="6"/>
        <v>134.52320892021061</v>
      </c>
      <c r="J26" s="5">
        <f>+'Cost Allocations'!L26</f>
        <v>282.10854375167861</v>
      </c>
      <c r="L26" s="5">
        <f t="shared" si="7"/>
        <v>282.10854375167861</v>
      </c>
      <c r="O26" s="5">
        <f t="shared" si="3"/>
        <v>0</v>
      </c>
    </row>
    <row r="27" spans="1:18">
      <c r="A27">
        <v>4118</v>
      </c>
      <c r="B27" t="s">
        <v>246</v>
      </c>
      <c r="C27" s="5">
        <f>'Results of Operations Co'!N27</f>
        <v>8899.3868552412641</v>
      </c>
      <c r="D27" s="89">
        <f>+'Cost Allocations'!F27</f>
        <v>7297.4972212978364</v>
      </c>
      <c r="F27" s="109">
        <f t="shared" si="5"/>
        <v>7297.4972212978364</v>
      </c>
      <c r="G27" s="5">
        <f>+'Cost Allocations'!I27</f>
        <v>444.96934276206321</v>
      </c>
      <c r="I27" s="109">
        <f t="shared" si="6"/>
        <v>444.96934276206321</v>
      </c>
      <c r="J27" s="5">
        <f>+'Cost Allocations'!L27</f>
        <v>1156.9202911813643</v>
      </c>
      <c r="L27" s="5">
        <f t="shared" si="7"/>
        <v>1156.9202911813643</v>
      </c>
      <c r="O27" s="5">
        <f t="shared" si="3"/>
        <v>0</v>
      </c>
    </row>
    <row r="28" spans="1:18">
      <c r="A28">
        <v>4119</v>
      </c>
      <c r="B28" t="s">
        <v>247</v>
      </c>
      <c r="C28" s="5">
        <f>'Results of Operations Co'!N28</f>
        <v>0</v>
      </c>
      <c r="D28" s="89">
        <f>+'Cost Allocations'!F28</f>
        <v>0</v>
      </c>
      <c r="F28" s="109">
        <f t="shared" si="5"/>
        <v>0</v>
      </c>
      <c r="G28" s="5">
        <f>+'Cost Allocations'!I28</f>
        <v>0</v>
      </c>
      <c r="I28" s="109">
        <f t="shared" si="6"/>
        <v>0</v>
      </c>
      <c r="J28" s="5">
        <f>+'Cost Allocations'!L28</f>
        <v>0</v>
      </c>
      <c r="L28" s="5">
        <f t="shared" si="7"/>
        <v>0</v>
      </c>
      <c r="O28" s="5">
        <f t="shared" si="3"/>
        <v>0</v>
      </c>
    </row>
    <row r="29" spans="1:18">
      <c r="A29">
        <v>4122</v>
      </c>
      <c r="B29" t="s">
        <v>248</v>
      </c>
      <c r="C29" s="5">
        <f>'Results of Operations Co'!N29</f>
        <v>0</v>
      </c>
      <c r="D29" s="89">
        <f>+'Cost Allocations'!F29</f>
        <v>0</v>
      </c>
      <c r="F29" s="109">
        <f t="shared" si="5"/>
        <v>0</v>
      </c>
      <c r="G29" s="5">
        <f>+'Cost Allocations'!I29</f>
        <v>0</v>
      </c>
      <c r="I29" s="109">
        <f t="shared" si="6"/>
        <v>0</v>
      </c>
      <c r="J29" s="5">
        <f>+'Cost Allocations'!L29</f>
        <v>0</v>
      </c>
      <c r="L29" s="5">
        <f t="shared" si="7"/>
        <v>0</v>
      </c>
      <c r="O29" s="5">
        <f t="shared" si="3"/>
        <v>0</v>
      </c>
    </row>
    <row r="30" spans="1:18">
      <c r="A30">
        <v>4132</v>
      </c>
      <c r="B30" t="s">
        <v>249</v>
      </c>
      <c r="C30" s="5">
        <f>'Results of Operations Co'!N30</f>
        <v>60980.099203726248</v>
      </c>
      <c r="D30" s="89">
        <f>+'Cost Allocations'!F30</f>
        <v>47433.208299051512</v>
      </c>
      <c r="F30" s="109">
        <f t="shared" si="5"/>
        <v>47433.208299051512</v>
      </c>
      <c r="G30" s="5">
        <f>+'Cost Allocations'!I30</f>
        <v>4374.0574829015395</v>
      </c>
      <c r="I30" s="109">
        <f t="shared" si="6"/>
        <v>4374.0574829015395</v>
      </c>
      <c r="J30" s="5">
        <f>+'Cost Allocations'!L30</f>
        <v>9172.8334217731954</v>
      </c>
      <c r="L30" s="5">
        <f t="shared" si="7"/>
        <v>9172.8334217731954</v>
      </c>
      <c r="O30" s="5">
        <f t="shared" si="3"/>
        <v>0</v>
      </c>
    </row>
    <row r="31" spans="1:18">
      <c r="A31">
        <v>4133</v>
      </c>
      <c r="B31" t="s">
        <v>250</v>
      </c>
      <c r="C31" s="5">
        <f>'Results of Operations Co'!N31</f>
        <v>13243.509999999998</v>
      </c>
      <c r="D31" s="89">
        <f>+'Cost Allocations'!F31</f>
        <v>10301.429099711697</v>
      </c>
      <c r="F31" s="109">
        <f t="shared" si="5"/>
        <v>10301.429099711697</v>
      </c>
      <c r="G31" s="5">
        <f>+'Cost Allocations'!I31</f>
        <v>949.94719214628003</v>
      </c>
      <c r="I31" s="109">
        <f t="shared" si="6"/>
        <v>949.94719214628003</v>
      </c>
      <c r="J31" s="5">
        <f>+'Cost Allocations'!L31</f>
        <v>1992.133708142022</v>
      </c>
      <c r="L31" s="5">
        <f t="shared" si="7"/>
        <v>1992.133708142022</v>
      </c>
      <c r="O31" s="5">
        <f t="shared" si="3"/>
        <v>0</v>
      </c>
    </row>
    <row r="32" spans="1:18">
      <c r="A32">
        <v>4134</v>
      </c>
      <c r="B32" t="s">
        <v>251</v>
      </c>
      <c r="C32" s="5">
        <f>'Results of Operations Co'!N32</f>
        <v>12266.924916805325</v>
      </c>
      <c r="D32" s="89">
        <f>+'Cost Allocations'!F32</f>
        <v>10058.878431780366</v>
      </c>
      <c r="F32" s="109">
        <f t="shared" si="5"/>
        <v>10058.878431780366</v>
      </c>
      <c r="G32" s="5">
        <f>+'Cost Allocations'!I32</f>
        <v>613.34624584026631</v>
      </c>
      <c r="I32" s="109">
        <f t="shared" si="6"/>
        <v>613.34624584026631</v>
      </c>
      <c r="J32" s="5">
        <f>+'Cost Allocations'!L32</f>
        <v>1594.7002391846922</v>
      </c>
      <c r="L32" s="5">
        <f t="shared" si="7"/>
        <v>1594.7002391846922</v>
      </c>
      <c r="O32" s="5">
        <f t="shared" si="3"/>
        <v>0</v>
      </c>
    </row>
    <row r="33" spans="1:15">
      <c r="A33">
        <v>4135</v>
      </c>
      <c r="B33" t="s">
        <v>252</v>
      </c>
      <c r="C33" s="5">
        <f>'Results of Operations Co'!N33</f>
        <v>37.83</v>
      </c>
      <c r="D33" s="89">
        <f>+'Cost Allocations'!F33</f>
        <v>31.020599999999998</v>
      </c>
      <c r="F33" s="109">
        <f t="shared" si="5"/>
        <v>31.020599999999998</v>
      </c>
      <c r="G33" s="5">
        <f>+'Cost Allocations'!I33</f>
        <v>1.8915</v>
      </c>
      <c r="I33" s="109">
        <f t="shared" si="6"/>
        <v>1.8915</v>
      </c>
      <c r="J33" s="5">
        <f>+'Cost Allocations'!L33</f>
        <v>4.9179000000000004</v>
      </c>
      <c r="L33" s="5">
        <f t="shared" si="7"/>
        <v>4.9179000000000004</v>
      </c>
      <c r="O33" s="5">
        <f t="shared" si="3"/>
        <v>0</v>
      </c>
    </row>
    <row r="34" spans="1:15">
      <c r="A34">
        <v>4138</v>
      </c>
      <c r="B34" t="s">
        <v>253</v>
      </c>
      <c r="C34" s="5">
        <f>'Results of Operations Co'!N34</f>
        <v>0</v>
      </c>
      <c r="D34" s="89">
        <f>+'Cost Allocations'!F34</f>
        <v>0</v>
      </c>
      <c r="F34" s="109">
        <f t="shared" si="5"/>
        <v>0</v>
      </c>
      <c r="G34" s="5">
        <f>+'Cost Allocations'!I34</f>
        <v>0</v>
      </c>
      <c r="I34" s="109">
        <f t="shared" si="6"/>
        <v>0</v>
      </c>
      <c r="J34" s="5">
        <f>+'Cost Allocations'!L34</f>
        <v>0</v>
      </c>
      <c r="L34" s="5">
        <f t="shared" si="7"/>
        <v>0</v>
      </c>
      <c r="O34" s="5">
        <f t="shared" si="3"/>
        <v>0</v>
      </c>
    </row>
    <row r="35" spans="1:15">
      <c r="A35">
        <v>4160</v>
      </c>
      <c r="B35" t="s">
        <v>254</v>
      </c>
      <c r="C35" s="5">
        <f>'Results of Operations Co'!N35</f>
        <v>18151.884985541339</v>
      </c>
      <c r="D35" s="89">
        <f>+'Cost Allocations'!F35</f>
        <v>12510.176262397195</v>
      </c>
      <c r="F35" s="109">
        <f t="shared" si="5"/>
        <v>12510.176262397195</v>
      </c>
      <c r="G35" s="5">
        <f>+'Cost Allocations'!I35</f>
        <v>1600.1090690715441</v>
      </c>
      <c r="I35" s="109">
        <f t="shared" si="6"/>
        <v>1600.1090690715441</v>
      </c>
      <c r="J35" s="5">
        <f>+'Cost Allocations'!L35</f>
        <v>4041.5996540726005</v>
      </c>
      <c r="L35" s="5">
        <f t="shared" si="7"/>
        <v>4041.5996540726005</v>
      </c>
      <c r="O35" s="5">
        <f t="shared" si="3"/>
        <v>0</v>
      </c>
    </row>
    <row r="36" spans="1:15">
      <c r="A36">
        <v>4161</v>
      </c>
      <c r="B36" t="s">
        <v>256</v>
      </c>
      <c r="C36" s="5">
        <f>'Results of Operations Co'!N36</f>
        <v>0</v>
      </c>
      <c r="D36" s="89">
        <f>+'Cost Allocations'!F36</f>
        <v>0</v>
      </c>
      <c r="F36" s="109">
        <f t="shared" si="5"/>
        <v>0</v>
      </c>
      <c r="G36" s="5">
        <f>+'Cost Allocations'!I36</f>
        <v>0</v>
      </c>
      <c r="I36" s="109">
        <f t="shared" si="6"/>
        <v>0</v>
      </c>
      <c r="J36" s="5">
        <f>+'Cost Allocations'!L36</f>
        <v>0</v>
      </c>
      <c r="L36" s="5">
        <f t="shared" si="7"/>
        <v>0</v>
      </c>
      <c r="O36" s="5">
        <f t="shared" si="3"/>
        <v>0</v>
      </c>
    </row>
    <row r="37" spans="1:15">
      <c r="A37">
        <v>4162</v>
      </c>
      <c r="B37" t="s">
        <v>689</v>
      </c>
      <c r="C37" s="5">
        <f>'Results of Operations Co'!N37</f>
        <v>0</v>
      </c>
      <c r="D37" s="89">
        <f>+'Cost Allocations'!F37</f>
        <v>0</v>
      </c>
      <c r="F37" s="109">
        <f>+D37+E37</f>
        <v>0</v>
      </c>
      <c r="G37" s="5">
        <f>+'Cost Allocations'!I37</f>
        <v>0</v>
      </c>
      <c r="I37" s="109">
        <f>+G37+H37</f>
        <v>0</v>
      </c>
      <c r="J37" s="5">
        <f>+'Cost Allocations'!L37</f>
        <v>0</v>
      </c>
      <c r="L37" s="5">
        <f>+J37+K37</f>
        <v>0</v>
      </c>
      <c r="O37" s="5">
        <f>+C37-D37-G37-J37</f>
        <v>0</v>
      </c>
    </row>
    <row r="38" spans="1:15">
      <c r="A38">
        <v>4180</v>
      </c>
      <c r="B38" t="s">
        <v>258</v>
      </c>
      <c r="C38" s="5">
        <f>'Results of Operations Co'!N38</f>
        <v>12769.953277658082</v>
      </c>
      <c r="D38" s="89">
        <f>+'Cost Allocations'!F38</f>
        <v>9933.0742602547016</v>
      </c>
      <c r="F38" s="109">
        <f t="shared" si="5"/>
        <v>9933.0742602547016</v>
      </c>
      <c r="G38" s="5">
        <f>+'Cost Allocations'!I38</f>
        <v>915.97931816795415</v>
      </c>
      <c r="I38" s="109">
        <f t="shared" si="6"/>
        <v>915.97931816795415</v>
      </c>
      <c r="J38" s="5">
        <f>+'Cost Allocations'!L38</f>
        <v>1920.8996992354266</v>
      </c>
      <c r="L38" s="5">
        <f t="shared" si="7"/>
        <v>1920.8996992354266</v>
      </c>
      <c r="O38" s="5">
        <f t="shared" si="3"/>
        <v>0</v>
      </c>
    </row>
    <row r="39" spans="1:15">
      <c r="A39" t="s">
        <v>259</v>
      </c>
      <c r="C39" s="5">
        <f>'Results of Operations Co'!N39</f>
        <v>0</v>
      </c>
      <c r="D39" s="89"/>
      <c r="F39" s="109"/>
      <c r="G39" s="5"/>
      <c r="I39" s="109"/>
      <c r="J39" s="5"/>
      <c r="L39" s="5"/>
      <c r="O39" s="5">
        <f t="shared" si="3"/>
        <v>0</v>
      </c>
    </row>
    <row r="40" spans="1:15">
      <c r="A40">
        <v>4210</v>
      </c>
      <c r="B40" t="s">
        <v>260</v>
      </c>
      <c r="C40" s="5">
        <f>'Results of Operations Co'!N40</f>
        <v>0</v>
      </c>
      <c r="D40" s="89">
        <f>+'Cost Allocations'!F40</f>
        <v>0</v>
      </c>
      <c r="F40" s="109">
        <f t="shared" ref="F40:F49" si="8">+D40+E40</f>
        <v>0</v>
      </c>
      <c r="G40" s="5">
        <f>+'Cost Allocations'!I40</f>
        <v>0</v>
      </c>
      <c r="I40" s="109">
        <f t="shared" ref="I40:I49" si="9">+G40+H40</f>
        <v>0</v>
      </c>
      <c r="J40" s="5">
        <f>+'Cost Allocations'!L40</f>
        <v>0</v>
      </c>
      <c r="L40" s="5">
        <f t="shared" ref="L40:L49" si="10">+J40+K40</f>
        <v>0</v>
      </c>
      <c r="O40" s="5">
        <f t="shared" si="3"/>
        <v>0</v>
      </c>
    </row>
    <row r="41" spans="1:15">
      <c r="A41">
        <v>4213</v>
      </c>
      <c r="B41" t="s">
        <v>261</v>
      </c>
      <c r="C41" s="5">
        <f>'Results of Operations Co'!N41</f>
        <v>318929.60365172644</v>
      </c>
      <c r="D41" s="89">
        <f>+'Cost Allocations'!F41</f>
        <v>248078.54562856923</v>
      </c>
      <c r="F41" s="109">
        <f t="shared" si="8"/>
        <v>248078.54562856923</v>
      </c>
      <c r="G41" s="5">
        <f>+'Cost Allocations'!I41</f>
        <v>22876.584944722625</v>
      </c>
      <c r="I41" s="109">
        <f t="shared" si="9"/>
        <v>22876.584944722625</v>
      </c>
      <c r="J41" s="5">
        <f>+'Cost Allocations'!L41</f>
        <v>47974.473078434581</v>
      </c>
      <c r="L41" s="5">
        <f t="shared" si="10"/>
        <v>47974.473078434581</v>
      </c>
      <c r="O41" s="5">
        <f t="shared" si="3"/>
        <v>0</v>
      </c>
    </row>
    <row r="42" spans="1:15">
      <c r="A42">
        <v>4215</v>
      </c>
      <c r="B42" t="s">
        <v>262</v>
      </c>
      <c r="C42" s="5">
        <f>'Results of Operations Co'!N42</f>
        <v>54742.020000000004</v>
      </c>
      <c r="D42" s="89">
        <f>+'Cost Allocations'!F42</f>
        <v>24713.608260493773</v>
      </c>
      <c r="F42" s="109">
        <f t="shared" si="8"/>
        <v>24713.608260493773</v>
      </c>
      <c r="G42" s="5">
        <f>+'Cost Allocations'!I42</f>
        <v>6687.5500388821092</v>
      </c>
      <c r="I42" s="109">
        <f t="shared" si="9"/>
        <v>6687.5500388821092</v>
      </c>
      <c r="J42" s="5">
        <f>+'Cost Allocations'!L42</f>
        <v>23340.861700624118</v>
      </c>
      <c r="L42" s="5">
        <f t="shared" si="10"/>
        <v>23340.861700624118</v>
      </c>
      <c r="O42" s="5">
        <f t="shared" si="3"/>
        <v>0</v>
      </c>
    </row>
    <row r="43" spans="1:15">
      <c r="A43">
        <v>4216</v>
      </c>
      <c r="B43" t="s">
        <v>264</v>
      </c>
      <c r="C43" s="5">
        <f>'Results of Operations Co'!N43</f>
        <v>19114.629865717739</v>
      </c>
      <c r="D43" s="89">
        <f>+'Cost Allocations'!F43</f>
        <v>14868.264102864197</v>
      </c>
      <c r="F43" s="109">
        <f t="shared" si="8"/>
        <v>14868.264102864197</v>
      </c>
      <c r="G43" s="5">
        <f>+'Cost Allocations'!I43</f>
        <v>1371.078284371288</v>
      </c>
      <c r="I43" s="109">
        <f t="shared" si="9"/>
        <v>1371.078284371288</v>
      </c>
      <c r="J43" s="5">
        <f>+'Cost Allocations'!L43</f>
        <v>2875.2874784822548</v>
      </c>
      <c r="L43" s="5">
        <f t="shared" si="10"/>
        <v>2875.2874784822548</v>
      </c>
      <c r="O43" s="5">
        <f t="shared" si="3"/>
        <v>0</v>
      </c>
    </row>
    <row r="44" spans="1:15">
      <c r="A44">
        <v>4222</v>
      </c>
      <c r="B44" t="s">
        <v>265</v>
      </c>
      <c r="C44" s="5">
        <f>'Results of Operations Co'!N44</f>
        <v>0</v>
      </c>
      <c r="D44" s="89">
        <f>+'Cost Allocations'!F44</f>
        <v>0</v>
      </c>
      <c r="F44" s="109">
        <f t="shared" si="8"/>
        <v>0</v>
      </c>
      <c r="G44" s="5">
        <f>+'Cost Allocations'!I44</f>
        <v>0</v>
      </c>
      <c r="I44" s="109">
        <f t="shared" si="9"/>
        <v>0</v>
      </c>
      <c r="J44" s="5">
        <f>+'Cost Allocations'!L44</f>
        <v>0</v>
      </c>
      <c r="L44" s="5">
        <f t="shared" si="10"/>
        <v>0</v>
      </c>
      <c r="O44" s="5">
        <f t="shared" ref="O44:O77" si="11">+C44-D44-G44-J44</f>
        <v>0</v>
      </c>
    </row>
    <row r="45" spans="1:15">
      <c r="A45">
        <v>4240</v>
      </c>
      <c r="B45" t="s">
        <v>266</v>
      </c>
      <c r="C45" s="5">
        <f>'Results of Operations Co'!N45</f>
        <v>87760.758213382462</v>
      </c>
      <c r="D45" s="89">
        <f>+'Cost Allocations'!F45</f>
        <v>68264.472822695825</v>
      </c>
      <c r="F45" s="109">
        <f t="shared" si="8"/>
        <v>68264.472822695825</v>
      </c>
      <c r="G45" s="5">
        <f>+'Cost Allocations'!I45</f>
        <v>6295.0143765082867</v>
      </c>
      <c r="I45" s="109">
        <f t="shared" si="9"/>
        <v>6295.0143765082867</v>
      </c>
      <c r="J45" s="5">
        <f>+'Cost Allocations'!L45</f>
        <v>13201.271014178343</v>
      </c>
      <c r="L45" s="5">
        <f t="shared" si="10"/>
        <v>13201.271014178343</v>
      </c>
      <c r="O45" s="5">
        <f t="shared" si="11"/>
        <v>0</v>
      </c>
    </row>
    <row r="46" spans="1:15">
      <c r="A46">
        <v>4241</v>
      </c>
      <c r="B46" t="s">
        <v>267</v>
      </c>
      <c r="C46" s="5">
        <f>'Results of Operations Co'!N46</f>
        <v>25731.398991948474</v>
      </c>
      <c r="D46" s="89">
        <f>+'Cost Allocations'!F46</f>
        <v>20015.100404043205</v>
      </c>
      <c r="F46" s="109">
        <f t="shared" si="8"/>
        <v>20015.100404043205</v>
      </c>
      <c r="G46" s="5">
        <f>+'Cost Allocations'!I46</f>
        <v>1845.6942474009591</v>
      </c>
      <c r="I46" s="109">
        <f t="shared" si="9"/>
        <v>1845.6942474009591</v>
      </c>
      <c r="J46" s="5">
        <f>+'Cost Allocations'!L46</f>
        <v>3870.6043405043079</v>
      </c>
      <c r="L46" s="5">
        <f t="shared" si="10"/>
        <v>3870.6043405043079</v>
      </c>
      <c r="O46" s="5">
        <f t="shared" si="11"/>
        <v>0</v>
      </c>
    </row>
    <row r="47" spans="1:15">
      <c r="A47">
        <v>4244</v>
      </c>
      <c r="B47" t="s">
        <v>268</v>
      </c>
      <c r="C47" s="5">
        <f>'Results of Operations Co'!N47</f>
        <v>0</v>
      </c>
      <c r="D47" s="89">
        <f>+'Cost Allocations'!F47</f>
        <v>0</v>
      </c>
      <c r="F47" s="109">
        <f t="shared" si="8"/>
        <v>0</v>
      </c>
      <c r="G47" s="5">
        <f>+'Cost Allocations'!I47</f>
        <v>0</v>
      </c>
      <c r="I47" s="109">
        <f t="shared" si="9"/>
        <v>0</v>
      </c>
      <c r="J47" s="5">
        <f>+'Cost Allocations'!L47</f>
        <v>0</v>
      </c>
      <c r="L47" s="5">
        <f t="shared" si="10"/>
        <v>0</v>
      </c>
      <c r="O47" s="5">
        <f t="shared" si="11"/>
        <v>0</v>
      </c>
    </row>
    <row r="48" spans="1:15">
      <c r="A48">
        <v>4280</v>
      </c>
      <c r="B48" t="s">
        <v>269</v>
      </c>
      <c r="C48" s="5">
        <f>'Results of Operations Co'!N48</f>
        <v>4349.3604723524541</v>
      </c>
      <c r="D48" s="89">
        <f>+'Cost Allocations'!F48</f>
        <v>3383.138498406192</v>
      </c>
      <c r="F48" s="109">
        <f t="shared" si="8"/>
        <v>3383.138498406192</v>
      </c>
      <c r="G48" s="5">
        <f>+'Cost Allocations'!I48</f>
        <v>311.97641473772683</v>
      </c>
      <c r="I48" s="109">
        <f t="shared" si="9"/>
        <v>311.97641473772683</v>
      </c>
      <c r="J48" s="5">
        <f>+'Cost Allocations'!L48</f>
        <v>654.2455592085355</v>
      </c>
      <c r="L48" s="5">
        <f t="shared" si="10"/>
        <v>654.2455592085355</v>
      </c>
      <c r="O48" s="5">
        <f t="shared" si="11"/>
        <v>0</v>
      </c>
    </row>
    <row r="49" spans="1:15">
      <c r="A49">
        <v>4282</v>
      </c>
      <c r="B49" t="s">
        <v>270</v>
      </c>
      <c r="C49" s="5">
        <f>'Results of Operations Co'!N49</f>
        <v>0</v>
      </c>
      <c r="D49" s="89">
        <f>+'Cost Allocations'!F49</f>
        <v>0</v>
      </c>
      <c r="F49" s="109">
        <f t="shared" si="8"/>
        <v>0</v>
      </c>
      <c r="G49" s="5">
        <f>+'Cost Allocations'!I49</f>
        <v>0</v>
      </c>
      <c r="I49" s="109">
        <f t="shared" si="9"/>
        <v>0</v>
      </c>
      <c r="J49" s="5">
        <f>+'Cost Allocations'!L49</f>
        <v>0</v>
      </c>
      <c r="L49" s="5">
        <f t="shared" si="10"/>
        <v>0</v>
      </c>
      <c r="O49" s="5">
        <f t="shared" si="11"/>
        <v>0</v>
      </c>
    </row>
    <row r="50" spans="1:15">
      <c r="A50" t="s">
        <v>271</v>
      </c>
      <c r="C50" s="5">
        <f>'Results of Operations Co'!N50</f>
        <v>0</v>
      </c>
      <c r="D50" s="89"/>
      <c r="F50" s="109"/>
      <c r="G50" s="5"/>
      <c r="I50" s="109"/>
      <c r="J50" s="5"/>
      <c r="L50" s="5"/>
      <c r="O50" s="5">
        <f t="shared" si="11"/>
        <v>0</v>
      </c>
    </row>
    <row r="51" spans="1:15">
      <c r="A51">
        <v>4360</v>
      </c>
      <c r="B51" t="s">
        <v>272</v>
      </c>
      <c r="C51" s="5">
        <f>'Results of Operations Co'!N51</f>
        <v>438756.17167657125</v>
      </c>
      <c r="D51" s="89">
        <f>+'Cost Allocations'!F51</f>
        <v>432864.43865748245</v>
      </c>
      <c r="F51" s="109">
        <f>+D51+E51</f>
        <v>432864.43865748245</v>
      </c>
      <c r="G51" s="5">
        <f>+'Cost Allocations'!I51</f>
        <v>237.25099405726331</v>
      </c>
      <c r="I51" s="109">
        <f>+G51+H51</f>
        <v>237.25099405726331</v>
      </c>
      <c r="J51" s="5">
        <f>+'Cost Allocations'!L51</f>
        <v>5654.4820250315142</v>
      </c>
      <c r="L51" s="5">
        <f>+J51+K51</f>
        <v>5654.4820250315142</v>
      </c>
      <c r="O51" s="5">
        <f t="shared" si="11"/>
        <v>2.4556356947869062E-11</v>
      </c>
    </row>
    <row r="52" spans="1:15">
      <c r="A52">
        <v>4361</v>
      </c>
      <c r="B52" t="s">
        <v>273</v>
      </c>
      <c r="C52" s="5">
        <f>'Results of Operations Co'!N52</f>
        <v>333898.95999999996</v>
      </c>
      <c r="D52" s="89">
        <f>+'Cost Allocations'!F52</f>
        <v>333898.95999999996</v>
      </c>
      <c r="F52" s="109">
        <f>+D52+E52</f>
        <v>333898.95999999996</v>
      </c>
      <c r="G52" s="5">
        <f>+'Cost Allocations'!I52</f>
        <v>0</v>
      </c>
      <c r="I52" s="109">
        <f>+G52+H52</f>
        <v>0</v>
      </c>
      <c r="J52" s="5">
        <f>+'Cost Allocations'!L52</f>
        <v>0</v>
      </c>
      <c r="L52" s="5">
        <f>+J52+K52</f>
        <v>0</v>
      </c>
      <c r="O52" s="5">
        <f t="shared" si="11"/>
        <v>0</v>
      </c>
    </row>
    <row r="53" spans="1:15">
      <c r="A53">
        <v>4362</v>
      </c>
      <c r="B53" t="s">
        <v>274</v>
      </c>
      <c r="C53" s="5">
        <f>'Results of Operations Co'!N53</f>
        <v>116474.65497745844</v>
      </c>
      <c r="D53" s="89">
        <f>+'Cost Allocations'!F53</f>
        <v>0</v>
      </c>
      <c r="F53" s="109">
        <f>+D53+E53</f>
        <v>0</v>
      </c>
      <c r="G53" s="5">
        <f>+'Cost Allocations'!I53</f>
        <v>32557.580431533101</v>
      </c>
      <c r="I53" s="109">
        <f>+G53+H53</f>
        <v>32557.580431533101</v>
      </c>
      <c r="J53" s="5">
        <f>+'Cost Allocations'!L53</f>
        <v>83917.074545925338</v>
      </c>
      <c r="L53" s="5">
        <f>+J53+K53</f>
        <v>83917.074545925338</v>
      </c>
      <c r="O53" s="5">
        <f t="shared" si="11"/>
        <v>0</v>
      </c>
    </row>
    <row r="54" spans="1:15">
      <c r="A54">
        <v>4363</v>
      </c>
      <c r="B54" t="s">
        <v>275</v>
      </c>
      <c r="C54" s="5">
        <f>'Results of Operations Co'!N54</f>
        <v>132638.97999999998</v>
      </c>
      <c r="D54" s="89">
        <f>+'Cost Allocations'!F54</f>
        <v>0</v>
      </c>
      <c r="F54" s="109">
        <f>+D54+E54</f>
        <v>0</v>
      </c>
      <c r="G54" s="5">
        <f>+'Cost Allocations'!I54</f>
        <v>23364.375872064524</v>
      </c>
      <c r="I54" s="109">
        <f>+G54+H54</f>
        <v>23364.375872064524</v>
      </c>
      <c r="J54" s="5">
        <f>+'Cost Allocations'!L54</f>
        <v>109274.60412793545</v>
      </c>
      <c r="L54" s="5">
        <f>+J54+K54</f>
        <v>109274.60412793545</v>
      </c>
      <c r="O54" s="5">
        <f t="shared" si="11"/>
        <v>0</v>
      </c>
    </row>
    <row r="55" spans="1:15">
      <c r="A55">
        <v>4380</v>
      </c>
      <c r="B55" t="s">
        <v>276</v>
      </c>
      <c r="C55" s="5">
        <f>'Results of Operations Co'!N55</f>
        <v>0</v>
      </c>
      <c r="D55" s="89">
        <f>+'Cost Allocations'!F55</f>
        <v>0</v>
      </c>
      <c r="F55" s="109">
        <f>+D55+E55</f>
        <v>0</v>
      </c>
      <c r="G55" s="5">
        <f>+'Cost Allocations'!I55</f>
        <v>0</v>
      </c>
      <c r="I55" s="109">
        <f>+G55+H55</f>
        <v>0</v>
      </c>
      <c r="J55" s="5">
        <f>+'Cost Allocations'!L55</f>
        <v>0</v>
      </c>
      <c r="L55" s="5">
        <f>+J55+K55</f>
        <v>0</v>
      </c>
      <c r="O55" s="5">
        <f t="shared" si="11"/>
        <v>0</v>
      </c>
    </row>
    <row r="56" spans="1:15">
      <c r="A56" t="s">
        <v>277</v>
      </c>
      <c r="C56" s="5">
        <f>'Results of Operations Co'!N56</f>
        <v>0</v>
      </c>
      <c r="D56" s="89"/>
      <c r="F56" s="109"/>
      <c r="G56" s="5"/>
      <c r="I56" s="109"/>
      <c r="J56" s="5"/>
      <c r="L56" s="5"/>
      <c r="O56" s="5">
        <f t="shared" si="11"/>
        <v>0</v>
      </c>
    </row>
    <row r="57" spans="1:15">
      <c r="A57">
        <v>4430</v>
      </c>
      <c r="B57" t="s">
        <v>278</v>
      </c>
      <c r="C57" s="5">
        <f>'Results of Operations Co'!N57</f>
        <v>0</v>
      </c>
      <c r="D57" s="89">
        <f>+'Cost Allocations'!F57</f>
        <v>0</v>
      </c>
      <c r="F57" s="109">
        <f>+D57+E57</f>
        <v>0</v>
      </c>
      <c r="G57" s="5">
        <f>+'Cost Allocations'!I57</f>
        <v>0</v>
      </c>
      <c r="I57" s="109">
        <f>+G57+H57</f>
        <v>0</v>
      </c>
      <c r="J57" s="5">
        <f>+'Cost Allocations'!L57</f>
        <v>0</v>
      </c>
      <c r="L57" s="5">
        <f>+J57+K57</f>
        <v>0</v>
      </c>
      <c r="O57" s="5">
        <f t="shared" si="11"/>
        <v>0</v>
      </c>
    </row>
    <row r="58" spans="1:15">
      <c r="A58">
        <v>4450</v>
      </c>
      <c r="B58" t="s">
        <v>279</v>
      </c>
      <c r="C58" s="5">
        <f>'Results of Operations Co'!N58</f>
        <v>1995</v>
      </c>
      <c r="D58" s="89">
        <f>+'Cost Allocations'!F58</f>
        <v>1995</v>
      </c>
      <c r="F58" s="109">
        <f>+D58+E58</f>
        <v>1995</v>
      </c>
      <c r="G58" s="5">
        <f>+'Cost Allocations'!I58</f>
        <v>0</v>
      </c>
      <c r="I58" s="109">
        <f>+G58+H58</f>
        <v>0</v>
      </c>
      <c r="J58" s="5">
        <f>+'Cost Allocations'!L58</f>
        <v>0</v>
      </c>
      <c r="L58" s="5">
        <f>+J58+K58</f>
        <v>0</v>
      </c>
      <c r="O58" s="5">
        <f t="shared" si="11"/>
        <v>0</v>
      </c>
    </row>
    <row r="59" spans="1:15">
      <c r="A59" t="s">
        <v>280</v>
      </c>
      <c r="C59" s="5">
        <f>'Results of Operations Co'!N59</f>
        <v>0</v>
      </c>
      <c r="D59" s="89"/>
      <c r="F59" s="109"/>
      <c r="G59" s="5"/>
      <c r="I59" s="109"/>
      <c r="J59" s="5"/>
      <c r="L59" s="5"/>
      <c r="O59" s="5">
        <f t="shared" si="11"/>
        <v>0</v>
      </c>
    </row>
    <row r="60" spans="1:15">
      <c r="A60">
        <v>4530</v>
      </c>
      <c r="B60" t="s">
        <v>281</v>
      </c>
      <c r="C60" s="5">
        <f>'Results of Operations Co'!N60</f>
        <v>78582.469133823906</v>
      </c>
      <c r="D60" s="89">
        <f>+'Cost Allocations'!F60</f>
        <v>61125.165025160997</v>
      </c>
      <c r="F60" s="109">
        <f>+D60+E60</f>
        <v>61125.165025160997</v>
      </c>
      <c r="G60" s="5">
        <f>+'Cost Allocations'!I60</f>
        <v>5636.6624788743884</v>
      </c>
      <c r="I60" s="109">
        <f>+G60+H60</f>
        <v>5636.6624788743884</v>
      </c>
      <c r="J60" s="5">
        <f>+'Cost Allocations'!L60</f>
        <v>11820.641629788524</v>
      </c>
      <c r="L60" s="5">
        <f>+J60+K60</f>
        <v>11820.641629788524</v>
      </c>
      <c r="O60" s="5">
        <f t="shared" si="11"/>
        <v>0</v>
      </c>
    </row>
    <row r="61" spans="1:15">
      <c r="A61">
        <v>4540</v>
      </c>
      <c r="B61" t="s">
        <v>282</v>
      </c>
      <c r="C61" s="5">
        <f>'Results of Operations Co'!N61</f>
        <v>20747.468827861889</v>
      </c>
      <c r="D61" s="89">
        <f>+'Cost Allocations'!F61</f>
        <v>16138.36355533373</v>
      </c>
      <c r="F61" s="109">
        <f>+D61+E61</f>
        <v>16138.36355533373</v>
      </c>
      <c r="G61" s="5">
        <f>+'Cost Allocations'!I61</f>
        <v>1488.2006172963115</v>
      </c>
      <c r="I61" s="109">
        <f>+G61+H61</f>
        <v>1488.2006172963115</v>
      </c>
      <c r="J61" s="5">
        <f>+'Cost Allocations'!L61</f>
        <v>3120.9046552318468</v>
      </c>
      <c r="L61" s="5">
        <f>+J61+K61</f>
        <v>3120.9046552318468</v>
      </c>
      <c r="O61" s="5">
        <f t="shared" si="11"/>
        <v>0</v>
      </c>
    </row>
    <row r="62" spans="1:15">
      <c r="A62">
        <v>4580</v>
      </c>
      <c r="B62" t="s">
        <v>283</v>
      </c>
      <c r="C62" s="5">
        <f>'Results of Operations Co'!N62</f>
        <v>0</v>
      </c>
      <c r="D62" s="89">
        <f>+'Cost Allocations'!F62</f>
        <v>0</v>
      </c>
      <c r="F62" s="109">
        <f>+D62+E62</f>
        <v>0</v>
      </c>
      <c r="G62" s="5">
        <f>+'Cost Allocations'!I62</f>
        <v>0</v>
      </c>
      <c r="I62" s="109">
        <f>+G62+H62</f>
        <v>0</v>
      </c>
      <c r="J62" s="5">
        <f>+'Cost Allocations'!L62</f>
        <v>0</v>
      </c>
      <c r="L62" s="5">
        <f>+J62+K62</f>
        <v>0</v>
      </c>
      <c r="O62" s="5">
        <f t="shared" si="11"/>
        <v>0</v>
      </c>
    </row>
    <row r="63" spans="1:15">
      <c r="A63" t="s">
        <v>284</v>
      </c>
      <c r="C63" s="5">
        <f>'Results of Operations Co'!N63</f>
        <v>0</v>
      </c>
      <c r="D63" s="89"/>
      <c r="F63" s="109"/>
      <c r="G63" s="5"/>
      <c r="I63" s="109"/>
      <c r="J63" s="5"/>
      <c r="L63" s="5"/>
      <c r="O63" s="5">
        <f t="shared" si="11"/>
        <v>0</v>
      </c>
    </row>
    <row r="64" spans="1:15">
      <c r="A64">
        <v>4611</v>
      </c>
      <c r="B64" t="s">
        <v>285</v>
      </c>
      <c r="C64" s="5">
        <f>'Results of Operations Co'!N64</f>
        <v>63674.283922664821</v>
      </c>
      <c r="D64" s="89">
        <f>+'Cost Allocations'!F64</f>
        <v>48163.025592539416</v>
      </c>
      <c r="F64" s="109">
        <f t="shared" ref="F64:F83" si="12">+D64+E64</f>
        <v>48163.025592539416</v>
      </c>
      <c r="G64" s="5">
        <f>+'Cost Allocations'!I64</f>
        <v>4900.0290919745603</v>
      </c>
      <c r="I64" s="109">
        <f t="shared" ref="I64:I83" si="13">+G64+H64</f>
        <v>4900.0290919745603</v>
      </c>
      <c r="J64" s="5">
        <f>+'Cost Allocations'!L64</f>
        <v>10611.229238150841</v>
      </c>
      <c r="L64" s="5">
        <f t="shared" ref="L64:L83" si="14">+J64+K64</f>
        <v>10611.229238150841</v>
      </c>
      <c r="O64" s="5">
        <f t="shared" si="11"/>
        <v>0</v>
      </c>
    </row>
    <row r="65" spans="1:15">
      <c r="A65">
        <v>4612</v>
      </c>
      <c r="B65" t="s">
        <v>286</v>
      </c>
      <c r="C65" s="5">
        <f>'Results of Operations Co'!N65</f>
        <v>43234.356362584826</v>
      </c>
      <c r="D65" s="89">
        <f>+'Cost Allocations'!F65</f>
        <v>32702.329475698272</v>
      </c>
      <c r="F65" s="109">
        <f t="shared" si="12"/>
        <v>32702.329475698272</v>
      </c>
      <c r="G65" s="5">
        <f>+'Cost Allocations'!I65</f>
        <v>3327.0826289426604</v>
      </c>
      <c r="I65" s="109">
        <f t="shared" si="13"/>
        <v>3327.0826289426604</v>
      </c>
      <c r="J65" s="5">
        <f>+'Cost Allocations'!L65</f>
        <v>7204.9442579438919</v>
      </c>
      <c r="L65" s="5">
        <f t="shared" si="14"/>
        <v>7204.9442579438919</v>
      </c>
      <c r="O65" s="5">
        <f t="shared" si="11"/>
        <v>0</v>
      </c>
    </row>
    <row r="66" spans="1:15">
      <c r="A66">
        <v>4613</v>
      </c>
      <c r="B66" t="s">
        <v>287</v>
      </c>
      <c r="C66" s="5">
        <f>'Results of Operations Co'!N66</f>
        <v>103245.44857743409</v>
      </c>
      <c r="D66" s="89">
        <f>+'Cost Allocations'!F66</f>
        <v>78094.528525638772</v>
      </c>
      <c r="F66" s="109">
        <f t="shared" si="12"/>
        <v>78094.528525638772</v>
      </c>
      <c r="G66" s="5">
        <f>+'Cost Allocations'!I66</f>
        <v>7945.2122658785593</v>
      </c>
      <c r="I66" s="109">
        <f t="shared" si="13"/>
        <v>7945.2122658785593</v>
      </c>
      <c r="J66" s="5">
        <f>+'Cost Allocations'!L66</f>
        <v>17205.707785916748</v>
      </c>
      <c r="L66" s="5">
        <f t="shared" si="14"/>
        <v>17205.707785916748</v>
      </c>
      <c r="O66" s="5">
        <f t="shared" si="11"/>
        <v>0</v>
      </c>
    </row>
    <row r="67" spans="1:15">
      <c r="A67">
        <v>4620</v>
      </c>
      <c r="B67" t="s">
        <v>288</v>
      </c>
      <c r="C67" s="5">
        <f>'Results of Operations Co'!N67</f>
        <v>38715.932545803094</v>
      </c>
      <c r="D67" s="89">
        <f>+'Cost Allocations'!F67</f>
        <v>29284.60808930768</v>
      </c>
      <c r="F67" s="109">
        <f t="shared" si="12"/>
        <v>29284.60808930768</v>
      </c>
      <c r="G67" s="5">
        <f>+'Cost Allocations'!I67</f>
        <v>2979.3691284816</v>
      </c>
      <c r="I67" s="109">
        <f t="shared" si="13"/>
        <v>2979.3691284816</v>
      </c>
      <c r="J67" s="5">
        <f>+'Cost Allocations'!L67</f>
        <v>6451.9553280138125</v>
      </c>
      <c r="L67" s="5">
        <f t="shared" si="14"/>
        <v>6451.9553280138125</v>
      </c>
      <c r="O67" s="5">
        <f t="shared" si="11"/>
        <v>0</v>
      </c>
    </row>
    <row r="68" spans="1:15">
      <c r="A68">
        <v>4622</v>
      </c>
      <c r="B68" t="s">
        <v>289</v>
      </c>
      <c r="C68" s="5">
        <f>'Results of Operations Co'!N68</f>
        <v>0</v>
      </c>
      <c r="D68" s="89">
        <f>+'Cost Allocations'!F68</f>
        <v>0</v>
      </c>
      <c r="F68" s="109">
        <f t="shared" si="12"/>
        <v>0</v>
      </c>
      <c r="G68" s="5">
        <f>+'Cost Allocations'!I68</f>
        <v>0</v>
      </c>
      <c r="I68" s="109">
        <f t="shared" si="13"/>
        <v>0</v>
      </c>
      <c r="J68" s="5">
        <f>+'Cost Allocations'!L68</f>
        <v>0</v>
      </c>
      <c r="L68" s="5">
        <f t="shared" si="14"/>
        <v>0</v>
      </c>
      <c r="O68" s="5">
        <f t="shared" si="11"/>
        <v>0</v>
      </c>
    </row>
    <row r="69" spans="1:15">
      <c r="A69">
        <v>4624</v>
      </c>
      <c r="B69" t="s">
        <v>290</v>
      </c>
      <c r="C69" s="5">
        <f>'Results of Operations Co'!N69</f>
        <v>227.03830574675601</v>
      </c>
      <c r="D69" s="89">
        <f>+'Cost Allocations'!F69</f>
        <v>171.73105147831188</v>
      </c>
      <c r="F69" s="109">
        <f t="shared" si="12"/>
        <v>171.73105147831188</v>
      </c>
      <c r="G69" s="5">
        <f>+'Cost Allocations'!I69</f>
        <v>17.471642154670981</v>
      </c>
      <c r="I69" s="109">
        <f t="shared" si="13"/>
        <v>17.471642154670981</v>
      </c>
      <c r="J69" s="5">
        <f>+'Cost Allocations'!L69</f>
        <v>37.835612113773145</v>
      </c>
      <c r="L69" s="5">
        <f t="shared" si="14"/>
        <v>37.835612113773145</v>
      </c>
      <c r="O69" s="5">
        <f t="shared" si="11"/>
        <v>0</v>
      </c>
    </row>
    <row r="70" spans="1:15">
      <c r="A70">
        <v>4625</v>
      </c>
      <c r="B70" t="s">
        <v>291</v>
      </c>
      <c r="C70" s="5">
        <f>'Results of Operations Co'!N70</f>
        <v>2310.1012686703034</v>
      </c>
      <c r="D70" s="89">
        <f>+'Cost Allocations'!F70</f>
        <v>1747.3532432568456</v>
      </c>
      <c r="F70" s="109">
        <f t="shared" si="12"/>
        <v>1747.3532432568456</v>
      </c>
      <c r="G70" s="5">
        <f>+'Cost Allocations'!I70</f>
        <v>177.77292062899249</v>
      </c>
      <c r="I70" s="109">
        <f t="shared" si="13"/>
        <v>177.77292062899249</v>
      </c>
      <c r="J70" s="5">
        <f>+'Cost Allocations'!L70</f>
        <v>384.9751047844652</v>
      </c>
      <c r="L70" s="5">
        <f t="shared" si="14"/>
        <v>384.9751047844652</v>
      </c>
      <c r="O70" s="5">
        <f t="shared" si="11"/>
        <v>0</v>
      </c>
    </row>
    <row r="71" spans="1:15">
      <c r="A71">
        <v>4627</v>
      </c>
      <c r="B71" t="s">
        <v>292</v>
      </c>
      <c r="C71" s="5">
        <f>'Results of Operations Co'!N71</f>
        <v>872.91680284752852</v>
      </c>
      <c r="D71" s="89">
        <f>+'Cost Allocations'!F71</f>
        <v>660.27148992779269</v>
      </c>
      <c r="F71" s="109">
        <f t="shared" si="12"/>
        <v>660.27148992779269</v>
      </c>
      <c r="G71" s="5">
        <f>+'Cost Allocations'!I71</f>
        <v>67.174963977942795</v>
      </c>
      <c r="I71" s="109">
        <f t="shared" si="13"/>
        <v>67.174963977942795</v>
      </c>
      <c r="J71" s="5">
        <f>+'Cost Allocations'!L71</f>
        <v>145.47034894179296</v>
      </c>
      <c r="L71" s="5">
        <f t="shared" si="14"/>
        <v>145.47034894179296</v>
      </c>
      <c r="O71" s="5">
        <f t="shared" si="11"/>
        <v>0</v>
      </c>
    </row>
    <row r="72" spans="1:15">
      <c r="A72">
        <v>4628</v>
      </c>
      <c r="B72" s="459" t="s">
        <v>666</v>
      </c>
      <c r="C72" s="5">
        <f>'Results of Operations Co'!N72</f>
        <v>24930.481440964511</v>
      </c>
      <c r="D72" s="89">
        <f>+'Cost Allocations'!F72</f>
        <v>18857.336772469058</v>
      </c>
      <c r="F72" s="109">
        <f>+D72+E72</f>
        <v>18857.336772469058</v>
      </c>
      <c r="G72" s="5">
        <f>+'Cost Allocations'!I72</f>
        <v>1918.5152437053973</v>
      </c>
      <c r="I72" s="109">
        <f>+G72+H72</f>
        <v>1918.5152437053973</v>
      </c>
      <c r="J72" s="5">
        <f>+'Cost Allocations'!L72</f>
        <v>4154.6294247900541</v>
      </c>
      <c r="L72" s="5">
        <f>+J72+K72</f>
        <v>4154.6294247900541</v>
      </c>
      <c r="O72" s="5">
        <f>+C72-D72-G72-J72</f>
        <v>0</v>
      </c>
    </row>
    <row r="73" spans="1:15">
      <c r="A73">
        <v>4630</v>
      </c>
      <c r="B73" t="s">
        <v>294</v>
      </c>
      <c r="C73" s="5">
        <f>'Results of Operations Co'!N73</f>
        <v>1454.0713539650994</v>
      </c>
      <c r="D73" s="89">
        <f>+'Cost Allocations'!F73</f>
        <v>1099.8549417447239</v>
      </c>
      <c r="F73" s="109">
        <f t="shared" si="12"/>
        <v>1099.8549417447239</v>
      </c>
      <c r="G73" s="5">
        <f>+'Cost Allocations'!I73</f>
        <v>111.89748038453698</v>
      </c>
      <c r="I73" s="109">
        <f t="shared" si="13"/>
        <v>111.89748038453698</v>
      </c>
      <c r="J73" s="5">
        <f>+'Cost Allocations'!L73</f>
        <v>242.3189318358385</v>
      </c>
      <c r="L73" s="5">
        <f t="shared" si="14"/>
        <v>242.3189318358385</v>
      </c>
      <c r="O73" s="5">
        <f t="shared" si="11"/>
        <v>0</v>
      </c>
    </row>
    <row r="74" spans="1:15">
      <c r="A74">
        <v>4640</v>
      </c>
      <c r="B74" t="s">
        <v>295</v>
      </c>
      <c r="C74" s="5">
        <f>'Results of Operations Co'!N74</f>
        <v>12496.66484168989</v>
      </c>
      <c r="D74" s="89">
        <f>+'Cost Allocations'!F74</f>
        <v>9452.4374914479395</v>
      </c>
      <c r="F74" s="109">
        <f t="shared" si="12"/>
        <v>9452.4374914479395</v>
      </c>
      <c r="G74" s="5">
        <f>+'Cost Allocations'!I74</f>
        <v>961.67585255151823</v>
      </c>
      <c r="I74" s="109">
        <f t="shared" si="13"/>
        <v>961.67585255151823</v>
      </c>
      <c r="J74" s="5">
        <f>+'Cost Allocations'!L74</f>
        <v>2082.5514976904319</v>
      </c>
      <c r="L74" s="5">
        <f t="shared" si="14"/>
        <v>2082.5514976904319</v>
      </c>
      <c r="O74" s="5">
        <f t="shared" si="11"/>
        <v>0</v>
      </c>
    </row>
    <row r="75" spans="1:15">
      <c r="A75">
        <v>4642</v>
      </c>
      <c r="B75" t="s">
        <v>296</v>
      </c>
      <c r="C75" s="5">
        <f>'Results of Operations Co'!N75</f>
        <v>0</v>
      </c>
      <c r="D75" s="89">
        <f>+'Cost Allocations'!F75</f>
        <v>0</v>
      </c>
      <c r="F75" s="109">
        <f>+D75+E75</f>
        <v>0</v>
      </c>
      <c r="G75" s="5">
        <f>+'Cost Allocations'!I75</f>
        <v>0</v>
      </c>
      <c r="I75" s="109">
        <f>+G75+H75</f>
        <v>0</v>
      </c>
      <c r="J75" s="5">
        <f>+'Cost Allocations'!L75</f>
        <v>0</v>
      </c>
      <c r="L75" s="5">
        <f>+J75+K75</f>
        <v>0</v>
      </c>
      <c r="O75" s="5">
        <f>+C75-D75-G75-J75</f>
        <v>0</v>
      </c>
    </row>
    <row r="76" spans="1:15">
      <c r="A76">
        <v>4650</v>
      </c>
      <c r="B76" t="s">
        <v>297</v>
      </c>
      <c r="C76" s="5">
        <f>'Results of Operations Co'!N76</f>
        <v>74147.596085858444</v>
      </c>
      <c r="D76" s="89">
        <f>+'Cost Allocations'!F76</f>
        <v>56085.005561206148</v>
      </c>
      <c r="F76" s="109">
        <f t="shared" si="12"/>
        <v>56085.005561206148</v>
      </c>
      <c r="G76" s="5">
        <f>+'Cost Allocations'!I76</f>
        <v>5705.9986471455231</v>
      </c>
      <c r="I76" s="109">
        <f t="shared" si="13"/>
        <v>5705.9986471455231</v>
      </c>
      <c r="J76" s="5">
        <f>+'Cost Allocations'!L76</f>
        <v>12356.591877506769</v>
      </c>
      <c r="L76" s="5">
        <f t="shared" si="14"/>
        <v>12356.591877506769</v>
      </c>
      <c r="O76" s="5">
        <f t="shared" si="11"/>
        <v>0</v>
      </c>
    </row>
    <row r="77" spans="1:15">
      <c r="A77">
        <v>4652</v>
      </c>
      <c r="B77" t="s">
        <v>298</v>
      </c>
      <c r="C77" s="5">
        <f>'Results of Operations Co'!N77</f>
        <v>10146.641999569641</v>
      </c>
      <c r="D77" s="89">
        <f>+'Cost Allocations'!F77</f>
        <v>7674.8876971611771</v>
      </c>
      <c r="F77" s="109">
        <f t="shared" si="12"/>
        <v>7674.8876971611771</v>
      </c>
      <c r="G77" s="5">
        <f>+'Cost Allocations'!I77</f>
        <v>780.83078317971899</v>
      </c>
      <c r="I77" s="109">
        <f t="shared" si="13"/>
        <v>780.83078317971899</v>
      </c>
      <c r="J77" s="5">
        <f>+'Cost Allocations'!L77</f>
        <v>1690.9235192287449</v>
      </c>
      <c r="L77" s="5">
        <f t="shared" si="14"/>
        <v>1690.9235192287449</v>
      </c>
      <c r="O77" s="5">
        <f t="shared" si="11"/>
        <v>0</v>
      </c>
    </row>
    <row r="78" spans="1:15">
      <c r="A78">
        <v>4660</v>
      </c>
      <c r="B78" t="s">
        <v>299</v>
      </c>
      <c r="C78" s="5">
        <f>'Results of Operations Co'!N78</f>
        <v>0</v>
      </c>
      <c r="D78" s="89">
        <f>+'Cost Allocations'!F78</f>
        <v>0</v>
      </c>
      <c r="F78" s="109">
        <f t="shared" si="12"/>
        <v>0</v>
      </c>
      <c r="G78" s="5">
        <f>+'Cost Allocations'!I78</f>
        <v>0</v>
      </c>
      <c r="I78" s="109">
        <f t="shared" si="13"/>
        <v>0</v>
      </c>
      <c r="J78" s="5">
        <f>+'Cost Allocations'!L78</f>
        <v>0</v>
      </c>
      <c r="L78" s="5">
        <f t="shared" si="14"/>
        <v>0</v>
      </c>
      <c r="O78" s="5">
        <f t="shared" ref="O78:O104" si="15">+C78-D78-G78-J78</f>
        <v>0</v>
      </c>
    </row>
    <row r="79" spans="1:15">
      <c r="A79">
        <v>4670</v>
      </c>
      <c r="B79" t="s">
        <v>300</v>
      </c>
      <c r="C79" s="5">
        <f>'Results of Operations Co'!N79</f>
        <v>0</v>
      </c>
      <c r="D79" s="89">
        <f>+'Cost Allocations'!F79</f>
        <v>0</v>
      </c>
      <c r="F79" s="109">
        <f t="shared" si="12"/>
        <v>0</v>
      </c>
      <c r="G79" s="5">
        <f>+'Cost Allocations'!I79</f>
        <v>0</v>
      </c>
      <c r="I79" s="109">
        <f t="shared" si="13"/>
        <v>0</v>
      </c>
      <c r="J79" s="5">
        <f>+'Cost Allocations'!L79</f>
        <v>0</v>
      </c>
      <c r="L79" s="5">
        <f t="shared" si="14"/>
        <v>0</v>
      </c>
      <c r="O79" s="5">
        <f t="shared" si="15"/>
        <v>0</v>
      </c>
    </row>
    <row r="80" spans="1:15">
      <c r="A80">
        <v>4680</v>
      </c>
      <c r="B80" t="s">
        <v>301</v>
      </c>
      <c r="C80" s="5">
        <f>'Results of Operations Co'!N80</f>
        <v>13407.575412844433</v>
      </c>
      <c r="D80" s="89">
        <f>+'Cost Allocations'!F80</f>
        <v>9984.7647772522796</v>
      </c>
      <c r="F80" s="109">
        <f t="shared" si="12"/>
        <v>9984.7647772522796</v>
      </c>
      <c r="G80" s="5">
        <f>+'Cost Allocations'!I80</f>
        <v>830.7886453212484</v>
      </c>
      <c r="I80" s="109">
        <f t="shared" si="13"/>
        <v>830.7886453212484</v>
      </c>
      <c r="J80" s="5">
        <f>+'Cost Allocations'!L80</f>
        <v>2592.0219902709064</v>
      </c>
      <c r="L80" s="5">
        <f t="shared" si="14"/>
        <v>2592.0219902709064</v>
      </c>
      <c r="O80" s="5">
        <f t="shared" si="15"/>
        <v>0</v>
      </c>
    </row>
    <row r="81" spans="1:15">
      <c r="A81">
        <v>4692</v>
      </c>
      <c r="B81" t="s">
        <v>302</v>
      </c>
      <c r="C81" s="5">
        <f>'Results of Operations Co'!N81</f>
        <v>11064.963334916565</v>
      </c>
      <c r="D81" s="89">
        <f>+'Cost Allocations'!F81</f>
        <v>8369.5030308837686</v>
      </c>
      <c r="F81" s="109">
        <f t="shared" si="12"/>
        <v>8369.5030308837686</v>
      </c>
      <c r="G81" s="5">
        <f>+'Cost Allocations'!I81</f>
        <v>851.49983482458799</v>
      </c>
      <c r="I81" s="109">
        <f t="shared" si="13"/>
        <v>851.49983482458799</v>
      </c>
      <c r="J81" s="5">
        <f>+'Cost Allocations'!L81</f>
        <v>1843.9604692082082</v>
      </c>
      <c r="L81" s="5">
        <f t="shared" si="14"/>
        <v>1843.9604692082082</v>
      </c>
      <c r="O81" s="5">
        <f t="shared" si="15"/>
        <v>0</v>
      </c>
    </row>
    <row r="82" spans="1:15">
      <c r="A82">
        <v>4694</v>
      </c>
      <c r="B82" t="s">
        <v>303</v>
      </c>
      <c r="C82" s="5">
        <f>'Results of Operations Co'!N82</f>
        <v>0</v>
      </c>
      <c r="D82" s="89">
        <f>+'Cost Allocations'!F82</f>
        <v>0</v>
      </c>
      <c r="F82" s="109">
        <f t="shared" si="12"/>
        <v>0</v>
      </c>
      <c r="G82" s="5">
        <f>+'Cost Allocations'!I82</f>
        <v>0</v>
      </c>
      <c r="I82" s="109">
        <f t="shared" si="13"/>
        <v>0</v>
      </c>
      <c r="J82" s="5">
        <f>+'Cost Allocations'!L82</f>
        <v>0</v>
      </c>
      <c r="L82" s="5">
        <f t="shared" si="14"/>
        <v>0</v>
      </c>
      <c r="O82" s="5">
        <f t="shared" si="15"/>
        <v>0</v>
      </c>
    </row>
    <row r="83" spans="1:15">
      <c r="A83">
        <v>4698</v>
      </c>
      <c r="B83" t="s">
        <v>304</v>
      </c>
      <c r="C83" s="5">
        <f>'Results of Operations Co'!N83</f>
        <v>1137.2251512057599</v>
      </c>
      <c r="D83" s="89">
        <f>+'Cost Allocations'!F83</f>
        <v>860.19348295342809</v>
      </c>
      <c r="F83" s="109">
        <f t="shared" si="12"/>
        <v>860.19348295342809</v>
      </c>
      <c r="G83" s="5">
        <f>+'Cost Allocations'!I83</f>
        <v>87.514707378591908</v>
      </c>
      <c r="I83" s="109">
        <f t="shared" si="13"/>
        <v>87.514707378591908</v>
      </c>
      <c r="J83" s="5">
        <f>+'Cost Allocations'!L83</f>
        <v>189.51696087373983</v>
      </c>
      <c r="L83" s="5">
        <f t="shared" si="14"/>
        <v>189.51696087373983</v>
      </c>
      <c r="O83" s="5">
        <f t="shared" si="15"/>
        <v>0</v>
      </c>
    </row>
    <row r="84" spans="1:15">
      <c r="A84" t="s">
        <v>305</v>
      </c>
      <c r="C84" s="5">
        <f>'Results of Operations Co'!N84</f>
        <v>0</v>
      </c>
      <c r="D84" s="89"/>
      <c r="F84" s="109"/>
      <c r="G84" s="5"/>
      <c r="I84" s="109"/>
      <c r="J84" s="5"/>
      <c r="L84" s="5"/>
      <c r="O84" s="5">
        <f t="shared" si="15"/>
        <v>0</v>
      </c>
    </row>
    <row r="85" spans="1:15">
      <c r="A85">
        <v>5010</v>
      </c>
      <c r="B85" t="s">
        <v>306</v>
      </c>
      <c r="C85" s="5">
        <f>'Results of Operations Co'!N85</f>
        <v>248690.43697680041</v>
      </c>
      <c r="D85" s="89">
        <f>+'Cost Allocations'!F85</f>
        <v>193901.76466253123</v>
      </c>
      <c r="F85" s="109">
        <f>+D85+E85</f>
        <v>193901.76466253123</v>
      </c>
      <c r="G85" s="5">
        <f>+'Cost Allocations'!I85</f>
        <v>16796.109996820291</v>
      </c>
      <c r="I85" s="109">
        <f>+G85+H85</f>
        <v>16796.109996820291</v>
      </c>
      <c r="J85" s="5">
        <f>+'Cost Allocations'!L85</f>
        <v>37992.562317448916</v>
      </c>
      <c r="L85" s="5">
        <f>+J85+K85</f>
        <v>37992.562317448916</v>
      </c>
      <c r="O85" s="5">
        <f t="shared" si="15"/>
        <v>0</v>
      </c>
    </row>
    <row r="86" spans="1:15">
      <c r="A86">
        <v>5100</v>
      </c>
      <c r="B86" t="s">
        <v>307</v>
      </c>
      <c r="C86" s="5">
        <f>'Results of Operations Co'!N86</f>
        <v>-18632.708830660726</v>
      </c>
      <c r="D86" s="89">
        <f>+'Cost Allocations'!F86</f>
        <v>-14527.760563005813</v>
      </c>
      <c r="F86" s="109">
        <f>+D86+E86</f>
        <v>-14527.760563005813</v>
      </c>
      <c r="G86" s="5">
        <f>+'Cost Allocations'!I86</f>
        <v>-1258.420029587616</v>
      </c>
      <c r="I86" s="109">
        <f>+G86+H86</f>
        <v>-1258.420029587616</v>
      </c>
      <c r="J86" s="5">
        <f>+'Cost Allocations'!L86</f>
        <v>-2846.5282380672993</v>
      </c>
      <c r="L86" s="5">
        <f>+J86+K86</f>
        <v>-2846.5282380672993</v>
      </c>
      <c r="O86" s="5">
        <f t="shared" si="15"/>
        <v>0</v>
      </c>
    </row>
    <row r="87" spans="1:15">
      <c r="A87" t="s">
        <v>308</v>
      </c>
      <c r="C87" s="5">
        <f>'Results of Operations Co'!N87</f>
        <v>0</v>
      </c>
      <c r="D87" s="89"/>
      <c r="F87" s="109"/>
      <c r="G87" s="5"/>
      <c r="I87" s="109"/>
      <c r="J87" s="5"/>
      <c r="L87" s="5"/>
      <c r="O87" s="5">
        <f t="shared" si="15"/>
        <v>0</v>
      </c>
    </row>
    <row r="88" spans="1:15">
      <c r="A88">
        <v>5151</v>
      </c>
      <c r="B88" t="s">
        <v>309</v>
      </c>
      <c r="C88" s="5">
        <f>'Results of Operations Co'!N88</f>
        <v>0</v>
      </c>
      <c r="D88" s="89">
        <f>+'Cost Allocations'!F88</f>
        <v>0</v>
      </c>
      <c r="F88" s="109">
        <f>+D88+E88</f>
        <v>0</v>
      </c>
      <c r="G88" s="5">
        <f>+'Cost Allocations'!I88</f>
        <v>0</v>
      </c>
      <c r="I88" s="109">
        <f>+G88+H88</f>
        <v>0</v>
      </c>
      <c r="J88" s="5">
        <f>+'Cost Allocations'!L88</f>
        <v>0</v>
      </c>
      <c r="L88" s="5">
        <f>+J88+K88</f>
        <v>0</v>
      </c>
      <c r="O88" s="5">
        <f t="shared" si="15"/>
        <v>0</v>
      </c>
    </row>
    <row r="89" spans="1:15">
      <c r="A89" t="s">
        <v>310</v>
      </c>
      <c r="C89" s="5">
        <f>'Results of Operations Co'!N89</f>
        <v>0</v>
      </c>
      <c r="D89" s="89"/>
      <c r="F89" s="109"/>
      <c r="G89" s="5"/>
      <c r="I89" s="109"/>
      <c r="J89" s="5"/>
      <c r="L89" s="5"/>
      <c r="O89" s="5">
        <f t="shared" si="15"/>
        <v>0</v>
      </c>
    </row>
    <row r="90" spans="1:15">
      <c r="A90">
        <v>5220</v>
      </c>
      <c r="B90" t="s">
        <v>311</v>
      </c>
      <c r="C90" s="5">
        <f>'Results of Operations Co'!N90</f>
        <v>7108.9206889000588</v>
      </c>
      <c r="D90" s="89">
        <f>+'Cost Allocations'!F90</f>
        <v>5529.6550878262333</v>
      </c>
      <c r="F90" s="109">
        <f t="shared" ref="F90:F97" si="16">+D90+E90</f>
        <v>5529.6550878262333</v>
      </c>
      <c r="G90" s="5">
        <f>+'Cost Allocations'!I90</f>
        <v>509.9176311726431</v>
      </c>
      <c r="I90" s="109">
        <f t="shared" ref="I90:I97" si="17">+G90+H90</f>
        <v>509.9176311726431</v>
      </c>
      <c r="J90" s="5">
        <f>+'Cost Allocations'!L90</f>
        <v>1069.3479699011828</v>
      </c>
      <c r="L90" s="5">
        <f t="shared" ref="L90:L97" si="18">+J90+K90</f>
        <v>1069.3479699011828</v>
      </c>
      <c r="O90" s="5">
        <f t="shared" si="15"/>
        <v>0</v>
      </c>
    </row>
    <row r="91" spans="1:15">
      <c r="A91">
        <v>5230</v>
      </c>
      <c r="B91" t="s">
        <v>312</v>
      </c>
      <c r="C91" s="5">
        <f>'Results of Operations Co'!N91</f>
        <v>2441.2869800332778</v>
      </c>
      <c r="D91" s="89">
        <f>+'Cost Allocations'!F91</f>
        <v>2001.8553236272876</v>
      </c>
      <c r="F91" s="109">
        <f t="shared" si="16"/>
        <v>2001.8553236272876</v>
      </c>
      <c r="G91" s="5">
        <f>+'Cost Allocations'!I91</f>
        <v>122.0643490016639</v>
      </c>
      <c r="I91" s="109">
        <f t="shared" si="17"/>
        <v>122.0643490016639</v>
      </c>
      <c r="J91" s="5">
        <f>+'Cost Allocations'!L91</f>
        <v>317.36730740432614</v>
      </c>
      <c r="L91" s="5">
        <f t="shared" si="18"/>
        <v>317.36730740432614</v>
      </c>
      <c r="O91" s="5">
        <f t="shared" si="15"/>
        <v>0</v>
      </c>
    </row>
    <row r="92" spans="1:15">
      <c r="A92">
        <v>5240</v>
      </c>
      <c r="B92" t="s">
        <v>313</v>
      </c>
      <c r="C92" s="5">
        <f>'Results of Operations Co'!N92</f>
        <v>51632.313400079234</v>
      </c>
      <c r="D92" s="89">
        <f>+'Cost Allocations'!F92</f>
        <v>40162.057924599329</v>
      </c>
      <c r="F92" s="109">
        <f t="shared" si="16"/>
        <v>40162.057924599329</v>
      </c>
      <c r="G92" s="5">
        <f>+'Cost Allocations'!I92</f>
        <v>3703.5477104198226</v>
      </c>
      <c r="I92" s="109">
        <f t="shared" si="17"/>
        <v>3703.5477104198226</v>
      </c>
      <c r="J92" s="5">
        <f>+'Cost Allocations'!L92</f>
        <v>7766.7077650600831</v>
      </c>
      <c r="L92" s="5">
        <f t="shared" si="18"/>
        <v>7766.7077650600831</v>
      </c>
      <c r="O92" s="5">
        <f t="shared" si="15"/>
        <v>0</v>
      </c>
    </row>
    <row r="93" spans="1:15">
      <c r="A93">
        <v>5241</v>
      </c>
      <c r="B93" t="s">
        <v>314</v>
      </c>
      <c r="C93" s="5">
        <f>'Results of Operations Co'!N93</f>
        <v>276.9230909886295</v>
      </c>
      <c r="D93" s="89">
        <f>+'Cost Allocations'!F93</f>
        <v>215.40389125634957</v>
      </c>
      <c r="F93" s="109">
        <f t="shared" si="16"/>
        <v>215.40389125634957</v>
      </c>
      <c r="G93" s="5">
        <f>+'Cost Allocations'!I93</f>
        <v>19.863488812642377</v>
      </c>
      <c r="I93" s="109">
        <f t="shared" si="17"/>
        <v>19.863488812642377</v>
      </c>
      <c r="J93" s="5">
        <f>+'Cost Allocations'!L93</f>
        <v>41.655710919637549</v>
      </c>
      <c r="L93" s="5">
        <f t="shared" si="18"/>
        <v>41.655710919637549</v>
      </c>
      <c r="O93" s="5">
        <f t="shared" si="15"/>
        <v>0</v>
      </c>
    </row>
    <row r="94" spans="1:15">
      <c r="A94">
        <v>5242</v>
      </c>
      <c r="B94" t="s">
        <v>315</v>
      </c>
      <c r="C94" s="5">
        <f>'Results of Operations Co'!N94</f>
        <v>5788.0590382668915</v>
      </c>
      <c r="D94" s="89">
        <f>+'Cost Allocations'!F94</f>
        <v>4502.2263589978684</v>
      </c>
      <c r="F94" s="109">
        <f t="shared" si="16"/>
        <v>4502.2263589978684</v>
      </c>
      <c r="G94" s="5">
        <f>+'Cost Allocations'!I94</f>
        <v>415.1732004112605</v>
      </c>
      <c r="I94" s="109">
        <f t="shared" si="17"/>
        <v>415.1732004112605</v>
      </c>
      <c r="J94" s="5">
        <f>+'Cost Allocations'!L94</f>
        <v>870.65947885776268</v>
      </c>
      <c r="L94" s="5">
        <f t="shared" si="18"/>
        <v>870.65947885776268</v>
      </c>
      <c r="O94" s="5">
        <f t="shared" si="15"/>
        <v>0</v>
      </c>
    </row>
    <row r="95" spans="1:15">
      <c r="A95">
        <v>5260</v>
      </c>
      <c r="B95" t="s">
        <v>316</v>
      </c>
      <c r="C95" s="5">
        <f>'Results of Operations Co'!N95</f>
        <v>50936.314109954612</v>
      </c>
      <c r="D95" s="89">
        <f>+'Cost Allocations'!F95</f>
        <v>37932.817780081816</v>
      </c>
      <c r="E95" s="42">
        <f ca="1">+E21*'General Data'!$E$10</f>
        <v>2101.6167482262781</v>
      </c>
      <c r="F95" s="109">
        <f t="shared" ca="1" si="16"/>
        <v>40034.434528308091</v>
      </c>
      <c r="G95" s="5">
        <f>+'Cost Allocations'!I95</f>
        <v>3156.2240072524132</v>
      </c>
      <c r="H95" s="42">
        <f ca="1">+H21*'General Data'!$E$10</f>
        <v>568.06860874804318</v>
      </c>
      <c r="I95" s="109">
        <f t="shared" ca="1" si="17"/>
        <v>3724.2926160004563</v>
      </c>
      <c r="J95" s="5">
        <f>+'Cost Allocations'!L95</f>
        <v>9847.2723226203871</v>
      </c>
      <c r="K95" s="42">
        <f ca="1">+K21*'General Data'!$E$10</f>
        <v>-580.48981480302348</v>
      </c>
      <c r="L95" s="5">
        <f t="shared" ca="1" si="18"/>
        <v>9266.7825078173628</v>
      </c>
      <c r="O95" s="5">
        <f t="shared" si="15"/>
        <v>0</v>
      </c>
    </row>
    <row r="96" spans="1:15">
      <c r="A96">
        <v>5270</v>
      </c>
      <c r="B96" t="s">
        <v>317</v>
      </c>
      <c r="C96" s="5">
        <f>'Results of Operations Co'!N96</f>
        <v>10854.68</v>
      </c>
      <c r="D96" s="89">
        <f>+'Cost Allocations'!F96</f>
        <v>0</v>
      </c>
      <c r="F96" s="109">
        <f t="shared" si="16"/>
        <v>0</v>
      </c>
      <c r="G96" s="5">
        <f>+'Cost Allocations'!I96</f>
        <v>10854.68</v>
      </c>
      <c r="I96" s="109">
        <f t="shared" si="17"/>
        <v>10854.68</v>
      </c>
      <c r="J96" s="5">
        <f>+'Cost Allocations'!L96</f>
        <v>0</v>
      </c>
      <c r="L96" s="5">
        <f t="shared" si="18"/>
        <v>0</v>
      </c>
      <c r="O96" s="5">
        <f t="shared" si="15"/>
        <v>0</v>
      </c>
    </row>
    <row r="97" spans="1:15">
      <c r="A97">
        <v>5290</v>
      </c>
      <c r="B97" t="s">
        <v>318</v>
      </c>
      <c r="C97" s="5">
        <f>'Results of Operations Co'!N97</f>
        <v>231.54485811988019</v>
      </c>
      <c r="D97" s="89">
        <f>+'Cost Allocations'!F97</f>
        <v>180.10655327211217</v>
      </c>
      <c r="F97" s="109">
        <f t="shared" si="16"/>
        <v>180.10655327211217</v>
      </c>
      <c r="G97" s="5">
        <f>+'Cost Allocations'!I97</f>
        <v>16.608541680180632</v>
      </c>
      <c r="I97" s="109">
        <f t="shared" si="17"/>
        <v>16.608541680180632</v>
      </c>
      <c r="J97" s="5">
        <f>+'Cost Allocations'!L97</f>
        <v>34.829763167587394</v>
      </c>
      <c r="L97" s="5">
        <f t="shared" si="18"/>
        <v>34.829763167587394</v>
      </c>
      <c r="O97" s="5">
        <f t="shared" si="15"/>
        <v>0</v>
      </c>
    </row>
    <row r="98" spans="1:15">
      <c r="A98" t="s">
        <v>319</v>
      </c>
      <c r="C98" s="5">
        <f>'Results of Operations Co'!N98</f>
        <v>0</v>
      </c>
      <c r="D98" s="89"/>
      <c r="F98" s="109"/>
      <c r="G98" s="5"/>
      <c r="I98" s="109"/>
      <c r="J98" s="5"/>
      <c r="L98" s="5"/>
      <c r="O98" s="5">
        <f t="shared" si="15"/>
        <v>0</v>
      </c>
    </row>
    <row r="99" spans="1:15">
      <c r="A99">
        <v>5320</v>
      </c>
      <c r="B99" t="s">
        <v>320</v>
      </c>
      <c r="C99" s="5">
        <f>'Results of Operations Co'!N99</f>
        <v>82267.677219012316</v>
      </c>
      <c r="D99" s="89">
        <f>+'Cost Allocations'!F99</f>
        <v>62227.009072460067</v>
      </c>
      <c r="F99" s="109">
        <f>+D99+E99</f>
        <v>62227.009072460067</v>
      </c>
      <c r="G99" s="5">
        <f>+'Cost Allocations'!I99</f>
        <v>6330.8762481244794</v>
      </c>
      <c r="I99" s="109">
        <f>+G99+H99</f>
        <v>6330.8762481244794</v>
      </c>
      <c r="J99" s="5">
        <f>+'Cost Allocations'!L99</f>
        <v>13709.791898427764</v>
      </c>
      <c r="L99" s="5">
        <f>+J99+K99</f>
        <v>13709.791898427764</v>
      </c>
      <c r="O99" s="5">
        <f t="shared" si="15"/>
        <v>0</v>
      </c>
    </row>
    <row r="100" spans="1:15" ht="13.5" thickBot="1">
      <c r="A100">
        <v>5322</v>
      </c>
      <c r="B100" s="459" t="s">
        <v>321</v>
      </c>
      <c r="C100" s="112">
        <f>'Results of Operations Co'!N100</f>
        <v>0</v>
      </c>
      <c r="D100" s="113">
        <f>+'Cost Allocations'!F100</f>
        <v>0</v>
      </c>
      <c r="E100" s="4"/>
      <c r="F100" s="112">
        <f>+D100+E100</f>
        <v>0</v>
      </c>
      <c r="G100" s="6">
        <f>+'Cost Allocations'!I100</f>
        <v>0</v>
      </c>
      <c r="H100" s="4"/>
      <c r="I100" s="112">
        <f>+G100+H100</f>
        <v>0</v>
      </c>
      <c r="J100" s="6">
        <f>+'Cost Allocations'!L100</f>
        <v>0</v>
      </c>
      <c r="K100" s="4"/>
      <c r="L100" s="6">
        <f>+J100+K100</f>
        <v>0</v>
      </c>
      <c r="O100" s="5">
        <f t="shared" si="15"/>
        <v>0</v>
      </c>
    </row>
    <row r="101" spans="1:15">
      <c r="D101" s="86"/>
      <c r="F101" s="107"/>
      <c r="I101" s="107"/>
      <c r="O101" s="5">
        <f t="shared" si="15"/>
        <v>0</v>
      </c>
    </row>
    <row r="102" spans="1:15" ht="13.5" thickBot="1">
      <c r="B102" t="s">
        <v>322</v>
      </c>
      <c r="C102" s="114">
        <f t="shared" ref="C102:L102" si="19">SUM(C25:C100)</f>
        <v>2712592.7140653972</v>
      </c>
      <c r="D102" s="113">
        <f t="shared" si="19"/>
        <v>2043698.3210641288</v>
      </c>
      <c r="E102" s="6">
        <f t="shared" ca="1" si="19"/>
        <v>2101.6167482262781</v>
      </c>
      <c r="F102" s="112">
        <f t="shared" ca="1" si="19"/>
        <v>2045799.9378123549</v>
      </c>
      <c r="G102" s="6">
        <f t="shared" si="19"/>
        <v>190781.98935064464</v>
      </c>
      <c r="H102" s="6">
        <f t="shared" ca="1" si="19"/>
        <v>568.06860874804318</v>
      </c>
      <c r="I102" s="112">
        <f t="shared" ca="1" si="19"/>
        <v>191350.0579593927</v>
      </c>
      <c r="J102" s="6">
        <f t="shared" si="19"/>
        <v>478112.40365062281</v>
      </c>
      <c r="K102" s="6">
        <f t="shared" ca="1" si="19"/>
        <v>-580.48981480302348</v>
      </c>
      <c r="L102" s="6">
        <f t="shared" ca="1" si="19"/>
        <v>477531.91383581981</v>
      </c>
      <c r="O102" s="5">
        <f t="shared" si="15"/>
        <v>9.3132257461547852E-10</v>
      </c>
    </row>
    <row r="103" spans="1:15">
      <c r="C103" s="5"/>
      <c r="D103" s="89"/>
      <c r="F103" s="107"/>
      <c r="G103" s="5"/>
      <c r="I103" s="107"/>
      <c r="J103" s="5"/>
      <c r="O103" s="5">
        <f t="shared" si="15"/>
        <v>0</v>
      </c>
    </row>
    <row r="104" spans="1:15" ht="13.5" thickBot="1">
      <c r="B104" t="s">
        <v>323</v>
      </c>
      <c r="C104" s="6">
        <f t="shared" ref="C104:L104" si="20">+C21-C102</f>
        <v>151733.86593460245</v>
      </c>
      <c r="D104" s="113">
        <f t="shared" si="20"/>
        <v>89396.311328025302</v>
      </c>
      <c r="E104" s="6">
        <f t="shared" ca="1" si="20"/>
        <v>117990.76886470389</v>
      </c>
      <c r="F104" s="112">
        <f t="shared" ca="1" si="20"/>
        <v>207387.08019272937</v>
      </c>
      <c r="G104" s="6">
        <f t="shared" si="20"/>
        <v>-13296.506265004573</v>
      </c>
      <c r="H104" s="6">
        <f t="shared" ca="1" si="20"/>
        <v>31892.994748282996</v>
      </c>
      <c r="I104" s="112">
        <f t="shared" ca="1" si="20"/>
        <v>18596.488483278401</v>
      </c>
      <c r="J104" s="6">
        <f t="shared" si="20"/>
        <v>75634.060871582828</v>
      </c>
      <c r="K104" s="6">
        <f t="shared" ca="1" si="20"/>
        <v>-32590.356745369743</v>
      </c>
      <c r="L104" s="6">
        <f t="shared" ca="1" si="20"/>
        <v>43043.704126212979</v>
      </c>
      <c r="O104" s="5">
        <f t="shared" si="15"/>
        <v>-1.1059455573558807E-9</v>
      </c>
    </row>
    <row r="105" spans="1:15">
      <c r="C105" s="5"/>
      <c r="D105" s="89"/>
      <c r="F105" s="107"/>
      <c r="G105" s="5"/>
      <c r="I105" s="107"/>
      <c r="J105" s="5"/>
      <c r="O105" s="5"/>
    </row>
    <row r="106" spans="1:15">
      <c r="B106" t="s">
        <v>324</v>
      </c>
      <c r="C106" s="9">
        <f>+C102/C21</f>
        <v>0.94702633875827025</v>
      </c>
      <c r="D106" s="108">
        <f>+D102/D21</f>
        <v>0.95809078979877604</v>
      </c>
      <c r="F106" s="111">
        <f ca="1">+F102/F21</f>
        <v>0.90795833699754547</v>
      </c>
      <c r="G106" s="9">
        <f>+G102/G21</f>
        <v>1.0749160214899871</v>
      </c>
      <c r="I106" s="111">
        <f ca="1">+I102/I21</f>
        <v>0.91142274641628152</v>
      </c>
      <c r="J106" s="9">
        <f>+J102/J21</f>
        <v>0.86341391644487897</v>
      </c>
      <c r="L106" s="9">
        <f ca="1">+L102/L21</f>
        <v>0.91731517450870648</v>
      </c>
      <c r="O106" s="5"/>
    </row>
    <row r="107" spans="1:15">
      <c r="D107" s="86"/>
      <c r="F107" s="107"/>
      <c r="I107" s="107"/>
      <c r="O107" s="5"/>
    </row>
    <row r="108" spans="1:15">
      <c r="B108" t="s">
        <v>325</v>
      </c>
      <c r="C108" s="5">
        <f>'Results of Operations Co'!$N$108</f>
        <v>1407750.8768674913</v>
      </c>
      <c r="D108" s="110">
        <f>+C108*'Depr Allocation by County'!L12</f>
        <v>1097611.0804586201</v>
      </c>
      <c r="F108" s="109"/>
      <c r="G108" s="48">
        <f>+C108*'Depr Allocation by County'!L14</f>
        <v>95076.991553930755</v>
      </c>
      <c r="I108" s="109"/>
      <c r="J108" s="48">
        <f>+C108*'Depr Allocation by County'!L16</f>
        <v>215062.80485494056</v>
      </c>
      <c r="L108" s="5">
        <f>+I108-K108</f>
        <v>0</v>
      </c>
      <c r="O108" s="5">
        <f>+C108-D108-G108-J108</f>
        <v>0</v>
      </c>
    </row>
    <row r="109" spans="1:15">
      <c r="C109" s="9">
        <f>+C108/C108</f>
        <v>1</v>
      </c>
      <c r="D109" s="108">
        <f>+D108/C108</f>
        <v>0.77969127811947081</v>
      </c>
      <c r="F109" s="107"/>
      <c r="G109" s="9">
        <f>+G108/C108</f>
        <v>6.7538222221175115E-2</v>
      </c>
      <c r="I109" s="107"/>
      <c r="J109" s="9">
        <f>+J108/C108</f>
        <v>0.15277049965935413</v>
      </c>
      <c r="O109" s="5"/>
    </row>
  </sheetData>
  <mergeCells count="1">
    <mergeCell ref="Q6:V6"/>
  </mergeCells>
  <pageMargins left="0.2" right="0.3" top="0.65" bottom="0.36" header="0.3" footer="0.36"/>
  <pageSetup scale="67" fitToHeight="0" orientation="portrait" horizontalDpi="300" verticalDpi="300" r:id="rId1"/>
  <headerFooter alignWithMargins="0"/>
  <rowBreaks count="1" manualBreakCount="1">
    <brk id="8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W49"/>
  <sheetViews>
    <sheetView workbookViewId="0">
      <selection activeCell="I19" sqref="I19"/>
    </sheetView>
  </sheetViews>
  <sheetFormatPr defaultRowHeight="12.75"/>
  <cols>
    <col min="1" max="1" width="10.140625" bestFit="1" customWidth="1"/>
    <col min="7" max="7" width="11.140625" customWidth="1"/>
    <col min="8" max="8" width="10.28515625" customWidth="1"/>
    <col min="9" max="9" width="11.28515625" bestFit="1" customWidth="1"/>
    <col min="18" max="20" width="9.85546875" bestFit="1" customWidth="1"/>
    <col min="22" max="22" width="9.85546875" bestFit="1" customWidth="1"/>
    <col min="23" max="23" width="10.140625" bestFit="1" customWidth="1"/>
  </cols>
  <sheetData>
    <row r="1" spans="1:9">
      <c r="A1" t="s">
        <v>4</v>
      </c>
    </row>
    <row r="3" spans="1:9">
      <c r="A3" t="s">
        <v>690</v>
      </c>
      <c r="D3" s="459" t="s">
        <v>691</v>
      </c>
      <c r="E3" s="459" t="s">
        <v>12</v>
      </c>
    </row>
    <row r="5" spans="1:9">
      <c r="A5" s="480" t="s">
        <v>1417</v>
      </c>
    </row>
    <row r="9" spans="1:9">
      <c r="A9" s="1" t="s">
        <v>692</v>
      </c>
      <c r="B9" t="s">
        <v>693</v>
      </c>
    </row>
    <row r="10" spans="1:9">
      <c r="I10" s="5"/>
    </row>
    <row r="11" spans="1:9">
      <c r="D11" t="s">
        <v>217</v>
      </c>
      <c r="I11" s="5">
        <f>+'Results of Operations Co'!C85</f>
        <v>249077</v>
      </c>
    </row>
    <row r="12" spans="1:9">
      <c r="D12" t="s">
        <v>694</v>
      </c>
      <c r="I12" s="446">
        <f>DEPN2K!$T$357</f>
        <v>287167</v>
      </c>
    </row>
    <row r="13" spans="1:9" ht="13.5" thickBot="1">
      <c r="D13" t="s">
        <v>227</v>
      </c>
      <c r="I13" s="40">
        <f>+I11-I12</f>
        <v>-38090</v>
      </c>
    </row>
    <row r="14" spans="1:9" ht="13.5" thickTop="1">
      <c r="I14" s="5"/>
    </row>
    <row r="15" spans="1:9">
      <c r="I15" s="5"/>
    </row>
    <row r="16" spans="1:9">
      <c r="A16" s="1" t="s">
        <v>695</v>
      </c>
      <c r="B16" t="s">
        <v>696</v>
      </c>
      <c r="I16" s="5"/>
    </row>
    <row r="17" spans="2:23">
      <c r="I17" s="5"/>
    </row>
    <row r="18" spans="2:23">
      <c r="D18" t="s">
        <v>217</v>
      </c>
      <c r="I18" s="5">
        <f>+'Results of Operations Co'!C86</f>
        <v>-143862.09</v>
      </c>
    </row>
    <row r="19" spans="2:23">
      <c r="D19" t="s">
        <v>694</v>
      </c>
      <c r="I19" s="39">
        <f>+V35</f>
        <v>-21515.5</v>
      </c>
    </row>
    <row r="20" spans="2:23" ht="13.5" thickBot="1">
      <c r="D20" t="s">
        <v>227</v>
      </c>
      <c r="I20" s="40">
        <f>+I18-I19</f>
        <v>-122346.59</v>
      </c>
    </row>
    <row r="21" spans="2:23" ht="13.5" thickTop="1">
      <c r="I21" s="5"/>
    </row>
    <row r="22" spans="2:23">
      <c r="B22" s="459" t="s">
        <v>697</v>
      </c>
      <c r="V22" s="530" t="s">
        <v>1459</v>
      </c>
      <c r="W22" s="462" t="s">
        <v>1399</v>
      </c>
    </row>
    <row r="23" spans="2:23">
      <c r="B23" s="459"/>
      <c r="G23" s="462" t="s">
        <v>698</v>
      </c>
      <c r="H23" s="462" t="s">
        <v>699</v>
      </c>
      <c r="I23" s="462" t="s">
        <v>27</v>
      </c>
      <c r="J23" s="458" t="s">
        <v>700</v>
      </c>
      <c r="V23" s="530" t="s">
        <v>703</v>
      </c>
      <c r="W23" s="462" t="s">
        <v>703</v>
      </c>
    </row>
    <row r="24" spans="2:23">
      <c r="B24" s="459"/>
      <c r="G24" s="485" t="s">
        <v>701</v>
      </c>
      <c r="H24" s="485" t="s">
        <v>702</v>
      </c>
      <c r="I24" s="485" t="s">
        <v>703</v>
      </c>
      <c r="J24" s="65">
        <v>2020</v>
      </c>
      <c r="K24" s="65">
        <v>2021</v>
      </c>
      <c r="L24" s="65">
        <v>2022</v>
      </c>
      <c r="M24" s="65">
        <v>2023</v>
      </c>
      <c r="N24" s="65">
        <v>2024</v>
      </c>
      <c r="O24" s="65">
        <v>2025</v>
      </c>
      <c r="P24" s="65">
        <v>2026</v>
      </c>
      <c r="Q24" s="65">
        <v>2027</v>
      </c>
      <c r="R24" s="65">
        <v>2028</v>
      </c>
      <c r="S24" s="65">
        <v>2029</v>
      </c>
      <c r="T24" s="65">
        <v>2030</v>
      </c>
      <c r="U24" s="65">
        <v>2031</v>
      </c>
      <c r="V24" s="96" t="s">
        <v>1460</v>
      </c>
      <c r="W24" s="778">
        <v>45473</v>
      </c>
    </row>
    <row r="25" spans="2:23">
      <c r="B25" s="459" t="s">
        <v>704</v>
      </c>
      <c r="C25" s="459"/>
      <c r="G25" s="129">
        <v>44165</v>
      </c>
      <c r="H25">
        <v>7</v>
      </c>
      <c r="I25" s="80">
        <f>-DEPN2K!AQ19</f>
        <v>-40000</v>
      </c>
      <c r="J25" s="80">
        <v>-476</v>
      </c>
      <c r="K25" s="80">
        <v>-5714</v>
      </c>
      <c r="L25" s="80">
        <v>-5714</v>
      </c>
      <c r="M25" s="80">
        <v>-5714</v>
      </c>
      <c r="N25" s="80">
        <v>-5714</v>
      </c>
      <c r="O25" s="80">
        <v>-5714</v>
      </c>
      <c r="P25" s="80">
        <v>-5714</v>
      </c>
      <c r="Q25" s="80">
        <v>-5240</v>
      </c>
      <c r="R25" s="80"/>
      <c r="S25" s="80"/>
      <c r="T25" s="80"/>
      <c r="U25" s="80"/>
      <c r="V25" s="26">
        <v>-5714</v>
      </c>
      <c r="W25" s="505">
        <f>+I25-J25-K25-L25-M25-(N25*0.5)</f>
        <v>-19525</v>
      </c>
    </row>
    <row r="26" spans="2:23">
      <c r="B26" s="459" t="s">
        <v>1395</v>
      </c>
      <c r="C26" s="459"/>
      <c r="G26" s="129">
        <v>45251</v>
      </c>
      <c r="H26">
        <v>7</v>
      </c>
      <c r="I26" s="80">
        <v>-36000</v>
      </c>
      <c r="J26" s="80"/>
      <c r="K26" s="80"/>
      <c r="L26" s="80"/>
      <c r="M26" s="80">
        <v>-429</v>
      </c>
      <c r="N26" s="80">
        <v>-5143</v>
      </c>
      <c r="O26" s="80">
        <v>-5143</v>
      </c>
      <c r="P26" s="80">
        <v>-5143</v>
      </c>
      <c r="Q26" s="80">
        <v>-5143</v>
      </c>
      <c r="R26" s="80">
        <v>-5143</v>
      </c>
      <c r="S26" s="80">
        <v>-5143</v>
      </c>
      <c r="T26" s="80">
        <v>-4713</v>
      </c>
      <c r="V26" s="26">
        <f>+M26+(N26*0.5)</f>
        <v>-3000.5</v>
      </c>
      <c r="W26" s="505">
        <f>+I26-M26-(N26*0.5)</f>
        <v>-32999.5</v>
      </c>
    </row>
    <row r="27" spans="2:23">
      <c r="B27" s="459" t="s">
        <v>1396</v>
      </c>
      <c r="C27" s="459"/>
      <c r="G27" s="129">
        <v>45138</v>
      </c>
      <c r="H27">
        <v>7</v>
      </c>
      <c r="I27" s="80">
        <v>-32041</v>
      </c>
      <c r="J27" s="80"/>
      <c r="K27" s="80"/>
      <c r="L27" s="80"/>
      <c r="M27" s="80">
        <v>-1907</v>
      </c>
      <c r="N27" s="80">
        <v>-4577</v>
      </c>
      <c r="O27" s="80">
        <v>-4577</v>
      </c>
      <c r="P27" s="80">
        <v>-4577</v>
      </c>
      <c r="Q27" s="80">
        <v>-4577</v>
      </c>
      <c r="R27" s="80">
        <v>-4577</v>
      </c>
      <c r="S27" s="80">
        <v>-4577</v>
      </c>
      <c r="T27" s="80">
        <v>-2672</v>
      </c>
      <c r="V27" s="26">
        <f>+M27+(N27*0.5)</f>
        <v>-4195.5</v>
      </c>
      <c r="W27" s="505">
        <f>+I27-M27-(N27*0.5)</f>
        <v>-27845.5</v>
      </c>
    </row>
    <row r="28" spans="2:23">
      <c r="B28" s="459" t="s">
        <v>1458</v>
      </c>
      <c r="C28" s="459"/>
      <c r="G28" s="129">
        <v>45524</v>
      </c>
      <c r="H28">
        <v>7</v>
      </c>
      <c r="I28" s="80">
        <v>-35000</v>
      </c>
      <c r="J28" s="80"/>
      <c r="K28" s="80"/>
      <c r="L28" s="80"/>
      <c r="M28" s="80"/>
      <c r="N28" s="587">
        <v>-833</v>
      </c>
      <c r="O28" s="80"/>
      <c r="P28" s="80"/>
      <c r="Q28" s="80"/>
      <c r="R28" s="80"/>
      <c r="S28" s="80"/>
      <c r="T28" s="80"/>
      <c r="V28" s="26">
        <f>+N28</f>
        <v>-833</v>
      </c>
      <c r="W28" s="505">
        <f>+I28-(N28*0.5)</f>
        <v>-34583.5</v>
      </c>
    </row>
    <row r="29" spans="2:23">
      <c r="B29" s="459"/>
      <c r="C29" s="459"/>
      <c r="G29" s="129"/>
      <c r="I29" s="80"/>
      <c r="J29" s="80"/>
      <c r="K29" s="80"/>
      <c r="L29" s="80"/>
      <c r="M29" s="80"/>
      <c r="N29" s="80"/>
      <c r="O29" s="80"/>
      <c r="P29" s="80"/>
      <c r="Q29" s="80"/>
      <c r="V29" s="26"/>
    </row>
    <row r="30" spans="2:23">
      <c r="B30" s="459"/>
      <c r="C30" s="459"/>
      <c r="G30" s="462" t="s">
        <v>698</v>
      </c>
      <c r="H30" s="462" t="s">
        <v>699</v>
      </c>
      <c r="I30" s="462" t="s">
        <v>27</v>
      </c>
      <c r="J30" s="458" t="s">
        <v>700</v>
      </c>
      <c r="V30" s="26"/>
    </row>
    <row r="31" spans="2:23">
      <c r="B31" s="459"/>
      <c r="C31" s="459"/>
      <c r="G31" s="485" t="s">
        <v>801</v>
      </c>
      <c r="H31" s="485" t="s">
        <v>702</v>
      </c>
      <c r="I31" s="485" t="s">
        <v>703</v>
      </c>
      <c r="J31" s="65">
        <v>2020</v>
      </c>
      <c r="K31" s="65">
        <v>2021</v>
      </c>
      <c r="L31" s="65">
        <v>2022</v>
      </c>
      <c r="M31" s="65">
        <v>2023</v>
      </c>
      <c r="N31" s="65">
        <v>2024</v>
      </c>
      <c r="O31" s="65">
        <v>2025</v>
      </c>
      <c r="P31" s="65">
        <v>2026</v>
      </c>
      <c r="Q31" s="65">
        <v>2027</v>
      </c>
      <c r="R31" s="65">
        <v>2027</v>
      </c>
      <c r="S31" s="65">
        <v>2027</v>
      </c>
      <c r="T31" s="65">
        <v>2027</v>
      </c>
      <c r="U31" s="65">
        <v>2027</v>
      </c>
      <c r="V31" s="26"/>
    </row>
    <row r="32" spans="2:23">
      <c r="B32" s="459" t="s">
        <v>1394</v>
      </c>
      <c r="C32" s="459"/>
      <c r="G32" s="129">
        <v>45230</v>
      </c>
      <c r="I32" s="80">
        <v>-23726</v>
      </c>
      <c r="J32" s="80"/>
      <c r="K32" s="80"/>
      <c r="L32" s="80"/>
      <c r="M32" s="80">
        <v>-1318</v>
      </c>
      <c r="N32" s="80">
        <v>-7909</v>
      </c>
      <c r="O32" s="80">
        <v>-7909</v>
      </c>
      <c r="P32" s="80">
        <v>-6527</v>
      </c>
      <c r="Q32" s="80"/>
      <c r="V32" s="26">
        <f>+M32+(N32*0.5)</f>
        <v>-5272.5</v>
      </c>
      <c r="W32" s="505">
        <f>+I32-M32-(N32*0.5)</f>
        <v>-18453.5</v>
      </c>
    </row>
    <row r="33" spans="1:23">
      <c r="B33" s="459" t="s">
        <v>1397</v>
      </c>
      <c r="C33" s="459"/>
      <c r="G33" s="129">
        <v>45289</v>
      </c>
      <c r="I33" s="80">
        <v>-2500</v>
      </c>
      <c r="J33" s="80"/>
      <c r="K33" s="80"/>
      <c r="L33" s="80"/>
      <c r="M33" s="80">
        <v>-2500</v>
      </c>
      <c r="N33" s="80"/>
      <c r="O33" s="80"/>
      <c r="P33" s="80"/>
      <c r="Q33" s="80"/>
      <c r="V33" s="26">
        <f>+M33+(N33*0.5)</f>
        <v>-2500</v>
      </c>
      <c r="W33" s="505">
        <f>+I33-M33</f>
        <v>0</v>
      </c>
    </row>
    <row r="34" spans="1:23">
      <c r="B34" s="459"/>
      <c r="C34" s="459"/>
      <c r="G34" s="129"/>
      <c r="I34" s="80"/>
      <c r="J34" s="80"/>
      <c r="K34" s="80"/>
      <c r="L34" s="80"/>
      <c r="M34" s="737"/>
      <c r="N34" s="80"/>
      <c r="O34" s="80"/>
      <c r="P34" s="80"/>
      <c r="Q34" s="80"/>
      <c r="V34" s="65"/>
    </row>
    <row r="35" spans="1:23" ht="13.5" thickBot="1">
      <c r="B35" s="459"/>
      <c r="C35" s="459" t="s">
        <v>1398</v>
      </c>
      <c r="G35" s="129"/>
      <c r="I35" s="80"/>
      <c r="J35" s="80"/>
      <c r="K35" s="80"/>
      <c r="L35" s="80"/>
      <c r="M35" s="738">
        <f>+M25+M26+M27+M32+M33</f>
        <v>-11868</v>
      </c>
      <c r="N35" s="80"/>
      <c r="O35" s="80"/>
      <c r="P35" s="80"/>
      <c r="Q35" s="80"/>
      <c r="V35" s="738">
        <f>+V25+V26+V27+V28+V32+V33</f>
        <v>-21515.5</v>
      </c>
      <c r="W35" s="738">
        <f>+W25+W26+W27+W28+W32+W33</f>
        <v>-133407</v>
      </c>
    </row>
    <row r="36" spans="1:23" ht="13.5" thickTop="1">
      <c r="I36" s="5"/>
    </row>
    <row r="37" spans="1:23">
      <c r="I37" s="5"/>
    </row>
    <row r="38" spans="1:23">
      <c r="A38" s="1" t="s">
        <v>705</v>
      </c>
      <c r="B38" t="s">
        <v>706</v>
      </c>
      <c r="I38" s="5">
        <f>+'Fuel Summary'!$P$57</f>
        <v>0</v>
      </c>
    </row>
    <row r="41" spans="1:23">
      <c r="A41" s="1" t="s">
        <v>707</v>
      </c>
      <c r="B41" t="s">
        <v>708</v>
      </c>
    </row>
    <row r="42" spans="1:23">
      <c r="F42">
        <v>3310</v>
      </c>
      <c r="G42" t="s">
        <v>29</v>
      </c>
      <c r="I42" s="5">
        <f>+'Results of Operations Co'!C15</f>
        <v>462056.2</v>
      </c>
    </row>
    <row r="43" spans="1:23">
      <c r="F43">
        <v>4361</v>
      </c>
      <c r="G43" t="s">
        <v>709</v>
      </c>
      <c r="I43" s="5">
        <f>-'Results of Operations Co'!C52</f>
        <v>-333898.95999999996</v>
      </c>
    </row>
    <row r="44" spans="1:23">
      <c r="F44">
        <v>4363</v>
      </c>
      <c r="G44" t="s">
        <v>709</v>
      </c>
      <c r="I44" s="38">
        <f>-'Results of Operations Co'!C54</f>
        <v>-132638.97999999998</v>
      </c>
    </row>
    <row r="46" spans="1:23">
      <c r="G46" t="s">
        <v>710</v>
      </c>
      <c r="I46" s="5">
        <f>SUM(I42:I44)</f>
        <v>-4481.7399999999325</v>
      </c>
    </row>
    <row r="48" spans="1:23">
      <c r="A48" s="465" t="s">
        <v>711</v>
      </c>
      <c r="B48" s="459"/>
    </row>
    <row r="49" spans="2:9">
      <c r="B49" s="459"/>
      <c r="I49" s="67"/>
    </row>
  </sheetData>
  <phoneticPr fontId="0" type="noConversion"/>
  <pageMargins left="0.28999999999999998" right="0.3" top="0.49" bottom="1" header="0.5" footer="0.5"/>
  <pageSetup scale="61" fitToHeight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M96"/>
  <sheetViews>
    <sheetView workbookViewId="0">
      <selection activeCell="F4" sqref="F3:F4"/>
    </sheetView>
  </sheetViews>
  <sheetFormatPr defaultRowHeight="12.75"/>
  <cols>
    <col min="1" max="1" width="10.140625" bestFit="1" customWidth="1"/>
    <col min="3" max="3" width="8.85546875" customWidth="1"/>
    <col min="7" max="7" width="10.7109375" customWidth="1"/>
    <col min="8" max="8" width="13.28515625" customWidth="1"/>
    <col min="9" max="9" width="13.42578125" customWidth="1"/>
    <col min="10" max="10" width="11.28515625" bestFit="1" customWidth="1"/>
    <col min="11" max="17" width="9.85546875" bestFit="1" customWidth="1"/>
  </cols>
  <sheetData>
    <row r="1" spans="1:8">
      <c r="A1" t="s">
        <v>4</v>
      </c>
    </row>
    <row r="3" spans="1:8">
      <c r="A3" t="s">
        <v>712</v>
      </c>
      <c r="D3" s="459" t="s">
        <v>11</v>
      </c>
      <c r="E3" s="459" t="s">
        <v>12</v>
      </c>
    </row>
    <row r="5" spans="1:8">
      <c r="A5" s="50">
        <v>45473</v>
      </c>
    </row>
    <row r="9" spans="1:8">
      <c r="A9" s="1" t="s">
        <v>692</v>
      </c>
      <c r="B9" t="s">
        <v>713</v>
      </c>
    </row>
    <row r="10" spans="1:8">
      <c r="F10" t="s">
        <v>714</v>
      </c>
      <c r="G10">
        <f>'Wage Summary'!P35</f>
        <v>4213</v>
      </c>
      <c r="H10" s="57">
        <f>+'Wage Summary'!$Q$35</f>
        <v>18771.219999999972</v>
      </c>
    </row>
    <row r="11" spans="1:8">
      <c r="F11" t="s">
        <v>361</v>
      </c>
      <c r="G11">
        <f>'Wage Summary'!P36</f>
        <v>4215</v>
      </c>
      <c r="H11" s="48">
        <f>+'Wage Summary'!$Q$36</f>
        <v>2453.75</v>
      </c>
    </row>
    <row r="12" spans="1:8">
      <c r="F12" s="459" t="s">
        <v>364</v>
      </c>
      <c r="G12">
        <f>'Wage Summary'!P37</f>
        <v>4222</v>
      </c>
      <c r="H12" s="48">
        <f>+'Wage Summary'!$Q$37</f>
        <v>738.70500000000175</v>
      </c>
    </row>
    <row r="13" spans="1:8">
      <c r="F13" t="s">
        <v>715</v>
      </c>
      <c r="G13">
        <f>'Wage Summary'!P38</f>
        <v>4611</v>
      </c>
      <c r="H13" s="48">
        <f>+'Wage Summary'!$Q$38</f>
        <v>1536</v>
      </c>
    </row>
    <row r="14" spans="1:8">
      <c r="F14" t="s">
        <v>363</v>
      </c>
      <c r="G14">
        <f>'Wage Summary'!P39</f>
        <v>4612</v>
      </c>
      <c r="H14" s="48">
        <f>+'Wage Summary'!$Q$39</f>
        <v>16631.029999999995</v>
      </c>
    </row>
    <row r="15" spans="1:8">
      <c r="F15" t="s">
        <v>363</v>
      </c>
      <c r="G15">
        <f>'Wage Summary'!P40</f>
        <v>4613</v>
      </c>
      <c r="H15" s="52">
        <f>+'Wage Summary'!$Q$40</f>
        <v>0</v>
      </c>
    </row>
    <row r="16" spans="1:8" ht="13.5" thickBot="1">
      <c r="H16" s="58">
        <f>SUM(H10:H15)</f>
        <v>40130.704999999973</v>
      </c>
    </row>
    <row r="17" spans="1:13" ht="13.5" thickTop="1"/>
    <row r="19" spans="1:13">
      <c r="A19" s="1" t="s">
        <v>695</v>
      </c>
      <c r="B19" t="s">
        <v>716</v>
      </c>
      <c r="H19" s="51">
        <f>+'L&amp;I'!$G$37</f>
        <v>1539.6481499999993</v>
      </c>
    </row>
    <row r="21" spans="1:13">
      <c r="A21" s="1" t="s">
        <v>705</v>
      </c>
      <c r="B21" t="s">
        <v>717</v>
      </c>
      <c r="H21" s="51">
        <f>+'Health Insurance'!$L$28</f>
        <v>5858.9200000000274</v>
      </c>
    </row>
    <row r="23" spans="1:13">
      <c r="A23" s="1" t="s">
        <v>707</v>
      </c>
      <c r="B23" t="s">
        <v>718</v>
      </c>
    </row>
    <row r="25" spans="1:13">
      <c r="F25" s="53">
        <v>0.8</v>
      </c>
      <c r="H25" t="s">
        <v>227</v>
      </c>
    </row>
    <row r="26" spans="1:13">
      <c r="B26" s="185" t="s">
        <v>1456</v>
      </c>
      <c r="C26" s="185"/>
      <c r="D26" s="185"/>
      <c r="E26" s="167">
        <v>7800</v>
      </c>
      <c r="F26" s="48">
        <f>+E26*F25</f>
        <v>6240</v>
      </c>
      <c r="J26" s="447">
        <v>10029</v>
      </c>
      <c r="K26" s="448" t="s">
        <v>719</v>
      </c>
      <c r="L26" s="448"/>
      <c r="M26" s="448"/>
    </row>
    <row r="27" spans="1:13">
      <c r="B27" t="s">
        <v>720</v>
      </c>
      <c r="E27" s="52">
        <f>+J28</f>
        <v>7439</v>
      </c>
      <c r="F27" s="52">
        <f>+E27*F25</f>
        <v>5951.2000000000007</v>
      </c>
      <c r="H27" s="5">
        <f>+F27-E27</f>
        <v>-1487.7999999999993</v>
      </c>
      <c r="J27" s="449">
        <v>2590</v>
      </c>
      <c r="K27" s="448" t="s">
        <v>721</v>
      </c>
      <c r="L27" s="448"/>
      <c r="M27" s="448"/>
    </row>
    <row r="28" spans="1:13">
      <c r="B28" t="s">
        <v>710</v>
      </c>
      <c r="E28" s="48">
        <f>+E26-E27</f>
        <v>361</v>
      </c>
      <c r="F28" s="48">
        <f>+E28*F25</f>
        <v>288.8</v>
      </c>
      <c r="H28" s="38">
        <f>+F28-E28</f>
        <v>-72.199999999999989</v>
      </c>
      <c r="J28" s="450">
        <f>J26-J27</f>
        <v>7439</v>
      </c>
      <c r="K28" s="448" t="s">
        <v>722</v>
      </c>
      <c r="L28" s="448"/>
      <c r="M28" s="448"/>
    </row>
    <row r="29" spans="1:13">
      <c r="H29" s="51">
        <f>+H27+H28</f>
        <v>-1559.9999999999993</v>
      </c>
      <c r="J29" s="451">
        <f>J28*0.8</f>
        <v>5951.2000000000007</v>
      </c>
      <c r="K29" s="452">
        <v>0.8</v>
      </c>
      <c r="L29" s="448"/>
      <c r="M29" s="448"/>
    </row>
    <row r="30" spans="1:13">
      <c r="H30" s="5"/>
      <c r="J30" s="450">
        <f>J28-J29</f>
        <v>1487.7999999999993</v>
      </c>
      <c r="K30" s="448" t="s">
        <v>227</v>
      </c>
      <c r="L30" s="448"/>
      <c r="M30" s="448"/>
    </row>
    <row r="32" spans="1:13">
      <c r="A32" s="1" t="s">
        <v>711</v>
      </c>
      <c r="B32" t="s">
        <v>723</v>
      </c>
    </row>
    <row r="33" spans="1:9">
      <c r="C33" t="s">
        <v>724</v>
      </c>
      <c r="H33" s="138">
        <v>0</v>
      </c>
    </row>
    <row r="36" spans="1:9">
      <c r="A36" s="1" t="s">
        <v>725</v>
      </c>
      <c r="B36" t="s">
        <v>726</v>
      </c>
    </row>
    <row r="38" spans="1:9">
      <c r="B38" t="s">
        <v>377</v>
      </c>
      <c r="H38" s="51">
        <f>+'City Contracts'!$H$27</f>
        <v>3954.1942500000005</v>
      </c>
    </row>
    <row r="39" spans="1:9">
      <c r="B39" t="s">
        <v>378</v>
      </c>
      <c r="H39" s="51">
        <f>+'City Contracts'!$I$27</f>
        <v>0</v>
      </c>
    </row>
    <row r="42" spans="1:9">
      <c r="A42" s="1" t="s">
        <v>727</v>
      </c>
      <c r="B42" t="s">
        <v>728</v>
      </c>
      <c r="H42" s="64">
        <f>+'Results of Operations Co'!H21</f>
        <v>3954.1942500000005</v>
      </c>
    </row>
    <row r="43" spans="1:9">
      <c r="A43" s="1"/>
      <c r="H43" s="484">
        <f>'General Data'!E10</f>
        <v>1.7500000000000002E-2</v>
      </c>
    </row>
    <row r="44" spans="1:9">
      <c r="A44" s="1"/>
      <c r="I44" s="57">
        <f>+H42*H43</f>
        <v>69.198399375000008</v>
      </c>
    </row>
    <row r="47" spans="1:9">
      <c r="A47" s="1" t="s">
        <v>729</v>
      </c>
      <c r="B47" s="459" t="s">
        <v>730</v>
      </c>
      <c r="H47" s="73">
        <f>'Disposal Fees'!$E$34</f>
        <v>0</v>
      </c>
    </row>
    <row r="48" spans="1:9">
      <c r="B48" s="459" t="s">
        <v>731</v>
      </c>
      <c r="H48" s="73">
        <f>'Disposal Fees'!$G$63</f>
        <v>0</v>
      </c>
    </row>
    <row r="50" spans="1:8">
      <c r="A50" s="1" t="s">
        <v>732</v>
      </c>
      <c r="B50" t="s">
        <v>733</v>
      </c>
    </row>
    <row r="51" spans="1:8">
      <c r="C51" t="s">
        <v>734</v>
      </c>
    </row>
    <row r="52" spans="1:8">
      <c r="D52" t="s">
        <v>735</v>
      </c>
      <c r="G52" s="51">
        <f>'Previous rate increases NA'!I72</f>
        <v>0</v>
      </c>
    </row>
    <row r="53" spans="1:8">
      <c r="D53" t="s">
        <v>736</v>
      </c>
      <c r="G53" s="51">
        <f>'Previous rate increases NA'!Q72</f>
        <v>0</v>
      </c>
    </row>
    <row r="54" spans="1:8" ht="13.5" thickBot="1">
      <c r="D54" t="s">
        <v>737</v>
      </c>
      <c r="G54" s="59">
        <f>'Previous rate increases NA'!Y72</f>
        <v>0</v>
      </c>
      <c r="H54" s="59">
        <f>SUM(G52:G54)</f>
        <v>0</v>
      </c>
    </row>
    <row r="57" spans="1:8">
      <c r="C57" t="s">
        <v>263</v>
      </c>
    </row>
    <row r="58" spans="1:8">
      <c r="D58" t="s">
        <v>735</v>
      </c>
      <c r="G58" s="5">
        <f>'Previous rate increases NA'!I73</f>
        <v>0</v>
      </c>
    </row>
    <row r="59" spans="1:8">
      <c r="D59" t="s">
        <v>736</v>
      </c>
      <c r="G59" s="5">
        <f>'Previous rate increases NA'!Q73</f>
        <v>0</v>
      </c>
    </row>
    <row r="60" spans="1:8" ht="13.5" thickBot="1">
      <c r="D60" t="s">
        <v>737</v>
      </c>
      <c r="G60" s="6">
        <f>'Previous rate increases NA'!Y73</f>
        <v>0</v>
      </c>
      <c r="H60" s="6">
        <f>SUM(G58:G60)</f>
        <v>0</v>
      </c>
    </row>
    <row r="63" spans="1:8">
      <c r="A63" s="1" t="s">
        <v>738</v>
      </c>
      <c r="B63" t="s">
        <v>739</v>
      </c>
    </row>
    <row r="65" spans="1:9">
      <c r="C65" t="s">
        <v>740</v>
      </c>
      <c r="H65" s="62">
        <f>+'Fuel Proforma'!$Q$66</f>
        <v>-5895.6658203670859</v>
      </c>
    </row>
    <row r="66" spans="1:9">
      <c r="H66" s="62"/>
    </row>
    <row r="67" spans="1:9">
      <c r="C67" t="s">
        <v>741</v>
      </c>
      <c r="H67" s="62">
        <f>+'Fuel Proforma'!$Q$80</f>
        <v>-1626.8810080515261</v>
      </c>
    </row>
    <row r="71" spans="1:9">
      <c r="A71" s="1" t="s">
        <v>742</v>
      </c>
      <c r="B71" t="s">
        <v>743</v>
      </c>
      <c r="H71" s="62">
        <f>+'Employment Security'!$D$42</f>
        <v>1003.2708524999989</v>
      </c>
    </row>
    <row r="74" spans="1:9">
      <c r="A74" s="1" t="s">
        <v>742</v>
      </c>
      <c r="B74" s="459" t="s">
        <v>744</v>
      </c>
      <c r="F74" s="459" t="s">
        <v>745</v>
      </c>
      <c r="H74" s="62">
        <f>Rent!$F$23</f>
        <v>1404</v>
      </c>
    </row>
    <row r="75" spans="1:9">
      <c r="F75" s="459" t="s">
        <v>746</v>
      </c>
      <c r="H75" s="62">
        <f>Rent!$F$35</f>
        <v>444</v>
      </c>
    </row>
    <row r="77" spans="1:9">
      <c r="A77" s="465"/>
      <c r="B77" s="459"/>
    </row>
    <row r="79" spans="1:9">
      <c r="C79" s="459"/>
      <c r="I79" s="62"/>
    </row>
    <row r="81" spans="1:10">
      <c r="C81" s="459"/>
      <c r="H81" s="80"/>
    </row>
    <row r="82" spans="1:10">
      <c r="C82" s="459"/>
      <c r="H82" s="743"/>
      <c r="I82" s="147"/>
    </row>
    <row r="83" spans="1:10">
      <c r="C83" s="465"/>
      <c r="H83" s="743"/>
      <c r="I83" s="147"/>
    </row>
    <row r="84" spans="1:10">
      <c r="C84" s="459"/>
      <c r="H84" s="743"/>
      <c r="I84" s="147"/>
    </row>
    <row r="85" spans="1:10">
      <c r="C85" s="465"/>
      <c r="H85" s="744"/>
      <c r="I85" s="147"/>
    </row>
    <row r="86" spans="1:10">
      <c r="C86" s="459"/>
      <c r="H86" s="745"/>
      <c r="I86" s="147"/>
    </row>
    <row r="87" spans="1:10">
      <c r="H87" s="743"/>
      <c r="I87" s="147"/>
    </row>
    <row r="88" spans="1:10">
      <c r="C88" s="465"/>
      <c r="H88" s="746"/>
      <c r="I88" s="744"/>
    </row>
    <row r="89" spans="1:10">
      <c r="C89" s="465"/>
      <c r="H89" s="746"/>
      <c r="I89" s="147"/>
    </row>
    <row r="90" spans="1:10">
      <c r="C90" s="465"/>
      <c r="H90" s="63"/>
      <c r="I90" s="42"/>
    </row>
    <row r="93" spans="1:10">
      <c r="A93" s="465"/>
      <c r="B93" s="459"/>
      <c r="G93" s="459"/>
      <c r="H93" s="63"/>
    </row>
    <row r="94" spans="1:10">
      <c r="H94" s="62"/>
    </row>
    <row r="95" spans="1:10">
      <c r="H95" s="62"/>
      <c r="I95" s="80"/>
      <c r="J95" s="63"/>
    </row>
    <row r="96" spans="1:10">
      <c r="H96" s="62"/>
      <c r="I96" s="509"/>
      <c r="J96" s="67"/>
    </row>
  </sheetData>
  <phoneticPr fontId="0" type="noConversion"/>
  <pageMargins left="0.44" right="0.39" top="0.56000000000000005" bottom="1" header="0.5" footer="0.5"/>
  <pageSetup scale="7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V57"/>
  <sheetViews>
    <sheetView workbookViewId="0">
      <selection activeCell="G53" sqref="G53"/>
    </sheetView>
  </sheetViews>
  <sheetFormatPr defaultRowHeight="12.75"/>
  <cols>
    <col min="1" max="1" width="19.7109375" customWidth="1"/>
    <col min="2" max="2" width="10.140625" bestFit="1" customWidth="1"/>
    <col min="3" max="3" width="10" customWidth="1"/>
    <col min="5" max="5" width="9.5703125" customWidth="1"/>
    <col min="6" max="6" width="10.28515625" customWidth="1"/>
    <col min="7" max="7" width="11.28515625" bestFit="1" customWidth="1"/>
    <col min="8" max="8" width="10" customWidth="1"/>
    <col min="9" max="9" width="10.7109375" customWidth="1"/>
    <col min="10" max="10" width="10.140625" customWidth="1"/>
    <col min="12" max="13" width="10.42578125" customWidth="1"/>
    <col min="14" max="14" width="10.7109375" customWidth="1"/>
    <col min="15" max="15" width="2.85546875" customWidth="1"/>
    <col min="16" max="16" width="9.7109375" customWidth="1"/>
    <col min="17" max="17" width="10" customWidth="1"/>
    <col min="18" max="18" width="11.42578125" customWidth="1"/>
    <col min="22" max="22" width="11" customWidth="1"/>
  </cols>
  <sheetData>
    <row r="1" spans="1:22">
      <c r="A1" t="s">
        <v>4</v>
      </c>
    </row>
    <row r="3" spans="1:22">
      <c r="A3" t="s">
        <v>1062</v>
      </c>
      <c r="D3" s="459" t="s">
        <v>11</v>
      </c>
      <c r="E3" s="462" t="s">
        <v>12</v>
      </c>
      <c r="F3" s="487"/>
      <c r="G3" s="487"/>
    </row>
    <row r="5" spans="1:22">
      <c r="A5" s="458" t="s">
        <v>1420</v>
      </c>
    </row>
    <row r="7" spans="1:22">
      <c r="K7" s="459"/>
      <c r="L7" s="15"/>
      <c r="P7" s="147"/>
      <c r="Q7" s="157">
        <v>12</v>
      </c>
      <c r="R7" s="147"/>
    </row>
    <row r="8" spans="1:22">
      <c r="P8" s="147"/>
      <c r="Q8" s="157" t="s">
        <v>1063</v>
      </c>
      <c r="R8" s="147"/>
    </row>
    <row r="9" spans="1:22">
      <c r="B9" s="530" t="s">
        <v>1064</v>
      </c>
      <c r="D9" s="530" t="s">
        <v>1065</v>
      </c>
      <c r="E9" s="465" t="s">
        <v>1444</v>
      </c>
      <c r="G9" s="459" t="s">
        <v>1445</v>
      </c>
      <c r="I9" s="459" t="s">
        <v>1402</v>
      </c>
      <c r="J9" s="530"/>
      <c r="K9" s="459" t="s">
        <v>1403</v>
      </c>
      <c r="L9" s="530"/>
      <c r="M9" s="15" t="s">
        <v>1066</v>
      </c>
      <c r="N9" s="530"/>
      <c r="P9" s="158" t="s">
        <v>681</v>
      </c>
      <c r="Q9" s="147" t="s">
        <v>116</v>
      </c>
      <c r="R9" s="147" t="s">
        <v>116</v>
      </c>
      <c r="U9" s="530" t="s">
        <v>1067</v>
      </c>
      <c r="V9" t="s">
        <v>221</v>
      </c>
    </row>
    <row r="10" spans="1:22">
      <c r="A10" s="65" t="s">
        <v>1068</v>
      </c>
      <c r="B10" s="96" t="s">
        <v>8</v>
      </c>
      <c r="C10" s="96" t="s">
        <v>174</v>
      </c>
      <c r="D10" s="96" t="s">
        <v>1069</v>
      </c>
      <c r="E10" s="96" t="s">
        <v>375</v>
      </c>
      <c r="F10" s="96" t="s">
        <v>174</v>
      </c>
      <c r="G10" s="96" t="s">
        <v>375</v>
      </c>
      <c r="H10" s="96" t="s">
        <v>174</v>
      </c>
      <c r="I10" s="96" t="s">
        <v>375</v>
      </c>
      <c r="J10" s="96" t="s">
        <v>174</v>
      </c>
      <c r="K10" s="96" t="s">
        <v>1070</v>
      </c>
      <c r="L10" s="96" t="s">
        <v>174</v>
      </c>
      <c r="M10" s="96" t="s">
        <v>375</v>
      </c>
      <c r="N10" s="96" t="s">
        <v>174</v>
      </c>
      <c r="P10" s="157" t="s">
        <v>1071</v>
      </c>
      <c r="Q10" s="157" t="s">
        <v>1072</v>
      </c>
      <c r="R10" s="156" t="s">
        <v>174</v>
      </c>
      <c r="U10" s="156" t="s">
        <v>392</v>
      </c>
      <c r="V10" s="156" t="s">
        <v>392</v>
      </c>
    </row>
    <row r="11" spans="1:22">
      <c r="P11" s="147"/>
      <c r="Q11" s="147"/>
      <c r="R11" s="147"/>
    </row>
    <row r="12" spans="1:22">
      <c r="A12" t="s">
        <v>1</v>
      </c>
      <c r="B12" s="155">
        <v>44531</v>
      </c>
      <c r="C12" s="152">
        <v>9500</v>
      </c>
      <c r="D12" t="s">
        <v>1073</v>
      </c>
      <c r="E12" s="154">
        <v>480</v>
      </c>
      <c r="F12" s="148">
        <v>28500</v>
      </c>
      <c r="G12" s="150">
        <v>480</v>
      </c>
      <c r="H12" s="48">
        <v>28500</v>
      </c>
      <c r="I12" s="150">
        <v>480</v>
      </c>
      <c r="J12" s="48">
        <v>28500</v>
      </c>
      <c r="K12" s="154">
        <v>480</v>
      </c>
      <c r="L12" s="148">
        <v>46500</v>
      </c>
      <c r="M12" s="150">
        <f t="shared" ref="M12:M21" si="0">+E12+G12+I12+K12</f>
        <v>1920</v>
      </c>
      <c r="N12" s="48">
        <f>+F12+H12+J12+L12</f>
        <v>132000</v>
      </c>
      <c r="P12" s="152">
        <f t="shared" ref="P12:P28" si="1">+K38</f>
        <v>0</v>
      </c>
      <c r="Q12" s="148">
        <f>P12</f>
        <v>0</v>
      </c>
      <c r="R12" s="148">
        <f>+N12+Q12</f>
        <v>132000</v>
      </c>
      <c r="T12" t="s">
        <v>1074</v>
      </c>
    </row>
    <row r="13" spans="1:22">
      <c r="A13" s="459" t="s">
        <v>1075</v>
      </c>
      <c r="B13" s="155">
        <v>44986</v>
      </c>
      <c r="C13" s="152">
        <v>21</v>
      </c>
      <c r="D13" s="459" t="s">
        <v>1076</v>
      </c>
      <c r="E13" s="154">
        <v>68</v>
      </c>
      <c r="F13" s="148">
        <v>1452</v>
      </c>
      <c r="G13" s="150">
        <v>52</v>
      </c>
      <c r="H13" s="48">
        <v>1187.44</v>
      </c>
      <c r="I13" s="150">
        <v>51</v>
      </c>
      <c r="J13" s="48">
        <v>1076.25</v>
      </c>
      <c r="K13" s="154">
        <v>51</v>
      </c>
      <c r="L13" s="148">
        <v>1324.17</v>
      </c>
      <c r="M13" s="150">
        <f>+E13+G13+I13+K13</f>
        <v>222</v>
      </c>
      <c r="N13" s="48">
        <f>+F13+H13+J13+L13</f>
        <v>5039.8600000000006</v>
      </c>
      <c r="P13" s="152">
        <f t="shared" si="1"/>
        <v>66.139999999999418</v>
      </c>
      <c r="Q13" s="148">
        <f t="shared" ref="Q13:Q28" si="2">P13</f>
        <v>66.139999999999418</v>
      </c>
      <c r="R13" s="148">
        <f>+N13+Q13</f>
        <v>5106</v>
      </c>
      <c r="T13" t="s">
        <v>1074</v>
      </c>
    </row>
    <row r="14" spans="1:22">
      <c r="A14" s="459" t="s">
        <v>1077</v>
      </c>
      <c r="B14" s="155">
        <v>44986</v>
      </c>
      <c r="C14" s="152">
        <v>28.5</v>
      </c>
      <c r="D14" s="459" t="s">
        <v>1076</v>
      </c>
      <c r="E14" s="154">
        <v>570</v>
      </c>
      <c r="F14" s="148">
        <v>16818.82</v>
      </c>
      <c r="G14" s="150">
        <v>490</v>
      </c>
      <c r="H14" s="48">
        <v>15195.78</v>
      </c>
      <c r="I14" s="150">
        <v>588</v>
      </c>
      <c r="J14" s="48">
        <v>17605.89</v>
      </c>
      <c r="K14" s="154">
        <v>497</v>
      </c>
      <c r="L14" s="148">
        <v>14938.06</v>
      </c>
      <c r="M14" s="150">
        <f>+E14+G14+I14+K14</f>
        <v>2145</v>
      </c>
      <c r="N14" s="48">
        <f>+F14+H14+J14+L14</f>
        <v>64558.549999999996</v>
      </c>
      <c r="P14" s="152">
        <f t="shared" si="1"/>
        <v>1191.0624999999927</v>
      </c>
      <c r="Q14" s="148">
        <f>P14</f>
        <v>1191.0624999999927</v>
      </c>
      <c r="R14" s="148">
        <f>+N14+Q14</f>
        <v>65749.612499999988</v>
      </c>
      <c r="T14" t="s">
        <v>990</v>
      </c>
    </row>
    <row r="15" spans="1:22">
      <c r="A15" s="459" t="s">
        <v>1078</v>
      </c>
      <c r="B15" s="155">
        <v>44986</v>
      </c>
      <c r="C15" s="152">
        <v>23.25</v>
      </c>
      <c r="D15" s="459" t="s">
        <v>1076</v>
      </c>
      <c r="E15" s="154">
        <v>538</v>
      </c>
      <c r="F15" s="148">
        <v>12661.55</v>
      </c>
      <c r="G15" s="150">
        <v>469</v>
      </c>
      <c r="H15" s="48">
        <v>11506.72</v>
      </c>
      <c r="I15" s="150">
        <v>551</v>
      </c>
      <c r="J15" s="48">
        <v>12985.33</v>
      </c>
      <c r="K15" s="154">
        <v>456</v>
      </c>
      <c r="L15" s="148">
        <v>11075.61</v>
      </c>
      <c r="M15" s="150">
        <f>+E15+G15+I15+K15</f>
        <v>2014</v>
      </c>
      <c r="N15" s="48">
        <f>+F15+H15+J15+L15</f>
        <v>48229.21</v>
      </c>
      <c r="P15" s="152">
        <f t="shared" si="1"/>
        <v>986.16500000000087</v>
      </c>
      <c r="Q15" s="148">
        <f t="shared" si="2"/>
        <v>986.16500000000087</v>
      </c>
      <c r="R15" s="148">
        <f>+N15+Q15</f>
        <v>49215.375</v>
      </c>
      <c r="T15" t="s">
        <v>990</v>
      </c>
    </row>
    <row r="16" spans="1:22">
      <c r="A16" t="s">
        <v>1079</v>
      </c>
      <c r="B16" s="155">
        <v>44986</v>
      </c>
      <c r="C16" s="152">
        <v>24.75</v>
      </c>
      <c r="D16" t="s">
        <v>1076</v>
      </c>
      <c r="E16" s="154">
        <v>561</v>
      </c>
      <c r="F16" s="148">
        <v>14209.34</v>
      </c>
      <c r="G16" s="150">
        <v>492</v>
      </c>
      <c r="H16" s="48">
        <v>13068.6</v>
      </c>
      <c r="I16" s="150">
        <v>584</v>
      </c>
      <c r="J16" s="48">
        <v>14924.48</v>
      </c>
      <c r="K16" s="154">
        <v>560</v>
      </c>
      <c r="L16" s="148">
        <v>14342.06</v>
      </c>
      <c r="M16" s="150">
        <f t="shared" si="0"/>
        <v>2197</v>
      </c>
      <c r="N16" s="48">
        <f t="shared" ref="N16:N21" si="3">+F16+H16+J16+L16</f>
        <v>56544.479999999996</v>
      </c>
      <c r="P16" s="152">
        <f t="shared" si="1"/>
        <v>1763.4825000000055</v>
      </c>
      <c r="Q16" s="148">
        <f t="shared" si="2"/>
        <v>1763.4825000000055</v>
      </c>
      <c r="R16" s="148">
        <f t="shared" ref="R16:R27" si="4">+N16+Q16</f>
        <v>58307.962500000001</v>
      </c>
      <c r="T16" t="s">
        <v>990</v>
      </c>
    </row>
    <row r="17" spans="1:20">
      <c r="A17" t="s">
        <v>1080</v>
      </c>
      <c r="B17" s="155">
        <v>44986</v>
      </c>
      <c r="C17" s="152">
        <v>27.5</v>
      </c>
      <c r="D17" t="s">
        <v>1076</v>
      </c>
      <c r="E17" s="154">
        <v>0</v>
      </c>
      <c r="F17" s="148">
        <v>0</v>
      </c>
      <c r="G17" s="150">
        <v>157</v>
      </c>
      <c r="H17" s="48">
        <v>4640</v>
      </c>
      <c r="I17" s="150">
        <v>535</v>
      </c>
      <c r="J17" s="48">
        <v>15152.51</v>
      </c>
      <c r="K17" s="154">
        <v>191</v>
      </c>
      <c r="L17" s="148">
        <v>5677.42</v>
      </c>
      <c r="M17" s="150">
        <f t="shared" si="0"/>
        <v>883</v>
      </c>
      <c r="N17" s="48">
        <f t="shared" si="3"/>
        <v>25469.93</v>
      </c>
      <c r="P17" s="152">
        <f t="shared" si="1"/>
        <v>441.56999999999971</v>
      </c>
      <c r="Q17" s="148">
        <f t="shared" si="2"/>
        <v>441.56999999999971</v>
      </c>
      <c r="R17" s="148">
        <f t="shared" si="4"/>
        <v>25911.5</v>
      </c>
      <c r="T17" t="s">
        <v>990</v>
      </c>
    </row>
    <row r="18" spans="1:20">
      <c r="A18" t="s">
        <v>1081</v>
      </c>
      <c r="B18" s="155">
        <v>44986</v>
      </c>
      <c r="C18" s="152">
        <v>500</v>
      </c>
      <c r="D18" t="s">
        <v>1076</v>
      </c>
      <c r="E18" s="154">
        <v>0</v>
      </c>
      <c r="F18" s="148">
        <v>0</v>
      </c>
      <c r="G18" s="150"/>
      <c r="H18" s="48"/>
      <c r="I18" s="150"/>
      <c r="J18" s="48"/>
      <c r="K18" s="154">
        <v>1</v>
      </c>
      <c r="L18" s="148">
        <v>548.34</v>
      </c>
      <c r="M18" s="150">
        <f t="shared" si="0"/>
        <v>1</v>
      </c>
      <c r="N18" s="48">
        <f t="shared" si="3"/>
        <v>548.34</v>
      </c>
      <c r="P18" s="152">
        <f t="shared" si="1"/>
        <v>-48.340000000000032</v>
      </c>
      <c r="Q18" s="148">
        <f t="shared" si="2"/>
        <v>-48.340000000000032</v>
      </c>
      <c r="R18" s="148">
        <f t="shared" si="4"/>
        <v>500</v>
      </c>
      <c r="T18" t="s">
        <v>1074</v>
      </c>
    </row>
    <row r="19" spans="1:20">
      <c r="A19" s="459" t="s">
        <v>1082</v>
      </c>
      <c r="B19" s="155">
        <v>44986</v>
      </c>
      <c r="C19" s="152">
        <v>27</v>
      </c>
      <c r="D19" t="s">
        <v>1076</v>
      </c>
      <c r="E19" s="154">
        <v>0</v>
      </c>
      <c r="F19" s="148">
        <v>0</v>
      </c>
      <c r="G19" s="150">
        <v>0</v>
      </c>
      <c r="H19" s="48">
        <v>0</v>
      </c>
      <c r="I19" s="150">
        <v>61</v>
      </c>
      <c r="J19" s="48">
        <v>1708</v>
      </c>
      <c r="K19" s="154">
        <v>0</v>
      </c>
      <c r="L19" s="148">
        <v>0</v>
      </c>
      <c r="M19" s="150">
        <f>+E19+G19+I19+K19</f>
        <v>61</v>
      </c>
      <c r="N19" s="48">
        <f>+F19+H19+J19+L19</f>
        <v>1708</v>
      </c>
      <c r="P19" s="152">
        <f t="shared" si="1"/>
        <v>91.5</v>
      </c>
      <c r="Q19" s="148">
        <f t="shared" si="2"/>
        <v>91.5</v>
      </c>
      <c r="R19" s="148">
        <f>+N19+Q19</f>
        <v>1799.5</v>
      </c>
      <c r="T19" t="s">
        <v>990</v>
      </c>
    </row>
    <row r="20" spans="1:20">
      <c r="A20" s="459" t="s">
        <v>1404</v>
      </c>
      <c r="B20" s="155">
        <v>44986</v>
      </c>
      <c r="C20" s="152">
        <v>25</v>
      </c>
      <c r="D20" t="s">
        <v>1076</v>
      </c>
      <c r="E20" s="154">
        <v>486</v>
      </c>
      <c r="F20" s="148">
        <v>12903.75</v>
      </c>
      <c r="G20" s="150">
        <v>533</v>
      </c>
      <c r="H20" s="48">
        <v>15442</v>
      </c>
      <c r="I20" s="150">
        <v>518</v>
      </c>
      <c r="J20" s="48">
        <v>12195.75</v>
      </c>
      <c r="K20" s="154">
        <v>521</v>
      </c>
      <c r="L20" s="148">
        <v>13731.84</v>
      </c>
      <c r="M20" s="150">
        <f t="shared" si="0"/>
        <v>2058</v>
      </c>
      <c r="N20" s="48">
        <f>+F20+H20+J20+L20</f>
        <v>54273.34</v>
      </c>
      <c r="P20" s="152">
        <f t="shared" si="1"/>
        <v>1522.6600000000035</v>
      </c>
      <c r="Q20" s="148">
        <f t="shared" si="2"/>
        <v>1522.6600000000035</v>
      </c>
      <c r="R20" s="148">
        <f t="shared" si="4"/>
        <v>55796</v>
      </c>
      <c r="T20" t="s">
        <v>990</v>
      </c>
    </row>
    <row r="21" spans="1:20">
      <c r="A21" t="s">
        <v>1083</v>
      </c>
      <c r="B21" s="155">
        <v>44986</v>
      </c>
      <c r="C21" s="152">
        <v>42</v>
      </c>
      <c r="D21" t="s">
        <v>1076</v>
      </c>
      <c r="E21" s="154">
        <v>575</v>
      </c>
      <c r="F21" s="148">
        <v>24980.1</v>
      </c>
      <c r="G21" s="150">
        <v>490</v>
      </c>
      <c r="H21" s="48">
        <v>22311</v>
      </c>
      <c r="I21" s="150">
        <v>597</v>
      </c>
      <c r="J21" s="48">
        <v>26176.5</v>
      </c>
      <c r="K21" s="154">
        <v>737</v>
      </c>
      <c r="L21" s="148">
        <v>37959.910000000003</v>
      </c>
      <c r="M21" s="150">
        <f t="shared" si="0"/>
        <v>2399</v>
      </c>
      <c r="N21" s="48">
        <f t="shared" si="3"/>
        <v>111427.51000000001</v>
      </c>
      <c r="P21" s="152">
        <f t="shared" si="1"/>
        <v>7896.3899999999849</v>
      </c>
      <c r="Q21" s="148">
        <f t="shared" si="2"/>
        <v>7896.3899999999849</v>
      </c>
      <c r="R21" s="148">
        <f t="shared" si="4"/>
        <v>119323.9</v>
      </c>
      <c r="T21" t="s">
        <v>990</v>
      </c>
    </row>
    <row r="22" spans="1:20">
      <c r="A22" t="s">
        <v>1084</v>
      </c>
      <c r="B22" s="155">
        <v>44986</v>
      </c>
      <c r="C22" s="152">
        <v>6592</v>
      </c>
      <c r="D22" t="s">
        <v>1073</v>
      </c>
      <c r="E22" s="154"/>
      <c r="F22" s="148">
        <v>19968</v>
      </c>
      <c r="G22" s="150"/>
      <c r="H22" s="48">
        <v>20352</v>
      </c>
      <c r="I22" s="150"/>
      <c r="J22" s="48">
        <v>19776</v>
      </c>
      <c r="K22" s="154"/>
      <c r="L22" s="148">
        <v>19776</v>
      </c>
      <c r="M22" s="150"/>
      <c r="N22" s="48">
        <f t="shared" ref="N22:N27" si="5">+F22+H22+J22+L22</f>
        <v>79872</v>
      </c>
      <c r="P22" s="152">
        <f t="shared" si="1"/>
        <v>1536</v>
      </c>
      <c r="Q22" s="148">
        <f t="shared" si="2"/>
        <v>1536</v>
      </c>
      <c r="R22" s="148">
        <f t="shared" si="4"/>
        <v>81408</v>
      </c>
    </row>
    <row r="23" spans="1:20">
      <c r="A23" s="459" t="s">
        <v>1085</v>
      </c>
      <c r="B23" s="155">
        <v>44986</v>
      </c>
      <c r="C23" s="152">
        <v>32</v>
      </c>
      <c r="D23" t="s">
        <v>1076</v>
      </c>
      <c r="E23" s="154">
        <v>642</v>
      </c>
      <c r="F23" s="148">
        <v>21470.97</v>
      </c>
      <c r="G23" s="150">
        <v>547</v>
      </c>
      <c r="H23" s="48">
        <v>19438.68</v>
      </c>
      <c r="I23" s="150">
        <v>678</v>
      </c>
      <c r="J23" s="48">
        <v>23112</v>
      </c>
      <c r="K23" s="154">
        <v>541</v>
      </c>
      <c r="L23" s="148">
        <v>18780.34</v>
      </c>
      <c r="M23" s="150">
        <f t="shared" ref="M23:M28" si="6">+E23+G23+I23+K23</f>
        <v>2408</v>
      </c>
      <c r="N23" s="48">
        <f t="shared" si="5"/>
        <v>82801.990000000005</v>
      </c>
      <c r="P23" s="152">
        <f t="shared" si="1"/>
        <v>2728.4974999999977</v>
      </c>
      <c r="Q23" s="148">
        <f t="shared" si="2"/>
        <v>2728.4974999999977</v>
      </c>
      <c r="R23" s="148">
        <f t="shared" si="4"/>
        <v>85530.487500000003</v>
      </c>
      <c r="T23" s="459" t="s">
        <v>990</v>
      </c>
    </row>
    <row r="24" spans="1:20">
      <c r="A24" s="459" t="s">
        <v>1086</v>
      </c>
      <c r="B24" s="155">
        <v>44986</v>
      </c>
      <c r="C24" s="152">
        <v>28.5</v>
      </c>
      <c r="D24" t="s">
        <v>1076</v>
      </c>
      <c r="E24" s="154">
        <v>591</v>
      </c>
      <c r="F24" s="148">
        <v>17570.990000000002</v>
      </c>
      <c r="G24" s="150">
        <v>515</v>
      </c>
      <c r="H24" s="48">
        <v>16085.25</v>
      </c>
      <c r="I24" s="150">
        <v>624</v>
      </c>
      <c r="J24" s="48">
        <v>18959.650000000001</v>
      </c>
      <c r="K24" s="154">
        <v>518</v>
      </c>
      <c r="L24" s="148">
        <v>15686.18</v>
      </c>
      <c r="M24" s="150">
        <f t="shared" si="6"/>
        <v>2248</v>
      </c>
      <c r="N24" s="48">
        <f t="shared" si="5"/>
        <v>68302.070000000007</v>
      </c>
      <c r="P24" s="152">
        <f t="shared" si="1"/>
        <v>2241.3924999999872</v>
      </c>
      <c r="Q24" s="148">
        <f t="shared" si="2"/>
        <v>2241.3924999999872</v>
      </c>
      <c r="R24" s="148">
        <f t="shared" si="4"/>
        <v>70543.462499999994</v>
      </c>
      <c r="T24" t="s">
        <v>990</v>
      </c>
    </row>
    <row r="25" spans="1:20">
      <c r="A25" s="459" t="s">
        <v>1087</v>
      </c>
      <c r="B25" s="155">
        <v>44880</v>
      </c>
      <c r="C25" s="152">
        <v>25</v>
      </c>
      <c r="D25" t="s">
        <v>1076</v>
      </c>
      <c r="E25" s="154">
        <v>0</v>
      </c>
      <c r="F25" s="148">
        <v>0</v>
      </c>
      <c r="G25" s="150">
        <v>0</v>
      </c>
      <c r="H25" s="48">
        <v>0</v>
      </c>
      <c r="I25" s="150"/>
      <c r="J25" s="48"/>
      <c r="K25" s="154"/>
      <c r="L25" s="148"/>
      <c r="M25" s="150">
        <f t="shared" si="6"/>
        <v>0</v>
      </c>
      <c r="N25" s="48">
        <f>+F25+H25+J25+L25</f>
        <v>0</v>
      </c>
      <c r="P25" s="152">
        <f t="shared" si="1"/>
        <v>0</v>
      </c>
      <c r="Q25" s="148">
        <f t="shared" si="2"/>
        <v>0</v>
      </c>
      <c r="R25" s="148">
        <f>+N25+Q25</f>
        <v>0</v>
      </c>
      <c r="T25" t="s">
        <v>990</v>
      </c>
    </row>
    <row r="26" spans="1:20">
      <c r="A26" s="459" t="s">
        <v>1088</v>
      </c>
      <c r="B26" s="155">
        <v>45107</v>
      </c>
      <c r="C26" s="152">
        <v>35</v>
      </c>
      <c r="D26" t="s">
        <v>1076</v>
      </c>
      <c r="E26" s="154">
        <v>332</v>
      </c>
      <c r="F26" s="148">
        <v>11736.5</v>
      </c>
      <c r="G26" s="150">
        <v>364</v>
      </c>
      <c r="H26" s="48">
        <v>13185</v>
      </c>
      <c r="I26" s="150">
        <v>401</v>
      </c>
      <c r="J26" s="48">
        <v>12448.25</v>
      </c>
      <c r="K26" s="154">
        <v>327</v>
      </c>
      <c r="L26" s="148">
        <v>11739</v>
      </c>
      <c r="M26" s="150">
        <f t="shared" si="6"/>
        <v>1424</v>
      </c>
      <c r="N26" s="48">
        <f>+F26+H26+J26+L26</f>
        <v>49108.75</v>
      </c>
      <c r="P26" s="152">
        <f t="shared" si="1"/>
        <v>2362.25</v>
      </c>
      <c r="Q26" s="148">
        <f>P26</f>
        <v>2362.25</v>
      </c>
      <c r="R26" s="148">
        <f>+N26+Q26</f>
        <v>51471</v>
      </c>
      <c r="T26" t="s">
        <v>990</v>
      </c>
    </row>
    <row r="27" spans="1:20">
      <c r="A27" s="459" t="s">
        <v>1089</v>
      </c>
      <c r="B27" s="155">
        <v>44986</v>
      </c>
      <c r="C27" s="152">
        <v>25</v>
      </c>
      <c r="D27" t="s">
        <v>1076</v>
      </c>
      <c r="E27" s="154">
        <v>263</v>
      </c>
      <c r="F27" s="148">
        <v>6689.8</v>
      </c>
      <c r="G27" s="150">
        <v>216</v>
      </c>
      <c r="H27" s="48">
        <v>7002.4</v>
      </c>
      <c r="I27" s="150">
        <v>322</v>
      </c>
      <c r="J27" s="48">
        <v>8043.75</v>
      </c>
      <c r="K27" s="154">
        <v>213</v>
      </c>
      <c r="L27" s="148">
        <v>5580.42</v>
      </c>
      <c r="M27" s="150">
        <f t="shared" si="6"/>
        <v>1014</v>
      </c>
      <c r="N27" s="48">
        <f t="shared" si="5"/>
        <v>27316.370000000003</v>
      </c>
      <c r="P27" s="152">
        <f t="shared" si="1"/>
        <v>16613.229999999996</v>
      </c>
      <c r="Q27" s="148">
        <f t="shared" si="2"/>
        <v>16613.229999999996</v>
      </c>
      <c r="R27" s="148">
        <f t="shared" si="4"/>
        <v>43929.599999999999</v>
      </c>
      <c r="T27" s="459" t="s">
        <v>1074</v>
      </c>
    </row>
    <row r="28" spans="1:20">
      <c r="A28" s="459" t="s">
        <v>1090</v>
      </c>
      <c r="B28" s="155">
        <v>44986</v>
      </c>
      <c r="C28" s="152">
        <v>20</v>
      </c>
      <c r="D28" t="s">
        <v>1076</v>
      </c>
      <c r="E28" s="154">
        <v>0</v>
      </c>
      <c r="F28" s="148">
        <v>0</v>
      </c>
      <c r="G28" s="150">
        <v>347</v>
      </c>
      <c r="H28" s="48">
        <v>7448.17</v>
      </c>
      <c r="I28" s="150">
        <v>433</v>
      </c>
      <c r="J28" s="48">
        <v>8750</v>
      </c>
      <c r="K28" s="154">
        <v>170</v>
      </c>
      <c r="L28" s="148">
        <v>3410</v>
      </c>
      <c r="M28" s="150">
        <f t="shared" si="6"/>
        <v>950</v>
      </c>
      <c r="N28" s="48">
        <f>+F28+H28+J28+L28</f>
        <v>19608.169999999998</v>
      </c>
      <c r="P28" s="152">
        <f t="shared" si="1"/>
        <v>738.70500000000175</v>
      </c>
      <c r="Q28" s="148">
        <f t="shared" si="2"/>
        <v>738.70500000000175</v>
      </c>
      <c r="R28" s="148">
        <f>+N28+Q28</f>
        <v>20346.875</v>
      </c>
      <c r="T28" s="459" t="s">
        <v>990</v>
      </c>
    </row>
    <row r="29" spans="1:20">
      <c r="B29" s="155"/>
      <c r="C29" s="152"/>
      <c r="E29" s="150"/>
      <c r="F29" s="48"/>
      <c r="G29" s="150"/>
      <c r="H29" s="48"/>
      <c r="I29" s="150"/>
      <c r="J29" s="48"/>
      <c r="K29" s="154"/>
      <c r="L29" s="148"/>
      <c r="M29" s="150"/>
      <c r="N29" s="48"/>
      <c r="P29" s="152"/>
      <c r="Q29" s="148"/>
      <c r="R29" s="148"/>
    </row>
    <row r="30" spans="1:20">
      <c r="B30" s="29"/>
      <c r="E30" s="65"/>
      <c r="F30" s="153"/>
      <c r="G30" s="153"/>
      <c r="H30" s="52"/>
      <c r="I30" s="65"/>
      <c r="J30" s="65"/>
      <c r="K30" s="65"/>
      <c r="L30" s="65"/>
      <c r="M30" s="65"/>
      <c r="N30" s="65"/>
      <c r="P30" s="152"/>
      <c r="Q30" s="151"/>
      <c r="R30" s="151"/>
    </row>
    <row r="31" spans="1:20">
      <c r="E31" s="150"/>
      <c r="F31" s="48"/>
      <c r="G31" s="150"/>
      <c r="H31" s="48"/>
      <c r="P31" s="147"/>
      <c r="Q31" s="147"/>
      <c r="R31" s="147"/>
    </row>
    <row r="32" spans="1:20">
      <c r="E32" s="150">
        <f t="shared" ref="E32:N32" si="7">SUM(E12:E29)</f>
        <v>5106</v>
      </c>
      <c r="F32" s="48">
        <f t="shared" si="7"/>
        <v>188961.81999999998</v>
      </c>
      <c r="G32" s="150">
        <f t="shared" si="7"/>
        <v>5152</v>
      </c>
      <c r="H32" s="48">
        <f t="shared" si="7"/>
        <v>195363.04</v>
      </c>
      <c r="I32" s="150">
        <f t="shared" si="7"/>
        <v>6423</v>
      </c>
      <c r="J32" s="48">
        <f t="shared" si="7"/>
        <v>221414.36</v>
      </c>
      <c r="K32" s="150">
        <f t="shared" si="7"/>
        <v>5263</v>
      </c>
      <c r="L32" s="48">
        <f t="shared" si="7"/>
        <v>221069.34999999998</v>
      </c>
      <c r="M32" s="150">
        <f t="shared" si="7"/>
        <v>21944</v>
      </c>
      <c r="N32" s="48">
        <f t="shared" si="7"/>
        <v>826808.57000000007</v>
      </c>
      <c r="P32" s="147"/>
      <c r="Q32" s="148">
        <f>SUM(Q12:Q29)</f>
        <v>40130.704999999973</v>
      </c>
      <c r="R32" s="148">
        <f>SUM(R12:R29)</f>
        <v>866939.27500000002</v>
      </c>
    </row>
    <row r="33" spans="1:18">
      <c r="E33" s="150"/>
      <c r="F33" s="48"/>
      <c r="G33" s="150"/>
      <c r="H33" s="48"/>
      <c r="I33" s="150"/>
      <c r="J33" s="48"/>
      <c r="K33" s="150"/>
      <c r="L33" s="48"/>
      <c r="M33" s="150"/>
      <c r="N33" s="48"/>
      <c r="P33" s="147"/>
      <c r="Q33" s="148"/>
      <c r="R33" s="148"/>
    </row>
    <row r="34" spans="1:18">
      <c r="C34" s="530" t="s">
        <v>1092</v>
      </c>
      <c r="D34" s="530" t="s">
        <v>1092</v>
      </c>
      <c r="F34" s="530" t="s">
        <v>21</v>
      </c>
      <c r="I34" s="530"/>
      <c r="J34" s="530" t="s">
        <v>105</v>
      </c>
      <c r="P34" s="147"/>
      <c r="Q34" s="147"/>
      <c r="R34" s="147"/>
    </row>
    <row r="35" spans="1:18">
      <c r="B35" s="530" t="s">
        <v>1091</v>
      </c>
      <c r="C35" s="530" t="s">
        <v>1446</v>
      </c>
      <c r="D35" s="530" t="s">
        <v>1447</v>
      </c>
      <c r="E35" s="530" t="s">
        <v>21</v>
      </c>
      <c r="F35" s="530" t="s">
        <v>1447</v>
      </c>
      <c r="G35" s="530" t="s">
        <v>1448</v>
      </c>
      <c r="H35" s="530" t="s">
        <v>1449</v>
      </c>
      <c r="I35" s="530" t="s">
        <v>116</v>
      </c>
      <c r="J35" s="462" t="s">
        <v>1450</v>
      </c>
      <c r="N35" s="148">
        <f>+N14+N15+N16+N17+N20+N21+N23+N24+N25</f>
        <v>511607.08</v>
      </c>
      <c r="P35" s="147">
        <v>4213</v>
      </c>
      <c r="Q35" s="148">
        <f>+Q14+Q15+Q16+Q17+Q20+Q21+Q23+Q24+Q25+Q29</f>
        <v>18771.219999999972</v>
      </c>
      <c r="R35" s="147"/>
    </row>
    <row r="36" spans="1:18">
      <c r="A36" t="s">
        <v>1093</v>
      </c>
      <c r="B36" s="530" t="s">
        <v>8</v>
      </c>
      <c r="C36" s="530" t="s">
        <v>28</v>
      </c>
      <c r="D36" s="530" t="s">
        <v>28</v>
      </c>
      <c r="E36" s="530" t="s">
        <v>28</v>
      </c>
      <c r="F36" s="530" t="s">
        <v>28</v>
      </c>
      <c r="G36" s="530" t="s">
        <v>375</v>
      </c>
      <c r="H36" s="530" t="s">
        <v>375</v>
      </c>
      <c r="I36" s="530" t="s">
        <v>1094</v>
      </c>
      <c r="J36" s="530" t="s">
        <v>1094</v>
      </c>
      <c r="K36" s="530" t="s">
        <v>8</v>
      </c>
      <c r="N36" s="148">
        <f>+N19+N26</f>
        <v>50816.75</v>
      </c>
      <c r="P36" s="147">
        <v>4215</v>
      </c>
      <c r="Q36" s="148">
        <f>+Q19+Q26</f>
        <v>2453.75</v>
      </c>
      <c r="R36" s="147"/>
    </row>
    <row r="37" spans="1:18">
      <c r="N37" s="148">
        <f>+N28</f>
        <v>19608.169999999998</v>
      </c>
      <c r="P37" s="147">
        <v>4222</v>
      </c>
      <c r="Q37" s="148">
        <f>+Q28</f>
        <v>738.70500000000175</v>
      </c>
    </row>
    <row r="38" spans="1:18">
      <c r="A38" t="str">
        <f t="shared" ref="A38:A52" si="8">A12</f>
        <v>Glen Austin</v>
      </c>
      <c r="B38" s="155">
        <v>45352</v>
      </c>
      <c r="C38" s="577">
        <v>9500</v>
      </c>
      <c r="E38" s="455">
        <v>9500</v>
      </c>
      <c r="I38" s="80">
        <v>132000</v>
      </c>
      <c r="J38" s="80">
        <f t="shared" ref="J38:J54" si="9">+N12</f>
        <v>132000</v>
      </c>
      <c r="K38" s="80">
        <f>+I38-J38</f>
        <v>0</v>
      </c>
      <c r="N38" s="148">
        <f>+N22</f>
        <v>79872</v>
      </c>
      <c r="P38" s="147">
        <v>4611</v>
      </c>
      <c r="Q38" s="148">
        <f>+Q22</f>
        <v>1536</v>
      </c>
      <c r="R38" s="147"/>
    </row>
    <row r="39" spans="1:18">
      <c r="A39" t="str">
        <f t="shared" si="8"/>
        <v>Carrie Austin</v>
      </c>
      <c r="B39" s="155">
        <v>45352</v>
      </c>
      <c r="C39" s="577">
        <f t="shared" ref="C39:C54" si="10">+C13</f>
        <v>21</v>
      </c>
      <c r="D39" s="69">
        <f>+C39*1.5</f>
        <v>31.5</v>
      </c>
      <c r="E39" s="455">
        <v>23</v>
      </c>
      <c r="F39" s="69">
        <f>+E39*1.5</f>
        <v>34.5</v>
      </c>
      <c r="G39" s="90">
        <f>+M13-H39</f>
        <v>222</v>
      </c>
      <c r="H39" s="90">
        <v>0</v>
      </c>
      <c r="I39" s="80">
        <f>+(G39*E39)+(H39*F39)</f>
        <v>5106</v>
      </c>
      <c r="J39" s="80">
        <f t="shared" si="9"/>
        <v>5039.8600000000006</v>
      </c>
      <c r="K39" s="80">
        <f t="shared" ref="K39:K54" si="11">+I39-J39</f>
        <v>66.139999999999418</v>
      </c>
      <c r="N39" s="148">
        <f>+N13+N18+N27</f>
        <v>32904.570000000007</v>
      </c>
      <c r="P39" s="147">
        <v>4612</v>
      </c>
      <c r="Q39" s="148">
        <f>+Q13+Q18+Q27</f>
        <v>16631.029999999995</v>
      </c>
      <c r="R39" s="147"/>
    </row>
    <row r="40" spans="1:18">
      <c r="A40" t="str">
        <f t="shared" si="8"/>
        <v>Chet Belmont</v>
      </c>
      <c r="B40" s="155">
        <v>45352</v>
      </c>
      <c r="C40" s="577">
        <f t="shared" si="10"/>
        <v>28.5</v>
      </c>
      <c r="D40" s="69">
        <f>+C40*1.5</f>
        <v>42.75</v>
      </c>
      <c r="E40" s="455">
        <v>30.15</v>
      </c>
      <c r="F40" s="69">
        <f>+E40*1.5</f>
        <v>45.224999999999994</v>
      </c>
      <c r="G40" s="90">
        <f>+M14-H40</f>
        <v>2073.5</v>
      </c>
      <c r="H40" s="90">
        <v>71.5</v>
      </c>
      <c r="I40" s="80">
        <f>+(G40*E40)+(H40*F40)</f>
        <v>65749.612499999988</v>
      </c>
      <c r="J40" s="80">
        <f t="shared" si="9"/>
        <v>64558.549999999996</v>
      </c>
      <c r="K40" s="80">
        <f>+I40-J40</f>
        <v>1191.0624999999927</v>
      </c>
      <c r="N40" s="149">
        <f>+N12</f>
        <v>132000</v>
      </c>
      <c r="P40" s="147">
        <v>4613</v>
      </c>
      <c r="Q40" s="149">
        <f>+Q12</f>
        <v>0</v>
      </c>
      <c r="R40" s="147"/>
    </row>
    <row r="41" spans="1:18">
      <c r="A41" t="str">
        <f t="shared" si="8"/>
        <v>Chance Belmont</v>
      </c>
      <c r="B41" s="155">
        <v>45352</v>
      </c>
      <c r="C41" s="577">
        <f t="shared" si="10"/>
        <v>23.25</v>
      </c>
      <c r="D41" s="69">
        <f>+C41*1.5</f>
        <v>34.875</v>
      </c>
      <c r="E41" s="455">
        <v>24.25</v>
      </c>
      <c r="F41" s="69">
        <f>+E41*1.5</f>
        <v>36.375</v>
      </c>
      <c r="G41" s="90">
        <f>+M15-H41</f>
        <v>1983</v>
      </c>
      <c r="H41" s="90">
        <v>31</v>
      </c>
      <c r="I41" s="80">
        <f>+(G41*E41)+(H41*F41)</f>
        <v>49215.375</v>
      </c>
      <c r="J41" s="80">
        <f t="shared" si="9"/>
        <v>48229.21</v>
      </c>
      <c r="K41" s="80">
        <f t="shared" si="11"/>
        <v>986.16500000000087</v>
      </c>
      <c r="N41" s="148"/>
      <c r="P41" s="147"/>
      <c r="Q41" s="148"/>
      <c r="R41" s="147"/>
    </row>
    <row r="42" spans="1:18">
      <c r="A42" t="str">
        <f t="shared" si="8"/>
        <v>Narciso Cortes</v>
      </c>
      <c r="B42" s="155">
        <v>45352</v>
      </c>
      <c r="C42" s="577">
        <f t="shared" si="10"/>
        <v>24.75</v>
      </c>
      <c r="D42" s="69">
        <f>+C42*1.5</f>
        <v>37.125</v>
      </c>
      <c r="E42" s="455">
        <v>26.15</v>
      </c>
      <c r="F42" s="69">
        <f>+E42*1.5</f>
        <v>39.224999999999994</v>
      </c>
      <c r="G42" s="90">
        <f>+M16-H42</f>
        <v>2131.5</v>
      </c>
      <c r="H42" s="90">
        <v>65.5</v>
      </c>
      <c r="I42" s="80">
        <f>+(G42*E42)+(H42*F42)</f>
        <v>58307.962500000001</v>
      </c>
      <c r="J42" s="80">
        <f t="shared" si="9"/>
        <v>56544.479999999996</v>
      </c>
      <c r="K42" s="80">
        <f t="shared" si="11"/>
        <v>1763.4825000000055</v>
      </c>
      <c r="N42" s="148">
        <f>SUM(N35:N40)</f>
        <v>826808.57000000007</v>
      </c>
      <c r="P42" s="147"/>
      <c r="Q42" s="148">
        <f>SUM(Q35:Q40)</f>
        <v>40130.704999999973</v>
      </c>
      <c r="R42" s="147"/>
    </row>
    <row r="43" spans="1:18">
      <c r="A43" t="str">
        <f t="shared" si="8"/>
        <v>Felipe De La Mora</v>
      </c>
      <c r="B43" s="155">
        <v>45352</v>
      </c>
      <c r="C43" s="577">
        <f t="shared" si="10"/>
        <v>27.5</v>
      </c>
      <c r="D43" s="69">
        <f>+C43*1.5</f>
        <v>41.25</v>
      </c>
      <c r="E43" s="455">
        <v>29</v>
      </c>
      <c r="F43" s="69">
        <f>+E43*1.5</f>
        <v>43.5</v>
      </c>
      <c r="G43" s="90">
        <f>+M17-H43</f>
        <v>862</v>
      </c>
      <c r="H43" s="90">
        <v>21</v>
      </c>
      <c r="I43" s="80">
        <f>+(G43*E43)+(H43*F43)</f>
        <v>25911.5</v>
      </c>
      <c r="J43" s="80">
        <f t="shared" si="9"/>
        <v>25469.93</v>
      </c>
      <c r="K43" s="80">
        <f t="shared" si="11"/>
        <v>441.56999999999971</v>
      </c>
      <c r="R43" s="147"/>
    </row>
    <row r="44" spans="1:18">
      <c r="A44" t="str">
        <f t="shared" si="8"/>
        <v>Paul Hunter</v>
      </c>
      <c r="B44" s="155">
        <v>45352</v>
      </c>
      <c r="C44" s="577">
        <f t="shared" si="10"/>
        <v>500</v>
      </c>
      <c r="D44" s="69"/>
      <c r="E44" s="455">
        <v>500</v>
      </c>
      <c r="F44" s="69"/>
      <c r="H44" s="90">
        <v>0</v>
      </c>
      <c r="I44" s="80">
        <f>IF(M18&gt;2080,(+M18-2080)*(E44*1.5)+(2080*E44),+M18*E44)</f>
        <v>500</v>
      </c>
      <c r="J44" s="80">
        <f t="shared" si="9"/>
        <v>548.34</v>
      </c>
      <c r="K44" s="80">
        <f t="shared" si="11"/>
        <v>-48.340000000000032</v>
      </c>
      <c r="P44" s="147"/>
      <c r="Q44" s="147"/>
      <c r="R44" s="147"/>
    </row>
    <row r="45" spans="1:18">
      <c r="A45" t="str">
        <f t="shared" si="8"/>
        <v>Randy Lloyd</v>
      </c>
      <c r="B45" s="155">
        <v>45352</v>
      </c>
      <c r="C45" s="577">
        <f t="shared" si="10"/>
        <v>27</v>
      </c>
      <c r="D45" s="69">
        <f>+C45*1.5</f>
        <v>40.5</v>
      </c>
      <c r="E45" s="455">
        <v>29.5</v>
      </c>
      <c r="F45" s="69">
        <f>+E45*1.5</f>
        <v>44.25</v>
      </c>
      <c r="G45" s="90">
        <f>+M19-H45</f>
        <v>61</v>
      </c>
      <c r="H45" s="90">
        <v>0</v>
      </c>
      <c r="I45" s="80">
        <f>+(G45*E45)+(H45*F45)</f>
        <v>1799.5</v>
      </c>
      <c r="J45" s="80">
        <f t="shared" si="9"/>
        <v>1708</v>
      </c>
      <c r="K45" s="80">
        <f t="shared" si="11"/>
        <v>91.5</v>
      </c>
      <c r="P45" s="147"/>
      <c r="Q45" s="147"/>
      <c r="R45" s="147"/>
    </row>
    <row r="46" spans="1:18">
      <c r="A46" t="str">
        <f t="shared" si="8"/>
        <v>Fernando Loza</v>
      </c>
      <c r="B46" s="155">
        <v>45352</v>
      </c>
      <c r="C46" s="577">
        <f t="shared" si="10"/>
        <v>25</v>
      </c>
      <c r="D46" s="69">
        <f>+C46*1.5</f>
        <v>37.5</v>
      </c>
      <c r="E46" s="455">
        <v>26</v>
      </c>
      <c r="F46" s="69">
        <f>+E46*1.5</f>
        <v>39</v>
      </c>
      <c r="G46" s="90">
        <f>+M20-H46</f>
        <v>1882</v>
      </c>
      <c r="H46" s="90">
        <v>176</v>
      </c>
      <c r="I46" s="80">
        <f>+(G46*E46)+(H46*F46)</f>
        <v>55796</v>
      </c>
      <c r="J46" s="80">
        <f t="shared" si="9"/>
        <v>54273.34</v>
      </c>
      <c r="K46" s="80">
        <f t="shared" si="11"/>
        <v>1522.6600000000035</v>
      </c>
      <c r="P46" s="147"/>
      <c r="Q46" s="147"/>
      <c r="R46" s="147"/>
    </row>
    <row r="47" spans="1:18">
      <c r="A47" t="str">
        <f t="shared" si="8"/>
        <v>Jerry Mckinney</v>
      </c>
      <c r="B47" s="155">
        <v>45352</v>
      </c>
      <c r="C47" s="577">
        <f t="shared" si="10"/>
        <v>42</v>
      </c>
      <c r="D47" s="69">
        <f>+C47*1.5</f>
        <v>63</v>
      </c>
      <c r="E47" s="455">
        <v>44.4</v>
      </c>
      <c r="F47" s="69">
        <f>+E47*1.5</f>
        <v>66.599999999999994</v>
      </c>
      <c r="G47" s="90">
        <f>+M21-H47</f>
        <v>2272.5</v>
      </c>
      <c r="H47" s="90">
        <v>126.5</v>
      </c>
      <c r="I47" s="80">
        <f>+(G47*E47)+(H47*F47)+10000</f>
        <v>119323.9</v>
      </c>
      <c r="J47" s="80">
        <f t="shared" si="9"/>
        <v>111427.51000000001</v>
      </c>
      <c r="K47" s="80">
        <f t="shared" si="11"/>
        <v>7896.3899999999849</v>
      </c>
    </row>
    <row r="48" spans="1:18">
      <c r="A48" t="str">
        <f t="shared" si="8"/>
        <v>Leo Miller</v>
      </c>
      <c r="B48" s="155">
        <v>45352</v>
      </c>
      <c r="C48" s="577">
        <f t="shared" si="10"/>
        <v>6592</v>
      </c>
      <c r="D48" s="69"/>
      <c r="E48" s="455">
        <v>6784</v>
      </c>
      <c r="F48" s="69"/>
      <c r="H48" s="90"/>
      <c r="I48" s="80">
        <f>+E48*12</f>
        <v>81408</v>
      </c>
      <c r="J48" s="80">
        <f t="shared" si="9"/>
        <v>79872</v>
      </c>
      <c r="K48" s="80">
        <f t="shared" si="11"/>
        <v>1536</v>
      </c>
    </row>
    <row r="49" spans="1:11">
      <c r="A49" t="str">
        <f t="shared" si="8"/>
        <v>Douglas Ramsey</v>
      </c>
      <c r="B49" s="155">
        <v>45352</v>
      </c>
      <c r="C49" s="577">
        <f t="shared" si="10"/>
        <v>32</v>
      </c>
      <c r="D49" s="69">
        <f t="shared" ref="D49:D54" si="12">+C49*1.5</f>
        <v>48</v>
      </c>
      <c r="E49" s="455">
        <v>33.85</v>
      </c>
      <c r="F49" s="69">
        <f t="shared" ref="F49:F54" si="13">+E49*1.5</f>
        <v>50.775000000000006</v>
      </c>
      <c r="G49" s="90">
        <f>+M23-H49</f>
        <v>2170.5</v>
      </c>
      <c r="H49" s="90">
        <v>237.5</v>
      </c>
      <c r="I49" s="80">
        <f t="shared" ref="I49:I54" si="14">+(G49*E49)+(H49*F49)</f>
        <v>85530.487500000003</v>
      </c>
      <c r="J49" s="80">
        <f t="shared" si="9"/>
        <v>82801.990000000005</v>
      </c>
      <c r="K49" s="80">
        <f t="shared" si="11"/>
        <v>2728.4974999999977</v>
      </c>
    </row>
    <row r="50" spans="1:11">
      <c r="A50" t="str">
        <f t="shared" si="8"/>
        <v>Frank Simpson</v>
      </c>
      <c r="B50" s="155">
        <v>45352</v>
      </c>
      <c r="C50" s="577">
        <f t="shared" si="10"/>
        <v>28.5</v>
      </c>
      <c r="D50" s="69">
        <f t="shared" si="12"/>
        <v>42.75</v>
      </c>
      <c r="E50" s="455">
        <v>30.15</v>
      </c>
      <c r="F50" s="69">
        <f t="shared" si="13"/>
        <v>45.224999999999994</v>
      </c>
      <c r="G50" s="90">
        <f>+M24-H50</f>
        <v>2064.5</v>
      </c>
      <c r="H50" s="90">
        <v>183.5</v>
      </c>
      <c r="I50" s="80">
        <f t="shared" si="14"/>
        <v>70543.462499999994</v>
      </c>
      <c r="J50" s="80">
        <f t="shared" si="9"/>
        <v>68302.070000000007</v>
      </c>
      <c r="K50" s="80">
        <f t="shared" si="11"/>
        <v>2241.3924999999872</v>
      </c>
    </row>
    <row r="51" spans="1:11">
      <c r="A51" t="str">
        <f t="shared" si="8"/>
        <v>Eric Straub</v>
      </c>
      <c r="B51" s="155">
        <v>45352</v>
      </c>
      <c r="C51" s="577">
        <f t="shared" si="10"/>
        <v>25</v>
      </c>
      <c r="D51" s="69">
        <f t="shared" si="12"/>
        <v>37.5</v>
      </c>
      <c r="E51" s="455">
        <v>25</v>
      </c>
      <c r="F51" s="69">
        <f t="shared" si="13"/>
        <v>37.5</v>
      </c>
      <c r="G51" s="90">
        <f>+M25-H51</f>
        <v>0</v>
      </c>
      <c r="H51" s="90">
        <v>0</v>
      </c>
      <c r="I51" s="80">
        <f t="shared" si="14"/>
        <v>0</v>
      </c>
      <c r="J51" s="80">
        <f t="shared" si="9"/>
        <v>0</v>
      </c>
      <c r="K51" s="80">
        <f t="shared" si="11"/>
        <v>0</v>
      </c>
    </row>
    <row r="52" spans="1:11">
      <c r="A52" t="str">
        <f t="shared" si="8"/>
        <v>David Suess</v>
      </c>
      <c r="B52" s="155">
        <v>45352</v>
      </c>
      <c r="C52" s="577">
        <f t="shared" si="10"/>
        <v>35</v>
      </c>
      <c r="D52" s="69">
        <f t="shared" si="12"/>
        <v>52.5</v>
      </c>
      <c r="E52" s="455">
        <v>36</v>
      </c>
      <c r="F52" s="69">
        <f t="shared" si="13"/>
        <v>54</v>
      </c>
      <c r="G52" s="90">
        <f>+M26-H52</f>
        <v>1412.5</v>
      </c>
      <c r="H52" s="90">
        <v>11.5</v>
      </c>
      <c r="I52" s="80">
        <f t="shared" si="14"/>
        <v>51471</v>
      </c>
      <c r="J52" s="80">
        <f t="shared" si="9"/>
        <v>49108.75</v>
      </c>
      <c r="K52" s="80">
        <f>+I52-J52</f>
        <v>2362.25</v>
      </c>
    </row>
    <row r="53" spans="1:11">
      <c r="A53" s="459" t="s">
        <v>1089</v>
      </c>
      <c r="B53" s="155">
        <v>45352</v>
      </c>
      <c r="C53" s="577">
        <f t="shared" si="10"/>
        <v>25</v>
      </c>
      <c r="D53" s="69">
        <f t="shared" si="12"/>
        <v>37.5</v>
      </c>
      <c r="E53" s="456">
        <v>26.4</v>
      </c>
      <c r="F53" s="69">
        <f t="shared" si="13"/>
        <v>39.599999999999994</v>
      </c>
      <c r="G53" s="777">
        <v>1664</v>
      </c>
      <c r="H53" s="90">
        <v>0</v>
      </c>
      <c r="I53" s="80">
        <f t="shared" si="14"/>
        <v>43929.599999999999</v>
      </c>
      <c r="J53" s="80">
        <f t="shared" si="9"/>
        <v>27316.370000000003</v>
      </c>
      <c r="K53" s="80">
        <f t="shared" si="11"/>
        <v>16613.229999999996</v>
      </c>
    </row>
    <row r="54" spans="1:11">
      <c r="A54" t="str">
        <f>A28</f>
        <v>Roberto Vejar</v>
      </c>
      <c r="B54" s="155">
        <v>45352</v>
      </c>
      <c r="C54" s="577">
        <f t="shared" si="10"/>
        <v>20</v>
      </c>
      <c r="D54" s="69">
        <f t="shared" si="12"/>
        <v>30</v>
      </c>
      <c r="E54" s="456">
        <v>21.25</v>
      </c>
      <c r="F54" s="69">
        <f t="shared" si="13"/>
        <v>31.875</v>
      </c>
      <c r="G54" s="90">
        <f>+M28-H54</f>
        <v>935</v>
      </c>
      <c r="H54" s="90">
        <v>15</v>
      </c>
      <c r="I54" s="80">
        <f t="shared" si="14"/>
        <v>20346.875</v>
      </c>
      <c r="J54" s="80">
        <f t="shared" si="9"/>
        <v>19608.169999999998</v>
      </c>
      <c r="K54" s="80">
        <f t="shared" si="11"/>
        <v>738.70500000000175</v>
      </c>
    </row>
    <row r="55" spans="1:11">
      <c r="A55">
        <f>A29</f>
        <v>0</v>
      </c>
      <c r="B55" s="155"/>
      <c r="C55" s="577"/>
      <c r="E55" s="456"/>
      <c r="F55" s="69"/>
      <c r="J55" s="80"/>
    </row>
    <row r="57" spans="1:11">
      <c r="J57" s="505">
        <f>SUM(J38:J54)</f>
        <v>826808.57000000007</v>
      </c>
    </row>
  </sheetData>
  <pageMargins left="0.2" right="0.59" top="0.51" bottom="0.5" header="0.5" footer="0.5"/>
  <pageSetup scale="7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O40"/>
  <sheetViews>
    <sheetView workbookViewId="0">
      <selection activeCell="A6" sqref="A6"/>
    </sheetView>
  </sheetViews>
  <sheetFormatPr defaultRowHeight="12.75"/>
  <cols>
    <col min="1" max="1" width="14.140625" customWidth="1"/>
    <col min="5" max="5" width="10.7109375" customWidth="1"/>
    <col min="6" max="6" width="9.28515625" bestFit="1" customWidth="1"/>
    <col min="7" max="7" width="10.5703125" customWidth="1"/>
    <col min="8" max="8" width="10.28515625" bestFit="1" customWidth="1"/>
  </cols>
  <sheetData>
    <row r="1" spans="1:15">
      <c r="A1" t="s">
        <v>4</v>
      </c>
    </row>
    <row r="3" spans="1:15">
      <c r="A3" t="s">
        <v>716</v>
      </c>
      <c r="D3" s="459" t="s">
        <v>11</v>
      </c>
      <c r="E3" s="462" t="s">
        <v>12</v>
      </c>
    </row>
    <row r="5" spans="1:15">
      <c r="A5" s="460" t="s">
        <v>1470</v>
      </c>
    </row>
    <row r="9" spans="1:15">
      <c r="A9" t="s">
        <v>1095</v>
      </c>
      <c r="C9" s="530" t="s">
        <v>360</v>
      </c>
      <c r="D9" s="530" t="s">
        <v>1096</v>
      </c>
      <c r="E9" s="530" t="s">
        <v>360</v>
      </c>
      <c r="F9" s="530" t="s">
        <v>1096</v>
      </c>
    </row>
    <row r="10" spans="1:15">
      <c r="A10" s="65" t="s">
        <v>1097</v>
      </c>
      <c r="B10" s="65"/>
      <c r="C10" s="96" t="s">
        <v>375</v>
      </c>
      <c r="D10" s="96" t="s">
        <v>375</v>
      </c>
      <c r="E10" s="96" t="s">
        <v>207</v>
      </c>
      <c r="F10" s="96" t="s">
        <v>207</v>
      </c>
      <c r="G10" s="65"/>
      <c r="H10" s="65" t="s">
        <v>388</v>
      </c>
    </row>
    <row r="12" spans="1:15">
      <c r="A12" s="129">
        <v>45199</v>
      </c>
      <c r="C12" s="168">
        <v>5379</v>
      </c>
      <c r="D12" s="168">
        <v>853</v>
      </c>
      <c r="E12" s="167">
        <v>8068.5</v>
      </c>
      <c r="F12" s="167">
        <v>157.88999999999999</v>
      </c>
      <c r="G12" s="48"/>
      <c r="H12" s="48">
        <f>+E12+F12</f>
        <v>8226.39</v>
      </c>
    </row>
    <row r="13" spans="1:15">
      <c r="A13" s="501">
        <v>45291</v>
      </c>
      <c r="C13" s="168">
        <v>3966</v>
      </c>
      <c r="D13" s="168">
        <v>743</v>
      </c>
      <c r="E13" s="167">
        <v>5949</v>
      </c>
      <c r="F13" s="167">
        <v>137.53</v>
      </c>
      <c r="G13" s="48"/>
      <c r="H13" s="48">
        <f>+E13+F13</f>
        <v>6086.53</v>
      </c>
    </row>
    <row r="14" spans="1:15">
      <c r="A14" s="129">
        <v>45382</v>
      </c>
      <c r="C14" s="168">
        <v>4009</v>
      </c>
      <c r="D14" s="168">
        <v>803</v>
      </c>
      <c r="E14" s="167">
        <v>6766.79</v>
      </c>
      <c r="F14" s="167">
        <v>151.69</v>
      </c>
      <c r="G14" s="48"/>
      <c r="H14" s="48">
        <f>+E14+F14</f>
        <v>6918.48</v>
      </c>
    </row>
    <row r="15" spans="1:15">
      <c r="A15" s="501">
        <v>45473</v>
      </c>
      <c r="C15" s="168">
        <v>4216</v>
      </c>
      <c r="D15" s="168">
        <v>748</v>
      </c>
      <c r="E15" s="167">
        <v>7116.19</v>
      </c>
      <c r="F15" s="167">
        <v>141.30000000000001</v>
      </c>
      <c r="G15" s="48"/>
      <c r="H15" s="48">
        <f>+E15+F15</f>
        <v>7257.49</v>
      </c>
      <c r="J15" s="468"/>
      <c r="K15" s="147"/>
      <c r="L15" s="147"/>
      <c r="M15" s="147"/>
      <c r="N15" s="147"/>
      <c r="O15" s="147"/>
    </row>
    <row r="16" spans="1:15">
      <c r="C16" s="150"/>
      <c r="D16" s="150"/>
      <c r="E16" s="48"/>
      <c r="F16" s="48"/>
      <c r="G16" s="48"/>
      <c r="H16" s="48"/>
    </row>
    <row r="17" spans="1:8">
      <c r="A17" t="s">
        <v>388</v>
      </c>
      <c r="C17" s="150">
        <f>SUM(C12:C15)</f>
        <v>17570</v>
      </c>
      <c r="D17" s="150">
        <f>SUM(D12:D15)</f>
        <v>3147</v>
      </c>
      <c r="E17" s="48">
        <f>SUM(E12:E15)</f>
        <v>27900.48</v>
      </c>
      <c r="F17" s="48">
        <f>SUM(F12:F15)</f>
        <v>588.41</v>
      </c>
      <c r="G17" s="48"/>
      <c r="H17" s="48">
        <f>SUM(H12:H15)</f>
        <v>28488.89</v>
      </c>
    </row>
    <row r="19" spans="1:8">
      <c r="A19" t="s">
        <v>227</v>
      </c>
      <c r="E19" s="578"/>
      <c r="F19" s="578"/>
      <c r="G19" s="578"/>
      <c r="H19" s="578">
        <f>+E19</f>
        <v>0</v>
      </c>
    </row>
    <row r="20" spans="1:8">
      <c r="A20" t="s">
        <v>1098</v>
      </c>
      <c r="E20" s="39">
        <v>-5121.04</v>
      </c>
      <c r="F20" s="39">
        <v>-291.01</v>
      </c>
      <c r="H20" s="52">
        <f>+E20+F20</f>
        <v>-5412.05</v>
      </c>
    </row>
    <row r="21" spans="1:8">
      <c r="H21" s="69"/>
    </row>
    <row r="22" spans="1:8" ht="13.5" thickBot="1">
      <c r="A22" t="s">
        <v>217</v>
      </c>
      <c r="E22" s="166">
        <f>+E17+E19+E20</f>
        <v>22779.439999999999</v>
      </c>
      <c r="F22" s="166">
        <f>+F17+F20</f>
        <v>297.39999999999998</v>
      </c>
      <c r="G22" s="161"/>
      <c r="H22" s="166">
        <f>+H17+E19+H20</f>
        <v>23076.84</v>
      </c>
    </row>
    <row r="23" spans="1:8" ht="13.5" thickTop="1">
      <c r="H23" s="69"/>
    </row>
    <row r="25" spans="1:8">
      <c r="A25" t="s">
        <v>1099</v>
      </c>
      <c r="E25" s="165">
        <f>+E17/C17</f>
        <v>1.587961297666477</v>
      </c>
      <c r="F25" s="165">
        <f>+F17/D17</f>
        <v>0.18697489672704162</v>
      </c>
    </row>
    <row r="26" spans="1:8">
      <c r="E26" s="165"/>
      <c r="F26" s="165"/>
    </row>
    <row r="27" spans="1:8">
      <c r="A27" t="s">
        <v>1100</v>
      </c>
      <c r="E27" s="164">
        <v>1.6879</v>
      </c>
      <c r="F27" s="164">
        <v>0.18890000000000001</v>
      </c>
    </row>
    <row r="28" spans="1:8">
      <c r="A28" t="s">
        <v>1101</v>
      </c>
      <c r="E28" s="164">
        <v>0.30475000000000002</v>
      </c>
      <c r="F28" s="164">
        <v>8.8950000000000001E-2</v>
      </c>
    </row>
    <row r="31" spans="1:8">
      <c r="A31" t="s">
        <v>1102</v>
      </c>
      <c r="E31" s="51">
        <f>+C17*E27</f>
        <v>29656.402999999998</v>
      </c>
      <c r="F31" s="51">
        <f>+D17*F27</f>
        <v>594.4683</v>
      </c>
      <c r="G31" s="161"/>
    </row>
    <row r="32" spans="1:8">
      <c r="E32" s="161"/>
      <c r="F32" s="161"/>
      <c r="G32" s="161"/>
    </row>
    <row r="33" spans="1:9">
      <c r="A33" t="s">
        <v>1103</v>
      </c>
      <c r="E33" s="45">
        <f>+-C17*E28</f>
        <v>-5354.4575000000004</v>
      </c>
      <c r="F33" s="45">
        <f>+-D17*F28</f>
        <v>-279.92565000000002</v>
      </c>
      <c r="G33" s="161"/>
    </row>
    <row r="34" spans="1:9">
      <c r="E34" s="163"/>
      <c r="F34" s="163"/>
      <c r="G34" s="161"/>
    </row>
    <row r="35" spans="1:9" ht="13.5" thickBot="1">
      <c r="A35" t="s">
        <v>1104</v>
      </c>
      <c r="E35" s="162">
        <f>-E22</f>
        <v>-22779.439999999999</v>
      </c>
      <c r="F35" s="162">
        <f>-F22</f>
        <v>-297.39999999999998</v>
      </c>
      <c r="G35" s="161"/>
    </row>
    <row r="36" spans="1:9">
      <c r="E36" s="161"/>
      <c r="F36" s="161"/>
      <c r="G36" s="161"/>
      <c r="I36" s="160"/>
    </row>
    <row r="37" spans="1:9" ht="13.5" thickBot="1">
      <c r="A37" t="s">
        <v>747</v>
      </c>
      <c r="E37" s="159">
        <f>SUM(E31:E35)</f>
        <v>1522.5054999999993</v>
      </c>
      <c r="F37" s="159">
        <f>SUM(F31:F35)</f>
        <v>17.142650000000003</v>
      </c>
      <c r="G37" s="159">
        <f>+E37+F37</f>
        <v>1539.6481499999993</v>
      </c>
    </row>
    <row r="38" spans="1:9" ht="13.5" thickTop="1">
      <c r="I38" s="459"/>
    </row>
    <row r="40" spans="1:9">
      <c r="H40" s="459"/>
    </row>
  </sheetData>
  <pageMargins left="0.31" right="0.3" top="0.54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L36"/>
  <sheetViews>
    <sheetView workbookViewId="0">
      <selection activeCell="D26" sqref="D26"/>
    </sheetView>
  </sheetViews>
  <sheetFormatPr defaultRowHeight="12.75"/>
  <cols>
    <col min="4" max="4" width="9.7109375" customWidth="1"/>
    <col min="6" max="6" width="11" customWidth="1"/>
    <col min="12" max="12" width="10.85546875" customWidth="1"/>
  </cols>
  <sheetData>
    <row r="1" spans="1:12">
      <c r="A1" t="s">
        <v>4</v>
      </c>
    </row>
    <row r="3" spans="1:12">
      <c r="A3" t="s">
        <v>717</v>
      </c>
      <c r="E3" s="459" t="s">
        <v>11</v>
      </c>
      <c r="F3" s="462" t="s">
        <v>12</v>
      </c>
    </row>
    <row r="5" spans="1:12">
      <c r="A5" s="169" t="s">
        <v>1443</v>
      </c>
    </row>
    <row r="8" spans="1:12">
      <c r="E8" t="s">
        <v>1412</v>
      </c>
      <c r="I8" t="s">
        <v>1413</v>
      </c>
    </row>
    <row r="9" spans="1:12">
      <c r="D9" s="530">
        <v>2024</v>
      </c>
      <c r="F9" t="s">
        <v>19</v>
      </c>
      <c r="H9" s="530">
        <v>2024</v>
      </c>
      <c r="J9" t="s">
        <v>19</v>
      </c>
    </row>
    <row r="10" spans="1:12">
      <c r="D10" s="530" t="s">
        <v>1105</v>
      </c>
      <c r="F10" t="s">
        <v>116</v>
      </c>
      <c r="H10" s="530" t="s">
        <v>1105</v>
      </c>
      <c r="J10" t="s">
        <v>116</v>
      </c>
    </row>
    <row r="11" spans="1:12">
      <c r="A11" s="65" t="s">
        <v>1106</v>
      </c>
      <c r="B11" s="65"/>
      <c r="C11" s="65"/>
      <c r="D11" s="96" t="s">
        <v>1107</v>
      </c>
      <c r="E11" s="65"/>
      <c r="F11" s="65" t="s">
        <v>174</v>
      </c>
      <c r="H11" s="96" t="s">
        <v>1107</v>
      </c>
      <c r="I11" s="65"/>
      <c r="J11" s="65" t="s">
        <v>174</v>
      </c>
      <c r="L11" s="96" t="s">
        <v>27</v>
      </c>
    </row>
    <row r="13" spans="1:12">
      <c r="A13" t="s">
        <v>1</v>
      </c>
      <c r="D13" s="167">
        <v>928.55</v>
      </c>
      <c r="E13" s="48">
        <v>12</v>
      </c>
      <c r="F13" s="48">
        <f t="shared" ref="F13:F19" si="0">+D13*E13</f>
        <v>11142.599999999999</v>
      </c>
      <c r="G13" s="48"/>
      <c r="H13" s="167">
        <v>0</v>
      </c>
      <c r="I13" s="48">
        <v>12</v>
      </c>
      <c r="J13" s="48">
        <f t="shared" ref="J13:J20" si="1">+H13*I13</f>
        <v>0</v>
      </c>
      <c r="L13" s="48">
        <f>+F13+J13</f>
        <v>11142.599999999999</v>
      </c>
    </row>
    <row r="14" spans="1:12">
      <c r="A14" s="459" t="s">
        <v>1078</v>
      </c>
      <c r="D14" s="167">
        <f>+D13</f>
        <v>928.55</v>
      </c>
      <c r="E14" s="48">
        <v>12</v>
      </c>
      <c r="F14" s="48">
        <f t="shared" si="0"/>
        <v>11142.599999999999</v>
      </c>
      <c r="G14" s="48"/>
      <c r="H14" s="167">
        <v>67.349999999999994</v>
      </c>
      <c r="I14" s="48">
        <v>12</v>
      </c>
      <c r="J14" s="48">
        <f t="shared" si="1"/>
        <v>808.19999999999993</v>
      </c>
      <c r="L14" s="48">
        <f t="shared" ref="L14:L20" si="2">+F14+J14</f>
        <v>11950.8</v>
      </c>
    </row>
    <row r="15" spans="1:12">
      <c r="A15" s="459" t="s">
        <v>1077</v>
      </c>
      <c r="D15" s="167">
        <f t="shared" ref="D15:D20" si="3">+D14</f>
        <v>928.55</v>
      </c>
      <c r="E15" s="48">
        <v>12</v>
      </c>
      <c r="F15" s="48">
        <f t="shared" si="0"/>
        <v>11142.599999999999</v>
      </c>
      <c r="G15" s="48"/>
      <c r="H15" s="167">
        <f t="shared" ref="H15:H20" si="4">+H14</f>
        <v>67.349999999999994</v>
      </c>
      <c r="I15" s="48">
        <v>12</v>
      </c>
      <c r="J15" s="48">
        <f t="shared" si="1"/>
        <v>808.19999999999993</v>
      </c>
      <c r="L15" s="48">
        <f t="shared" si="2"/>
        <v>11950.8</v>
      </c>
    </row>
    <row r="16" spans="1:12">
      <c r="A16" t="s">
        <v>1108</v>
      </c>
      <c r="D16" s="167">
        <f t="shared" si="3"/>
        <v>928.55</v>
      </c>
      <c r="E16" s="48">
        <v>12</v>
      </c>
      <c r="F16" s="48">
        <f t="shared" si="0"/>
        <v>11142.599999999999</v>
      </c>
      <c r="G16" s="48"/>
      <c r="H16" s="167">
        <f t="shared" si="4"/>
        <v>67.349999999999994</v>
      </c>
      <c r="I16" s="48">
        <v>12</v>
      </c>
      <c r="J16" s="48">
        <f t="shared" si="1"/>
        <v>808.19999999999993</v>
      </c>
      <c r="L16" s="48">
        <f t="shared" si="2"/>
        <v>11950.8</v>
      </c>
    </row>
    <row r="17" spans="1:12">
      <c r="A17" t="s">
        <v>1404</v>
      </c>
      <c r="D17" s="167">
        <f t="shared" si="3"/>
        <v>928.55</v>
      </c>
      <c r="E17" s="48">
        <v>12</v>
      </c>
      <c r="F17" s="48">
        <f>+D17*E17</f>
        <v>11142.599999999999</v>
      </c>
      <c r="G17" s="48"/>
      <c r="H17" s="167">
        <f t="shared" si="4"/>
        <v>67.349999999999994</v>
      </c>
      <c r="I17" s="48">
        <v>12</v>
      </c>
      <c r="J17" s="48">
        <f t="shared" si="1"/>
        <v>808.19999999999993</v>
      </c>
      <c r="L17" s="48">
        <f t="shared" si="2"/>
        <v>11950.8</v>
      </c>
    </row>
    <row r="18" spans="1:12">
      <c r="A18" t="s">
        <v>1083</v>
      </c>
      <c r="D18" s="167">
        <f t="shared" si="3"/>
        <v>928.55</v>
      </c>
      <c r="E18" s="48">
        <v>12</v>
      </c>
      <c r="F18" s="48">
        <f t="shared" si="0"/>
        <v>11142.599999999999</v>
      </c>
      <c r="G18" s="48"/>
      <c r="H18" s="167">
        <f t="shared" si="4"/>
        <v>67.349999999999994</v>
      </c>
      <c r="I18" s="48">
        <v>12</v>
      </c>
      <c r="J18" s="48">
        <f t="shared" si="1"/>
        <v>808.19999999999993</v>
      </c>
      <c r="L18" s="48">
        <f t="shared" si="2"/>
        <v>11950.8</v>
      </c>
    </row>
    <row r="19" spans="1:12">
      <c r="A19" s="459" t="s">
        <v>1085</v>
      </c>
      <c r="D19" s="167">
        <f t="shared" si="3"/>
        <v>928.55</v>
      </c>
      <c r="E19" s="48">
        <v>12</v>
      </c>
      <c r="F19" s="48">
        <f t="shared" si="0"/>
        <v>11142.599999999999</v>
      </c>
      <c r="G19" s="48"/>
      <c r="H19" s="167">
        <f t="shared" si="4"/>
        <v>67.349999999999994</v>
      </c>
      <c r="I19" s="48">
        <v>12</v>
      </c>
      <c r="J19" s="48">
        <f t="shared" si="1"/>
        <v>808.19999999999993</v>
      </c>
      <c r="L19" s="48">
        <f t="shared" si="2"/>
        <v>11950.8</v>
      </c>
    </row>
    <row r="20" spans="1:12">
      <c r="A20" s="459" t="s">
        <v>1086</v>
      </c>
      <c r="D20" s="167">
        <f t="shared" si="3"/>
        <v>928.55</v>
      </c>
      <c r="E20" s="48">
        <v>12</v>
      </c>
      <c r="F20" s="48">
        <f>+D20*E20</f>
        <v>11142.599999999999</v>
      </c>
      <c r="G20" s="48"/>
      <c r="H20" s="167">
        <f t="shared" si="4"/>
        <v>67.349999999999994</v>
      </c>
      <c r="I20" s="48">
        <v>12</v>
      </c>
      <c r="J20" s="48">
        <f t="shared" si="1"/>
        <v>808.19999999999993</v>
      </c>
      <c r="L20" s="48">
        <f t="shared" si="2"/>
        <v>11950.8</v>
      </c>
    </row>
    <row r="21" spans="1:12">
      <c r="A21" s="459"/>
      <c r="D21" s="167"/>
      <c r="E21" s="48"/>
      <c r="F21" s="48"/>
      <c r="G21" s="48"/>
      <c r="H21" s="167"/>
      <c r="I21" s="48"/>
      <c r="J21" s="48"/>
      <c r="L21" s="48"/>
    </row>
    <row r="22" spans="1:12" ht="13.5" thickBot="1">
      <c r="A22" s="459"/>
      <c r="D22" s="172"/>
      <c r="E22" s="171"/>
      <c r="F22" s="171"/>
      <c r="G22" s="48"/>
      <c r="H22" s="172"/>
      <c r="I22" s="171"/>
      <c r="J22" s="171"/>
      <c r="L22" s="171"/>
    </row>
    <row r="23" spans="1:12">
      <c r="D23" s="48"/>
      <c r="E23" s="48"/>
      <c r="F23" s="48"/>
      <c r="G23" s="48"/>
      <c r="H23" s="48"/>
      <c r="I23" s="48"/>
      <c r="J23" s="48"/>
    </row>
    <row r="24" spans="1:12">
      <c r="A24" t="s">
        <v>388</v>
      </c>
      <c r="D24" s="48">
        <f>SUM(D13:D22)</f>
        <v>7428.4000000000005</v>
      </c>
      <c r="E24" s="48"/>
      <c r="F24" s="48">
        <f>SUM(F13:F22)</f>
        <v>89140.799999999988</v>
      </c>
      <c r="G24" s="48"/>
      <c r="H24" s="48">
        <f>SUM(H13:H22)</f>
        <v>471.45000000000005</v>
      </c>
      <c r="I24" s="48"/>
      <c r="J24" s="48">
        <f>SUM(J13:J22)</f>
        <v>5657.4</v>
      </c>
      <c r="L24" s="48">
        <f>SUM(L13:L22)</f>
        <v>94798.200000000012</v>
      </c>
    </row>
    <row r="25" spans="1:12">
      <c r="D25" s="48"/>
      <c r="E25" s="48"/>
      <c r="F25" s="48"/>
      <c r="G25" s="48"/>
      <c r="H25" s="48"/>
      <c r="I25" s="48"/>
      <c r="J25" s="48"/>
    </row>
    <row r="26" spans="1:12" ht="13.5" thickBot="1">
      <c r="A26" t="s">
        <v>720</v>
      </c>
      <c r="D26" s="48"/>
      <c r="E26" s="48"/>
      <c r="G26" s="48"/>
      <c r="H26" s="48"/>
      <c r="I26" s="48"/>
      <c r="J26" s="48"/>
      <c r="L26" s="171">
        <f>-'Results of Operations Co'!C76</f>
        <v>-88939.279999999984</v>
      </c>
    </row>
    <row r="28" spans="1:12" ht="13.5" thickBot="1">
      <c r="A28" t="s">
        <v>747</v>
      </c>
      <c r="J28" s="57"/>
      <c r="L28" s="170">
        <f>+L24+L26</f>
        <v>5858.9200000000274</v>
      </c>
    </row>
    <row r="29" spans="1:12" ht="13.5" thickTop="1"/>
    <row r="31" spans="1:12">
      <c r="J31" s="459"/>
    </row>
    <row r="32" spans="1:12">
      <c r="J32" s="459"/>
    </row>
    <row r="33" spans="10:10">
      <c r="J33" s="459"/>
    </row>
    <row r="34" spans="10:10">
      <c r="J34" s="459"/>
    </row>
    <row r="35" spans="10:10">
      <c r="J35" s="459"/>
    </row>
    <row r="36" spans="10:10">
      <c r="J36" s="459"/>
    </row>
  </sheetData>
  <pageMargins left="0.31" right="0.3" top="0.47" bottom="0.36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J42"/>
  <sheetViews>
    <sheetView workbookViewId="0">
      <selection activeCell="E41" sqref="E41"/>
    </sheetView>
  </sheetViews>
  <sheetFormatPr defaultRowHeight="12.75"/>
  <cols>
    <col min="1" max="1" width="13.140625" customWidth="1"/>
    <col min="2" max="2" width="13.7109375" customWidth="1"/>
    <col min="4" max="4" width="11.140625" customWidth="1"/>
    <col min="5" max="5" width="12.85546875" customWidth="1"/>
    <col min="8" max="8" width="11.7109375" customWidth="1"/>
    <col min="9" max="9" width="11.42578125" customWidth="1"/>
  </cols>
  <sheetData>
    <row r="1" spans="1:10">
      <c r="A1" t="s">
        <v>4</v>
      </c>
    </row>
    <row r="3" spans="1:10">
      <c r="A3" t="s">
        <v>1109</v>
      </c>
      <c r="D3" s="459" t="s">
        <v>11</v>
      </c>
      <c r="E3" s="462" t="s">
        <v>12</v>
      </c>
    </row>
    <row r="5" spans="1:10">
      <c r="A5" s="458" t="s">
        <v>1420</v>
      </c>
    </row>
    <row r="9" spans="1:10">
      <c r="A9" s="15" t="s">
        <v>1110</v>
      </c>
      <c r="B9" s="530"/>
      <c r="D9" s="15" t="s">
        <v>1111</v>
      </c>
      <c r="E9" s="530"/>
      <c r="G9" t="s">
        <v>1112</v>
      </c>
    </row>
    <row r="11" spans="1:10">
      <c r="A11" s="65" t="s">
        <v>330</v>
      </c>
      <c r="B11" s="96" t="s">
        <v>29</v>
      </c>
      <c r="D11" s="65" t="s">
        <v>330</v>
      </c>
      <c r="E11" s="96" t="s">
        <v>29</v>
      </c>
      <c r="G11" s="96" t="s">
        <v>392</v>
      </c>
      <c r="H11" s="96" t="s">
        <v>377</v>
      </c>
      <c r="I11" s="96" t="s">
        <v>378</v>
      </c>
      <c r="J11" s="96" t="s">
        <v>392</v>
      </c>
    </row>
    <row r="12" spans="1:10">
      <c r="A12" t="s">
        <v>1119</v>
      </c>
      <c r="B12" s="5">
        <f>'Monthy Income Statements'!C$11</f>
        <v>29370.36</v>
      </c>
      <c r="D12" t="str">
        <f>+A12</f>
        <v>July</v>
      </c>
      <c r="E12" s="5">
        <f>'Monthy Income Statements'!C$12</f>
        <v>9959.31</v>
      </c>
      <c r="G12" s="104"/>
      <c r="H12" s="48">
        <f t="shared" ref="H12:H23" si="0">+B12*(1+G12)</f>
        <v>29370.36</v>
      </c>
      <c r="I12" s="48">
        <f t="shared" ref="I12:I23" si="1">+E12*(1+J12)</f>
        <v>9959.31</v>
      </c>
      <c r="J12" s="9">
        <v>0</v>
      </c>
    </row>
    <row r="13" spans="1:10">
      <c r="A13" t="s">
        <v>1120</v>
      </c>
      <c r="B13" s="5">
        <f>'Monthy Income Statements'!D$11</f>
        <v>21439.54</v>
      </c>
      <c r="D13" t="str">
        <f>+A13</f>
        <v>August</v>
      </c>
      <c r="E13" s="5">
        <f>'Monthy Income Statements'!D$12</f>
        <v>9878.0499999999993</v>
      </c>
      <c r="G13" s="104"/>
      <c r="H13" s="48">
        <f t="shared" si="0"/>
        <v>21439.54</v>
      </c>
      <c r="I13" s="48">
        <f t="shared" si="1"/>
        <v>9878.0499999999993</v>
      </c>
      <c r="J13" s="9">
        <v>0</v>
      </c>
    </row>
    <row r="14" spans="1:10">
      <c r="A14" t="s">
        <v>1121</v>
      </c>
      <c r="B14" s="5">
        <f>'Monthy Income Statements'!E$11</f>
        <v>24900.46</v>
      </c>
      <c r="D14" t="str">
        <f t="shared" ref="D14:D23" si="2">+A14</f>
        <v>September</v>
      </c>
      <c r="E14" s="5">
        <f>'Monthy Income Statements'!E$12</f>
        <v>9521</v>
      </c>
      <c r="G14" s="104"/>
      <c r="H14" s="48">
        <f t="shared" si="0"/>
        <v>24900.46</v>
      </c>
      <c r="I14" s="48">
        <f t="shared" si="1"/>
        <v>9521</v>
      </c>
      <c r="J14" s="9">
        <v>0</v>
      </c>
    </row>
    <row r="15" spans="1:10">
      <c r="A15" t="s">
        <v>1113</v>
      </c>
      <c r="B15" s="5">
        <f>'Monthy Income Statements'!F$11</f>
        <v>25659.98</v>
      </c>
      <c r="D15" t="str">
        <f t="shared" si="2"/>
        <v>October</v>
      </c>
      <c r="E15" s="5">
        <f>'Monthy Income Statements'!F$12</f>
        <v>9520.7199999999993</v>
      </c>
      <c r="G15" s="104"/>
      <c r="H15" s="48">
        <f t="shared" si="0"/>
        <v>25659.98</v>
      </c>
      <c r="I15" s="48">
        <f t="shared" si="1"/>
        <v>9520.7199999999993</v>
      </c>
      <c r="J15" s="9">
        <v>0</v>
      </c>
    </row>
    <row r="16" spans="1:10">
      <c r="A16" t="s">
        <v>1114</v>
      </c>
      <c r="B16" s="5">
        <f>'Monthy Income Statements'!G$11</f>
        <v>25379.73</v>
      </c>
      <c r="D16" t="str">
        <f t="shared" si="2"/>
        <v>November</v>
      </c>
      <c r="E16" s="5">
        <f>'Monthy Income Statements'!G$12</f>
        <v>9466.1</v>
      </c>
      <c r="G16" s="104"/>
      <c r="H16" s="48">
        <f t="shared" si="0"/>
        <v>25379.73</v>
      </c>
      <c r="I16" s="48">
        <f t="shared" si="1"/>
        <v>9466.1</v>
      </c>
      <c r="J16" s="9">
        <v>0</v>
      </c>
    </row>
    <row r="17" spans="1:10">
      <c r="A17" t="s">
        <v>1115</v>
      </c>
      <c r="B17" s="5">
        <f>'Monthy Income Statements'!H$11</f>
        <v>25782.16</v>
      </c>
      <c r="D17" t="str">
        <f t="shared" si="2"/>
        <v>December</v>
      </c>
      <c r="E17" s="5">
        <f>'Monthy Income Statements'!H$12</f>
        <v>9490.5499999999993</v>
      </c>
      <c r="G17" s="104"/>
      <c r="H17" s="48">
        <f t="shared" si="0"/>
        <v>25782.16</v>
      </c>
      <c r="I17" s="48">
        <f t="shared" si="1"/>
        <v>9490.5499999999993</v>
      </c>
      <c r="J17" s="9">
        <v>0</v>
      </c>
    </row>
    <row r="18" spans="1:10">
      <c r="A18" t="s">
        <v>648</v>
      </c>
      <c r="B18" s="5">
        <f>'Monthy Income Statements'!I$11</f>
        <v>25498.799999999999</v>
      </c>
      <c r="D18" t="str">
        <f t="shared" si="2"/>
        <v>January</v>
      </c>
      <c r="E18" s="5">
        <f>'Monthy Income Statements'!I$12</f>
        <v>9454.2000000000007</v>
      </c>
      <c r="G18" s="104">
        <v>2.5000000000000001E-2</v>
      </c>
      <c r="H18" s="48">
        <f t="shared" si="0"/>
        <v>26136.269999999997</v>
      </c>
      <c r="I18" s="48">
        <f t="shared" si="1"/>
        <v>9454.2000000000007</v>
      </c>
      <c r="J18" s="9">
        <v>0</v>
      </c>
    </row>
    <row r="19" spans="1:10">
      <c r="A19" t="s">
        <v>649</v>
      </c>
      <c r="B19" s="5">
        <f>'Monthy Income Statements'!J$11</f>
        <v>26341.93</v>
      </c>
      <c r="D19" t="str">
        <f t="shared" si="2"/>
        <v>February</v>
      </c>
      <c r="E19" s="5">
        <f>'Monthy Income Statements'!J$12</f>
        <v>9310.35</v>
      </c>
      <c r="G19" s="104">
        <v>2.5000000000000001E-2</v>
      </c>
      <c r="H19" s="48">
        <f t="shared" si="0"/>
        <v>27000.478249999996</v>
      </c>
      <c r="I19" s="48">
        <f t="shared" si="1"/>
        <v>9310.35</v>
      </c>
      <c r="J19" s="9">
        <v>0</v>
      </c>
    </row>
    <row r="20" spans="1:10">
      <c r="A20" t="s">
        <v>650</v>
      </c>
      <c r="B20" s="5">
        <f>'Monthy Income Statements'!K$11</f>
        <v>26752.3</v>
      </c>
      <c r="D20" t="str">
        <f t="shared" si="2"/>
        <v>March</v>
      </c>
      <c r="E20" s="5">
        <f>'Monthy Income Statements'!K$12</f>
        <v>9504.8700000000008</v>
      </c>
      <c r="G20" s="104">
        <v>2.5000000000000001E-2</v>
      </c>
      <c r="H20" s="48">
        <f t="shared" si="0"/>
        <v>27421.107499999998</v>
      </c>
      <c r="I20" s="48">
        <f t="shared" si="1"/>
        <v>9504.8700000000008</v>
      </c>
      <c r="J20" s="9">
        <v>0</v>
      </c>
    </row>
    <row r="21" spans="1:10">
      <c r="A21" t="s">
        <v>1116</v>
      </c>
      <c r="B21" s="5">
        <f>'Monthy Income Statements'!L$11</f>
        <v>26391.24</v>
      </c>
      <c r="D21" t="str">
        <f t="shared" si="2"/>
        <v>April</v>
      </c>
      <c r="E21" s="5">
        <f>'Monthy Income Statements'!L$12</f>
        <v>9901.7199999999993</v>
      </c>
      <c r="G21" s="104">
        <v>2.5000000000000001E-2</v>
      </c>
      <c r="H21" s="48">
        <f t="shared" si="0"/>
        <v>27051.021000000001</v>
      </c>
      <c r="I21" s="48">
        <f t="shared" si="1"/>
        <v>9901.7199999999993</v>
      </c>
      <c r="J21" s="9">
        <v>0</v>
      </c>
    </row>
    <row r="22" spans="1:10">
      <c r="A22" t="s">
        <v>1117</v>
      </c>
      <c r="B22" s="5">
        <f>'Monthy Income Statements'!M$11</f>
        <v>27008.04</v>
      </c>
      <c r="D22" t="str">
        <f t="shared" si="2"/>
        <v>May</v>
      </c>
      <c r="E22" s="5">
        <f>'Monthy Income Statements'!M$12</f>
        <v>9344.5</v>
      </c>
      <c r="G22" s="104">
        <v>2.5000000000000001E-2</v>
      </c>
      <c r="H22" s="48">
        <f t="shared" si="0"/>
        <v>27683.240999999998</v>
      </c>
      <c r="I22" s="48">
        <f t="shared" si="1"/>
        <v>9344.5</v>
      </c>
      <c r="J22" s="9">
        <v>0</v>
      </c>
    </row>
    <row r="23" spans="1:10">
      <c r="A23" t="s">
        <v>1118</v>
      </c>
      <c r="B23" s="38">
        <f>'Monthy Income Statements'!N$11</f>
        <v>26175.46</v>
      </c>
      <c r="D23" t="str">
        <f t="shared" si="2"/>
        <v>June</v>
      </c>
      <c r="E23" s="38">
        <f>'Monthy Income Statements'!N$12</f>
        <v>9669.9</v>
      </c>
      <c r="G23" s="104">
        <v>2.5000000000000001E-2</v>
      </c>
      <c r="H23" s="52">
        <f t="shared" si="0"/>
        <v>26829.846499999996</v>
      </c>
      <c r="I23" s="52">
        <f t="shared" si="1"/>
        <v>9669.9</v>
      </c>
      <c r="J23" s="9">
        <v>0</v>
      </c>
    </row>
    <row r="24" spans="1:10">
      <c r="A24" t="s">
        <v>388</v>
      </c>
      <c r="B24" s="5">
        <f>SUM(B12:B23)</f>
        <v>310699.99999999994</v>
      </c>
      <c r="D24" t="s">
        <v>388</v>
      </c>
      <c r="E24" s="5">
        <f>SUM(E12:E23)</f>
        <v>115021.26999999999</v>
      </c>
      <c r="H24" s="48">
        <f>SUM(H12:H23)</f>
        <v>314654.19424999994</v>
      </c>
      <c r="I24" s="48">
        <f>SUM(I12:I23)</f>
        <v>115021.26999999999</v>
      </c>
      <c r="J24" t="s">
        <v>1122</v>
      </c>
    </row>
    <row r="25" spans="1:10">
      <c r="H25" s="52">
        <f>-B24</f>
        <v>-310699.99999999994</v>
      </c>
      <c r="I25" s="52">
        <f>-E24</f>
        <v>-115021.26999999999</v>
      </c>
      <c r="J25" t="s">
        <v>1123</v>
      </c>
    </row>
    <row r="26" spans="1:10">
      <c r="H26" s="5"/>
      <c r="I26" s="5"/>
    </row>
    <row r="27" spans="1:10" ht="13.5" thickBot="1">
      <c r="H27" s="7">
        <f>+H24+H25</f>
        <v>3954.1942500000005</v>
      </c>
      <c r="I27" s="7">
        <f>+I24+I25</f>
        <v>0</v>
      </c>
      <c r="J27" t="s">
        <v>660</v>
      </c>
    </row>
    <row r="28" spans="1:10" ht="13.5" thickTop="1"/>
    <row r="31" spans="1:10">
      <c r="B31" s="5"/>
      <c r="E31" s="5"/>
    </row>
    <row r="32" spans="1:10">
      <c r="B32" s="5"/>
      <c r="E32" s="5"/>
      <c r="G32" t="s">
        <v>14</v>
      </c>
    </row>
    <row r="33" spans="2:5">
      <c r="B33" s="5"/>
      <c r="E33" s="5"/>
    </row>
    <row r="34" spans="2:5">
      <c r="B34" s="5"/>
      <c r="E34" s="5"/>
    </row>
    <row r="35" spans="2:5">
      <c r="B35" s="5"/>
      <c r="E35" s="5"/>
    </row>
    <row r="36" spans="2:5">
      <c r="B36" s="5"/>
      <c r="E36" s="5"/>
    </row>
    <row r="37" spans="2:5">
      <c r="B37" s="5"/>
      <c r="E37" s="5"/>
    </row>
    <row r="38" spans="2:5">
      <c r="B38" s="5"/>
      <c r="E38" s="5"/>
    </row>
    <row r="39" spans="2:5">
      <c r="B39" s="5"/>
      <c r="E39" s="5"/>
    </row>
    <row r="40" spans="2:5">
      <c r="B40" s="5"/>
      <c r="E40" s="5"/>
    </row>
    <row r="41" spans="2:5">
      <c r="B41" s="5"/>
      <c r="E41" s="5"/>
    </row>
    <row r="42" spans="2:5">
      <c r="B42" s="5"/>
      <c r="E42" s="5"/>
    </row>
  </sheetData>
  <pageMargins left="0.22" right="0.75" top="0.51" bottom="0.55000000000000004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H64"/>
  <sheetViews>
    <sheetView workbookViewId="0">
      <selection activeCell="F11" sqref="F11"/>
    </sheetView>
  </sheetViews>
  <sheetFormatPr defaultRowHeight="12.75"/>
  <cols>
    <col min="1" max="1" width="28.85546875" customWidth="1"/>
    <col min="3" max="3" width="11.140625" bestFit="1" customWidth="1"/>
    <col min="4" max="4" width="10.28515625" bestFit="1" customWidth="1"/>
    <col min="5" max="5" width="12.42578125" customWidth="1"/>
    <col min="6" max="6" width="8.85546875" customWidth="1"/>
    <col min="7" max="7" width="12.140625" customWidth="1"/>
    <col min="8" max="8" width="11.140625" bestFit="1" customWidth="1"/>
  </cols>
  <sheetData>
    <row r="1" spans="1:8">
      <c r="A1" t="s">
        <v>4</v>
      </c>
    </row>
    <row r="3" spans="1:8">
      <c r="A3" t="s">
        <v>1124</v>
      </c>
      <c r="D3" s="459" t="s">
        <v>11</v>
      </c>
      <c r="E3" s="462" t="s">
        <v>12</v>
      </c>
    </row>
    <row r="5" spans="1:8">
      <c r="A5" s="458" t="s">
        <v>1420</v>
      </c>
    </row>
    <row r="9" spans="1:8">
      <c r="A9" s="93" t="s">
        <v>1435</v>
      </c>
    </row>
    <row r="10" spans="1:8">
      <c r="A10" s="93"/>
      <c r="D10" s="530" t="s">
        <v>1125</v>
      </c>
    </row>
    <row r="11" spans="1:8">
      <c r="A11" s="93"/>
      <c r="C11" s="530" t="s">
        <v>27</v>
      </c>
      <c r="D11" s="530" t="s">
        <v>1126</v>
      </c>
    </row>
    <row r="12" spans="1:8" ht="13.5" thickBot="1">
      <c r="C12" s="18" t="s">
        <v>1127</v>
      </c>
      <c r="D12" s="18" t="s">
        <v>1128</v>
      </c>
      <c r="E12" s="18" t="s">
        <v>27</v>
      </c>
      <c r="F12" s="530"/>
      <c r="G12" s="530"/>
      <c r="H12" s="530"/>
    </row>
    <row r="13" spans="1:8">
      <c r="C13" s="530"/>
      <c r="D13" s="530"/>
      <c r="E13" s="530"/>
      <c r="F13" s="530"/>
      <c r="G13" s="530"/>
      <c r="H13" s="530"/>
    </row>
    <row r="14" spans="1:8">
      <c r="A14" s="502" t="s">
        <v>1436</v>
      </c>
      <c r="C14" s="574">
        <f>+'Monthly Data-Disposal Fees'!H35</f>
        <v>1302</v>
      </c>
      <c r="D14" s="176">
        <v>39.590000000000003</v>
      </c>
      <c r="E14" s="63">
        <f t="shared" ref="E14:E25" si="0">+C14*D14</f>
        <v>51546.180000000008</v>
      </c>
      <c r="H14" s="26"/>
    </row>
    <row r="15" spans="1:8">
      <c r="A15" s="465" t="s">
        <v>1437</v>
      </c>
      <c r="C15" s="574">
        <f>+'Monthly Data-Disposal Fees'!H36</f>
        <v>1332</v>
      </c>
      <c r="D15" s="176">
        <v>39.590000000000003</v>
      </c>
      <c r="E15" s="42">
        <f t="shared" si="0"/>
        <v>52733.880000000005</v>
      </c>
      <c r="H15" s="26"/>
    </row>
    <row r="16" spans="1:8">
      <c r="A16" s="465" t="s">
        <v>1438</v>
      </c>
      <c r="C16" s="574">
        <f>+'Monthly Data-Disposal Fees'!H37</f>
        <v>1009</v>
      </c>
      <c r="D16" s="176">
        <v>39.590000000000003</v>
      </c>
      <c r="E16" s="42">
        <f t="shared" si="0"/>
        <v>39946.310000000005</v>
      </c>
      <c r="H16" s="26"/>
    </row>
    <row r="17" spans="1:8">
      <c r="A17" s="1" t="s">
        <v>1439</v>
      </c>
      <c r="C17" s="574">
        <f>+'Monthly Data-Disposal Fees'!H38</f>
        <v>940</v>
      </c>
      <c r="D17" s="176">
        <v>39.590000000000003</v>
      </c>
      <c r="E17" s="42">
        <f t="shared" si="0"/>
        <v>37214.600000000006</v>
      </c>
      <c r="F17" s="178"/>
      <c r="H17" s="26"/>
    </row>
    <row r="18" spans="1:8">
      <c r="A18" s="1" t="s">
        <v>1440</v>
      </c>
      <c r="C18" s="574">
        <f>+'Monthly Data-Disposal Fees'!H39</f>
        <v>835</v>
      </c>
      <c r="D18" s="176">
        <v>39.590000000000003</v>
      </c>
      <c r="E18" s="42">
        <f t="shared" si="0"/>
        <v>33057.65</v>
      </c>
      <c r="F18" s="178"/>
      <c r="H18" s="26"/>
    </row>
    <row r="19" spans="1:8">
      <c r="A19" s="1" t="s">
        <v>1441</v>
      </c>
      <c r="C19" s="574">
        <f>+'Monthly Data-Disposal Fees'!H40</f>
        <v>602</v>
      </c>
      <c r="D19" s="176">
        <v>39.590000000000003</v>
      </c>
      <c r="E19" s="42">
        <f t="shared" si="0"/>
        <v>23833.18</v>
      </c>
      <c r="F19" s="178"/>
      <c r="H19" s="26"/>
    </row>
    <row r="20" spans="1:8">
      <c r="A20" t="s">
        <v>648</v>
      </c>
      <c r="C20" s="574">
        <f>+'Monthly Data-Disposal Fees'!H41</f>
        <v>729</v>
      </c>
      <c r="D20" s="176">
        <v>39.590000000000003</v>
      </c>
      <c r="E20" s="42">
        <f t="shared" si="0"/>
        <v>28861.110000000004</v>
      </c>
      <c r="F20" s="178"/>
      <c r="H20" s="26"/>
    </row>
    <row r="21" spans="1:8">
      <c r="A21" t="s">
        <v>649</v>
      </c>
      <c r="C21" s="574">
        <f>+'Monthly Data-Disposal Fees'!H42</f>
        <v>684</v>
      </c>
      <c r="D21" s="176">
        <v>39.590000000000003</v>
      </c>
      <c r="E21" s="42">
        <f t="shared" si="0"/>
        <v>27079.56</v>
      </c>
      <c r="F21" s="178"/>
      <c r="H21" s="26"/>
    </row>
    <row r="22" spans="1:8">
      <c r="A22" t="s">
        <v>650</v>
      </c>
      <c r="C22" s="574">
        <f>+'Monthly Data-Disposal Fees'!H43</f>
        <v>694</v>
      </c>
      <c r="D22" s="176">
        <v>39.590000000000003</v>
      </c>
      <c r="E22" s="42">
        <f t="shared" si="0"/>
        <v>27475.460000000003</v>
      </c>
      <c r="F22" s="178"/>
      <c r="H22" s="26"/>
    </row>
    <row r="23" spans="1:8">
      <c r="A23" t="s">
        <v>1116</v>
      </c>
      <c r="C23" s="574">
        <f>+'Monthly Data-Disposal Fees'!H44</f>
        <v>880</v>
      </c>
      <c r="D23" s="176">
        <v>39.590000000000003</v>
      </c>
      <c r="E23" s="42">
        <f t="shared" si="0"/>
        <v>34839.200000000004</v>
      </c>
      <c r="F23" s="178"/>
      <c r="G23" s="178"/>
      <c r="H23" s="26"/>
    </row>
    <row r="24" spans="1:8">
      <c r="A24" t="s">
        <v>1117</v>
      </c>
      <c r="C24" s="574">
        <f>+'Monthly Data-Disposal Fees'!H45</f>
        <v>1046</v>
      </c>
      <c r="D24" s="176">
        <v>39.590000000000003</v>
      </c>
      <c r="E24" s="42">
        <f t="shared" si="0"/>
        <v>41411.140000000007</v>
      </c>
      <c r="F24" s="178"/>
      <c r="G24" s="178"/>
      <c r="H24" s="26"/>
    </row>
    <row r="25" spans="1:8" ht="13.5" thickBot="1">
      <c r="A25" t="s">
        <v>1118</v>
      </c>
      <c r="C25" s="579">
        <f>+'Monthly Data-Disposal Fees'!H46</f>
        <v>1053</v>
      </c>
      <c r="D25" s="176">
        <v>39.590000000000003</v>
      </c>
      <c r="E25" s="179">
        <f t="shared" si="0"/>
        <v>41688.270000000004</v>
      </c>
      <c r="F25" s="178"/>
      <c r="G25" s="178"/>
      <c r="H25" s="26"/>
    </row>
    <row r="26" spans="1:8">
      <c r="C26" s="26"/>
      <c r="D26" s="26"/>
      <c r="E26" s="26"/>
      <c r="F26" s="26"/>
      <c r="G26" s="26"/>
      <c r="H26" s="26"/>
    </row>
    <row r="27" spans="1:8">
      <c r="B27" t="s">
        <v>27</v>
      </c>
      <c r="C27" s="126">
        <f>SUM(C14:C25)</f>
        <v>11106</v>
      </c>
      <c r="D27" s="26"/>
      <c r="E27" s="175">
        <f>SUM(E14:E25)</f>
        <v>439686.5400000001</v>
      </c>
      <c r="F27" s="26"/>
      <c r="G27" s="26"/>
      <c r="H27" s="26"/>
    </row>
    <row r="29" spans="1:8">
      <c r="H29" s="57"/>
    </row>
    <row r="30" spans="1:8">
      <c r="A30" s="459" t="s">
        <v>1129</v>
      </c>
      <c r="B30" s="57"/>
      <c r="C30" s="174">
        <v>39.590000000000003</v>
      </c>
      <c r="D30" s="57"/>
      <c r="E30" s="57"/>
      <c r="F30" s="57"/>
      <c r="G30" s="57"/>
      <c r="H30" s="57"/>
    </row>
    <row r="31" spans="1:8">
      <c r="H31" s="5"/>
    </row>
    <row r="32" spans="1:8">
      <c r="A32" s="459" t="s">
        <v>1414</v>
      </c>
      <c r="D32" s="57"/>
      <c r="E32" s="173">
        <f>+C27*C30</f>
        <v>439686.54000000004</v>
      </c>
      <c r="F32" s="57"/>
      <c r="G32" s="57"/>
      <c r="H32" s="57"/>
    </row>
    <row r="34" spans="1:8" ht="13.5" thickBot="1">
      <c r="A34" t="s">
        <v>1130</v>
      </c>
      <c r="D34" s="57"/>
      <c r="E34" s="170">
        <f>+E32-E27</f>
        <v>0</v>
      </c>
      <c r="F34" s="57"/>
      <c r="G34" s="57"/>
      <c r="H34" s="57"/>
    </row>
    <row r="35" spans="1:8" ht="13.5" thickTop="1">
      <c r="D35" s="57"/>
      <c r="E35" s="57"/>
      <c r="F35" s="57"/>
      <c r="G35" s="57"/>
      <c r="H35" s="57"/>
    </row>
    <row r="37" spans="1:8">
      <c r="A37" s="93"/>
      <c r="B37" s="93"/>
      <c r="C37" s="93"/>
      <c r="D37" s="93"/>
      <c r="E37" s="93"/>
    </row>
    <row r="38" spans="1:8">
      <c r="A38" s="93" t="s">
        <v>1442</v>
      </c>
    </row>
    <row r="39" spans="1:8">
      <c r="A39" s="93"/>
      <c r="C39" s="462"/>
      <c r="F39" s="530"/>
    </row>
    <row r="40" spans="1:8">
      <c r="A40" s="93"/>
      <c r="C40" s="462" t="s">
        <v>1131</v>
      </c>
      <c r="D40" s="459" t="s">
        <v>1132</v>
      </c>
      <c r="E40" s="530" t="s">
        <v>27</v>
      </c>
      <c r="F40" s="462" t="s">
        <v>1133</v>
      </c>
    </row>
    <row r="41" spans="1:8" ht="13.5" thickBot="1">
      <c r="C41" s="534" t="s">
        <v>1134</v>
      </c>
      <c r="D41" s="580" t="s">
        <v>1135</v>
      </c>
      <c r="E41" s="534" t="s">
        <v>1059</v>
      </c>
      <c r="F41" s="534" t="s">
        <v>1135</v>
      </c>
      <c r="G41" s="18" t="s">
        <v>27</v>
      </c>
    </row>
    <row r="42" spans="1:8">
      <c r="C42" s="530"/>
      <c r="F42" s="530"/>
      <c r="G42" s="530"/>
    </row>
    <row r="43" spans="1:8">
      <c r="A43" s="502" t="str">
        <f>+A14</f>
        <v>July 2023</v>
      </c>
      <c r="C43" s="514">
        <f>'Monthly Data-Disposal Fees'!$Q12</f>
        <v>23417.780000000002</v>
      </c>
      <c r="D43" s="176">
        <v>81.5</v>
      </c>
      <c r="E43" s="177">
        <f t="shared" ref="E43:E54" si="1">C43/D43</f>
        <v>287.33472392638038</v>
      </c>
      <c r="F43" s="176">
        <v>81.5</v>
      </c>
      <c r="G43" s="63">
        <f t="shared" ref="G43:G54" si="2">+E43*F43</f>
        <v>23417.780000000002</v>
      </c>
    </row>
    <row r="44" spans="1:8">
      <c r="A44" s="502" t="str">
        <f t="shared" ref="A44:A54" si="3">+A15</f>
        <v>August 2023</v>
      </c>
      <c r="C44" s="514">
        <f>'Monthly Data-Disposal Fees'!$Q13</f>
        <v>29353.93</v>
      </c>
      <c r="D44" s="176">
        <v>81.5</v>
      </c>
      <c r="E44" s="177">
        <f t="shared" si="1"/>
        <v>360.1709202453988</v>
      </c>
      <c r="F44" s="176">
        <v>81.5</v>
      </c>
      <c r="G44" s="63">
        <f t="shared" si="2"/>
        <v>29353.930000000004</v>
      </c>
    </row>
    <row r="45" spans="1:8">
      <c r="A45" s="502" t="str">
        <f t="shared" si="3"/>
        <v>September 2023</v>
      </c>
      <c r="C45" s="514">
        <f>'Monthly Data-Disposal Fees'!$Q14</f>
        <v>25203.360000000001</v>
      </c>
      <c r="D45" s="176">
        <v>81.5</v>
      </c>
      <c r="E45" s="177">
        <f t="shared" si="1"/>
        <v>309.24368098159511</v>
      </c>
      <c r="F45" s="176">
        <v>81.5</v>
      </c>
      <c r="G45" s="63">
        <f t="shared" si="2"/>
        <v>25203.360000000001</v>
      </c>
    </row>
    <row r="46" spans="1:8">
      <c r="A46" s="502" t="str">
        <f t="shared" si="3"/>
        <v>October 2023</v>
      </c>
      <c r="C46" s="514">
        <f>'Monthly Data-Disposal Fees'!$Q15</f>
        <v>29202.659999999996</v>
      </c>
      <c r="D46" s="176">
        <v>81.5</v>
      </c>
      <c r="E46" s="177">
        <f t="shared" si="1"/>
        <v>358.31484662576685</v>
      </c>
      <c r="F46" s="176">
        <v>81.5</v>
      </c>
      <c r="G46" s="63">
        <f t="shared" si="2"/>
        <v>29202.66</v>
      </c>
    </row>
    <row r="47" spans="1:8">
      <c r="A47" s="502" t="str">
        <f t="shared" si="3"/>
        <v>November 2023</v>
      </c>
      <c r="C47" s="514">
        <f>'Monthly Data-Disposal Fees'!$Q16</f>
        <v>21006.6</v>
      </c>
      <c r="D47" s="176">
        <v>81.5</v>
      </c>
      <c r="E47" s="177">
        <f t="shared" si="1"/>
        <v>257.7496932515337</v>
      </c>
      <c r="F47" s="176">
        <v>81.5</v>
      </c>
      <c r="G47" s="63">
        <f t="shared" si="2"/>
        <v>21006.599999999995</v>
      </c>
    </row>
    <row r="48" spans="1:8">
      <c r="A48" s="502" t="str">
        <f t="shared" si="3"/>
        <v>December 2023</v>
      </c>
      <c r="C48" s="514">
        <f>'Monthly Data-Disposal Fees'!$Q17</f>
        <v>13667.93</v>
      </c>
      <c r="D48" s="176">
        <v>81.5</v>
      </c>
      <c r="E48" s="177">
        <f t="shared" si="1"/>
        <v>167.70466257668713</v>
      </c>
      <c r="F48" s="176">
        <v>81.5</v>
      </c>
      <c r="G48" s="63">
        <f t="shared" si="2"/>
        <v>13667.93</v>
      </c>
    </row>
    <row r="49" spans="1:7">
      <c r="A49" s="502" t="str">
        <f t="shared" si="3"/>
        <v>January</v>
      </c>
      <c r="C49" s="514">
        <f>'Monthly Data-Disposal Fees'!$Q18</f>
        <v>16463.8</v>
      </c>
      <c r="D49" s="176">
        <v>81.5</v>
      </c>
      <c r="E49" s="177">
        <f t="shared" si="1"/>
        <v>202.00981595092023</v>
      </c>
      <c r="F49" s="176">
        <v>81.5</v>
      </c>
      <c r="G49" s="63">
        <f t="shared" si="2"/>
        <v>16463.8</v>
      </c>
    </row>
    <row r="50" spans="1:7">
      <c r="A50" s="502" t="str">
        <f t="shared" si="3"/>
        <v>February</v>
      </c>
      <c r="C50" s="514">
        <f>'Monthly Data-Disposal Fees'!$Q19</f>
        <v>13993.93</v>
      </c>
      <c r="D50" s="176">
        <v>81.5</v>
      </c>
      <c r="E50" s="177">
        <f t="shared" si="1"/>
        <v>171.70466257668713</v>
      </c>
      <c r="F50" s="176">
        <v>81.5</v>
      </c>
      <c r="G50" s="63">
        <f t="shared" si="2"/>
        <v>13993.93</v>
      </c>
    </row>
    <row r="51" spans="1:7">
      <c r="A51" s="502" t="str">
        <f t="shared" si="3"/>
        <v>March</v>
      </c>
      <c r="C51" s="514">
        <f>'Monthly Data-Disposal Fees'!$Q20</f>
        <v>15287.34</v>
      </c>
      <c r="D51" s="176">
        <v>81.5</v>
      </c>
      <c r="E51" s="177">
        <f t="shared" si="1"/>
        <v>187.57472392638036</v>
      </c>
      <c r="F51" s="176">
        <v>81.5</v>
      </c>
      <c r="G51" s="63">
        <f t="shared" si="2"/>
        <v>15287.339999999998</v>
      </c>
    </row>
    <row r="52" spans="1:7">
      <c r="A52" s="502" t="str">
        <f t="shared" si="3"/>
        <v>April</v>
      </c>
      <c r="C52" s="514">
        <f>'Monthly Data-Disposal Fees'!$Q21</f>
        <v>20119.879999999997</v>
      </c>
      <c r="D52" s="176">
        <v>81.5</v>
      </c>
      <c r="E52" s="177">
        <f t="shared" si="1"/>
        <v>246.8696932515337</v>
      </c>
      <c r="F52" s="176">
        <v>81.5</v>
      </c>
      <c r="G52" s="63">
        <f t="shared" si="2"/>
        <v>20119.879999999997</v>
      </c>
    </row>
    <row r="53" spans="1:7">
      <c r="A53" s="502" t="str">
        <f t="shared" si="3"/>
        <v>May</v>
      </c>
      <c r="C53" s="514">
        <f>'Monthly Data-Disposal Fees'!$Q22</f>
        <v>18379.86</v>
      </c>
      <c r="D53" s="176">
        <v>81.5</v>
      </c>
      <c r="E53" s="177">
        <f t="shared" si="1"/>
        <v>225.51975460122699</v>
      </c>
      <c r="F53" s="176">
        <v>81.5</v>
      </c>
      <c r="G53" s="63">
        <f t="shared" si="2"/>
        <v>18379.86</v>
      </c>
    </row>
    <row r="54" spans="1:7" ht="13.5" thickBot="1">
      <c r="A54" s="502" t="str">
        <f t="shared" si="3"/>
        <v>June</v>
      </c>
      <c r="C54" s="581">
        <f>'Monthly Data-Disposal Fees'!$Q23</f>
        <v>19872.940000000002</v>
      </c>
      <c r="D54" s="176">
        <v>81.5</v>
      </c>
      <c r="E54" s="177">
        <f t="shared" si="1"/>
        <v>243.83975460122701</v>
      </c>
      <c r="F54" s="176">
        <v>81.5</v>
      </c>
      <c r="G54" s="77">
        <f t="shared" si="2"/>
        <v>19872.940000000002</v>
      </c>
    </row>
    <row r="55" spans="1:7">
      <c r="C55" s="5"/>
      <c r="F55" s="26"/>
      <c r="G55" s="26"/>
    </row>
    <row r="56" spans="1:7">
      <c r="B56" t="s">
        <v>27</v>
      </c>
      <c r="C56" s="38">
        <f>SUM(C43:C54)</f>
        <v>245970.01</v>
      </c>
      <c r="F56" s="26"/>
      <c r="G56" s="175">
        <f>SUM(G43:G54)</f>
        <v>245970.01</v>
      </c>
    </row>
    <row r="59" spans="1:7">
      <c r="A59" s="459" t="s">
        <v>1136</v>
      </c>
      <c r="B59" s="57"/>
      <c r="C59" s="174">
        <v>81.5</v>
      </c>
      <c r="F59" s="57"/>
      <c r="G59" s="57"/>
    </row>
    <row r="61" spans="1:7">
      <c r="A61" s="459" t="s">
        <v>1415</v>
      </c>
      <c r="F61" s="57"/>
      <c r="G61" s="173">
        <f>+C56</f>
        <v>245970.01</v>
      </c>
    </row>
    <row r="63" spans="1:7" ht="13.5" thickBot="1">
      <c r="A63" t="s">
        <v>1130</v>
      </c>
      <c r="F63" s="57"/>
      <c r="G63" s="170">
        <f>+G56-G61</f>
        <v>0</v>
      </c>
    </row>
    <row r="64" spans="1:7" ht="13.5" thickTop="1">
      <c r="F64" s="57"/>
      <c r="G64" s="57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  <pageSetUpPr fitToPage="1"/>
  </sheetPr>
  <dimension ref="A1:R81"/>
  <sheetViews>
    <sheetView workbookViewId="0">
      <selection activeCell="I80" sqref="I80"/>
    </sheetView>
  </sheetViews>
  <sheetFormatPr defaultRowHeight="12.75"/>
  <cols>
    <col min="1" max="1" width="18.42578125" customWidth="1"/>
    <col min="15" max="15" width="10.7109375" customWidth="1"/>
    <col min="16" max="16" width="10" customWidth="1"/>
    <col min="17" max="17" width="11.28515625" customWidth="1"/>
    <col min="18" max="18" width="10.140625" customWidth="1"/>
  </cols>
  <sheetData>
    <row r="1" spans="1:17">
      <c r="A1" t="str">
        <f>+'City Contracts'!A1</f>
        <v>Zippy Disposal Service, Inc.</v>
      </c>
    </row>
    <row r="3" spans="1:17">
      <c r="A3" t="s">
        <v>639</v>
      </c>
      <c r="D3" s="459" t="s">
        <v>11</v>
      </c>
      <c r="E3" s="462" t="s">
        <v>12</v>
      </c>
    </row>
    <row r="5" spans="1:17">
      <c r="A5" s="458" t="str">
        <f>'Fuel Summary'!A5</f>
        <v>For The Twelve Months Ending June 30,2024</v>
      </c>
    </row>
    <row r="7" spans="1:17">
      <c r="A7" s="93" t="s">
        <v>640</v>
      </c>
      <c r="G7" s="93" t="s">
        <v>641</v>
      </c>
      <c r="L7" s="93" t="s">
        <v>642</v>
      </c>
    </row>
    <row r="8" spans="1:17">
      <c r="A8" s="530"/>
      <c r="B8" s="530"/>
      <c r="C8" s="530"/>
      <c r="D8" s="530" t="s">
        <v>643</v>
      </c>
      <c r="E8" s="530" t="s">
        <v>644</v>
      </c>
      <c r="F8" s="530"/>
      <c r="G8" s="530"/>
      <c r="H8" s="530"/>
      <c r="I8" s="530"/>
      <c r="J8" s="530" t="s">
        <v>643</v>
      </c>
      <c r="K8" s="530"/>
      <c r="L8" s="530"/>
      <c r="M8" s="530"/>
      <c r="N8" s="530"/>
      <c r="O8" s="530" t="s">
        <v>643</v>
      </c>
      <c r="P8" s="530"/>
      <c r="Q8" s="530"/>
    </row>
    <row r="9" spans="1:17" ht="13.5" thickBot="1">
      <c r="A9" s="193" t="s">
        <v>330</v>
      </c>
      <c r="B9" s="18" t="s">
        <v>333</v>
      </c>
      <c r="C9" s="18" t="s">
        <v>207</v>
      </c>
      <c r="D9" s="18" t="s">
        <v>645</v>
      </c>
      <c r="E9" s="18" t="s">
        <v>646</v>
      </c>
      <c r="F9" s="530"/>
      <c r="G9" s="193" t="s">
        <v>330</v>
      </c>
      <c r="H9" s="18" t="s">
        <v>333</v>
      </c>
      <c r="I9" s="18" t="s">
        <v>207</v>
      </c>
      <c r="J9" s="18" t="s">
        <v>645</v>
      </c>
      <c r="K9" s="530"/>
      <c r="L9" s="193" t="s">
        <v>330</v>
      </c>
      <c r="M9" s="18" t="s">
        <v>333</v>
      </c>
      <c r="N9" s="18" t="s">
        <v>207</v>
      </c>
      <c r="O9" s="18" t="s">
        <v>645</v>
      </c>
      <c r="P9" s="530"/>
      <c r="Q9" s="530"/>
    </row>
    <row r="11" spans="1:17">
      <c r="A11" s="150" t="str">
        <f>'Fuel Summary'!A11</f>
        <v>July</v>
      </c>
      <c r="B11" s="150">
        <f>'Fuel Summary'!B11</f>
        <v>0</v>
      </c>
      <c r="C11" s="48">
        <f>'Fuel Summary'!C11</f>
        <v>0</v>
      </c>
      <c r="D11" s="48">
        <f t="shared" ref="D11:D22" si="0">IF(+B11=0,0,C11/B11)</f>
        <v>0</v>
      </c>
      <c r="E11" s="48"/>
      <c r="G11" t="str">
        <f t="shared" ref="G11:G22" si="1">+A11</f>
        <v>July</v>
      </c>
      <c r="H11" s="150">
        <f>'Fuel Summary'!H11</f>
        <v>0</v>
      </c>
      <c r="I11" s="48">
        <f>'Fuel Summary'!I11</f>
        <v>0</v>
      </c>
      <c r="J11" s="48">
        <f t="shared" ref="J11:J22" si="2">IF(+H11=0,0,I11/H11)</f>
        <v>0</v>
      </c>
      <c r="L11" t="str">
        <f t="shared" ref="L11:L22" si="3">+G11</f>
        <v>July</v>
      </c>
      <c r="M11" s="150">
        <f>'Fuel Summary'!N11</f>
        <v>48</v>
      </c>
      <c r="N11" s="48">
        <f>'Fuel Summary'!O11</f>
        <v>242.09</v>
      </c>
      <c r="O11" s="48">
        <f t="shared" ref="O11:O22" si="4">IF(+M11=0,0,N11/M11)</f>
        <v>5.043541666666667</v>
      </c>
      <c r="Q11" s="48"/>
    </row>
    <row r="12" spans="1:17">
      <c r="A12" s="150" t="str">
        <f>'Fuel Summary'!A12</f>
        <v>August</v>
      </c>
      <c r="B12" s="150">
        <f>'Fuel Summary'!B12</f>
        <v>0</v>
      </c>
      <c r="C12" s="48">
        <f>'Fuel Summary'!C12</f>
        <v>0</v>
      </c>
      <c r="D12" s="48">
        <f t="shared" si="0"/>
        <v>0</v>
      </c>
      <c r="E12" s="48"/>
      <c r="G12" t="str">
        <f t="shared" si="1"/>
        <v>August</v>
      </c>
      <c r="H12" s="150">
        <f>'Fuel Summary'!H12</f>
        <v>0</v>
      </c>
      <c r="I12" s="48">
        <f>'Fuel Summary'!I12</f>
        <v>0</v>
      </c>
      <c r="J12" s="48">
        <f t="shared" si="2"/>
        <v>0</v>
      </c>
      <c r="L12" t="str">
        <f t="shared" si="3"/>
        <v>August</v>
      </c>
      <c r="M12" s="150">
        <f>'Fuel Summary'!N12</f>
        <v>19</v>
      </c>
      <c r="N12" s="48">
        <f>'Fuel Summary'!O12</f>
        <v>93.66</v>
      </c>
      <c r="O12" s="48">
        <f t="shared" si="4"/>
        <v>4.9294736842105262</v>
      </c>
      <c r="Q12" s="48"/>
    </row>
    <row r="13" spans="1:17">
      <c r="A13" s="150" t="str">
        <f>'Fuel Summary'!A13</f>
        <v>September</v>
      </c>
      <c r="B13" s="150">
        <f>'Fuel Summary'!B13</f>
        <v>0</v>
      </c>
      <c r="C13" s="48">
        <f>'Fuel Summary'!C13</f>
        <v>0</v>
      </c>
      <c r="D13" s="48">
        <f t="shared" si="0"/>
        <v>0</v>
      </c>
      <c r="E13" s="48"/>
      <c r="G13" t="str">
        <f t="shared" si="1"/>
        <v>September</v>
      </c>
      <c r="H13" s="150">
        <f>'Fuel Summary'!H13</f>
        <v>0</v>
      </c>
      <c r="I13" s="48">
        <f>'Fuel Summary'!I13</f>
        <v>0</v>
      </c>
      <c r="J13" s="48">
        <f t="shared" si="2"/>
        <v>0</v>
      </c>
      <c r="L13" t="str">
        <f t="shared" si="3"/>
        <v>September</v>
      </c>
      <c r="M13" s="150">
        <f>'Fuel Summary'!N13</f>
        <v>35</v>
      </c>
      <c r="N13" s="48">
        <f>'Fuel Summary'!O13</f>
        <v>179.35</v>
      </c>
      <c r="O13" s="48">
        <f t="shared" si="4"/>
        <v>5.1242857142857146</v>
      </c>
      <c r="Q13" s="48"/>
    </row>
    <row r="14" spans="1:17">
      <c r="A14" s="150" t="str">
        <f>'Fuel Summary'!A14</f>
        <v>October</v>
      </c>
      <c r="B14" s="150">
        <f>'Fuel Summary'!B14</f>
        <v>0</v>
      </c>
      <c r="C14" s="48">
        <f>'Fuel Summary'!C14</f>
        <v>0</v>
      </c>
      <c r="D14" s="48">
        <f t="shared" si="0"/>
        <v>0</v>
      </c>
      <c r="E14" s="48"/>
      <c r="G14" t="str">
        <f t="shared" si="1"/>
        <v>October</v>
      </c>
      <c r="H14" s="150">
        <f>'Fuel Summary'!H14</f>
        <v>0</v>
      </c>
      <c r="I14" s="48">
        <f>'Fuel Summary'!I14</f>
        <v>0</v>
      </c>
      <c r="J14" s="48">
        <f t="shared" si="2"/>
        <v>0</v>
      </c>
      <c r="L14" t="str">
        <f t="shared" si="3"/>
        <v>October</v>
      </c>
      <c r="M14" s="150">
        <f>'Fuel Summary'!N14</f>
        <v>35</v>
      </c>
      <c r="N14" s="48">
        <f>'Fuel Summary'!O14</f>
        <v>167.67</v>
      </c>
      <c r="O14" s="48">
        <f t="shared" si="4"/>
        <v>4.790571428571428</v>
      </c>
      <c r="Q14" s="48"/>
    </row>
    <row r="15" spans="1:17">
      <c r="A15" s="150" t="str">
        <f>'Fuel Summary'!A15</f>
        <v>November</v>
      </c>
      <c r="B15" s="150">
        <f>'Fuel Summary'!B15</f>
        <v>0</v>
      </c>
      <c r="C15" s="48">
        <f>'Fuel Summary'!C15</f>
        <v>0</v>
      </c>
      <c r="D15" s="48">
        <f t="shared" si="0"/>
        <v>0</v>
      </c>
      <c r="E15" s="48"/>
      <c r="G15" t="str">
        <f t="shared" si="1"/>
        <v>November</v>
      </c>
      <c r="H15" s="150">
        <f>'Fuel Summary'!H15</f>
        <v>0</v>
      </c>
      <c r="I15" s="48">
        <f>'Fuel Summary'!I15</f>
        <v>0</v>
      </c>
      <c r="J15" s="48">
        <f t="shared" si="2"/>
        <v>0</v>
      </c>
      <c r="L15" t="str">
        <f t="shared" si="3"/>
        <v>November</v>
      </c>
      <c r="M15" s="150">
        <f>'Fuel Summary'!N15</f>
        <v>72</v>
      </c>
      <c r="N15" s="48">
        <f>'Fuel Summary'!O15</f>
        <v>327.41000000000003</v>
      </c>
      <c r="O15" s="48">
        <f t="shared" si="4"/>
        <v>4.5473611111111119</v>
      </c>
      <c r="Q15" s="48"/>
    </row>
    <row r="16" spans="1:17">
      <c r="A16" s="150" t="str">
        <f>'Fuel Summary'!A16</f>
        <v>December</v>
      </c>
      <c r="B16" s="150">
        <f>'Fuel Summary'!B16</f>
        <v>0</v>
      </c>
      <c r="C16" s="48">
        <f>'Fuel Summary'!C16</f>
        <v>0</v>
      </c>
      <c r="D16" s="48">
        <f t="shared" si="0"/>
        <v>0</v>
      </c>
      <c r="E16" s="48"/>
      <c r="G16" t="str">
        <f t="shared" si="1"/>
        <v>December</v>
      </c>
      <c r="H16" s="150">
        <f>'Fuel Summary'!H16</f>
        <v>0</v>
      </c>
      <c r="I16" s="48">
        <f>'Fuel Summary'!I16</f>
        <v>0</v>
      </c>
      <c r="J16" s="48">
        <f t="shared" si="2"/>
        <v>0</v>
      </c>
      <c r="L16" t="str">
        <f t="shared" si="3"/>
        <v>December</v>
      </c>
      <c r="M16" s="150">
        <f>'Fuel Summary'!N16</f>
        <v>38</v>
      </c>
      <c r="N16" s="48">
        <f>'Fuel Summary'!O16</f>
        <v>167.96</v>
      </c>
      <c r="O16" s="48">
        <f t="shared" si="4"/>
        <v>4.42</v>
      </c>
      <c r="Q16" s="48"/>
    </row>
    <row r="17" spans="1:17">
      <c r="A17" s="150" t="str">
        <f>'Fuel Summary'!A17</f>
        <v>January</v>
      </c>
      <c r="B17" s="150">
        <f>'Fuel Summary'!B17</f>
        <v>0</v>
      </c>
      <c r="C17" s="48">
        <f>'Fuel Summary'!C17</f>
        <v>0</v>
      </c>
      <c r="D17" s="48">
        <f t="shared" si="0"/>
        <v>0</v>
      </c>
      <c r="E17" s="48"/>
      <c r="G17" t="str">
        <f t="shared" si="1"/>
        <v>January</v>
      </c>
      <c r="H17" s="150">
        <f>'Fuel Summary'!H17</f>
        <v>0</v>
      </c>
      <c r="I17" s="48">
        <f>'Fuel Summary'!I17</f>
        <v>0</v>
      </c>
      <c r="J17" s="48">
        <f t="shared" si="2"/>
        <v>0</v>
      </c>
      <c r="L17" t="str">
        <f t="shared" si="3"/>
        <v>January</v>
      </c>
      <c r="M17" s="150">
        <f>'Fuel Summary'!N17</f>
        <v>28</v>
      </c>
      <c r="N17" s="48">
        <f>'Fuel Summary'!O17</f>
        <v>117.35</v>
      </c>
      <c r="O17" s="48">
        <f t="shared" si="4"/>
        <v>4.1910714285714281</v>
      </c>
      <c r="Q17" s="48"/>
    </row>
    <row r="18" spans="1:17">
      <c r="A18" s="150" t="str">
        <f>'Fuel Summary'!A18</f>
        <v>February</v>
      </c>
      <c r="B18" s="150">
        <f>'Fuel Summary'!B18</f>
        <v>0</v>
      </c>
      <c r="C18" s="48">
        <f>'Fuel Summary'!C18</f>
        <v>0</v>
      </c>
      <c r="D18" s="48">
        <f t="shared" si="0"/>
        <v>0</v>
      </c>
      <c r="E18" s="48"/>
      <c r="G18" t="str">
        <f t="shared" si="1"/>
        <v>February</v>
      </c>
      <c r="H18" s="150">
        <f>'Fuel Summary'!H18</f>
        <v>0</v>
      </c>
      <c r="I18" s="48">
        <f>'Fuel Summary'!I18</f>
        <v>0</v>
      </c>
      <c r="J18" s="48">
        <f t="shared" si="2"/>
        <v>0</v>
      </c>
      <c r="L18" t="str">
        <f t="shared" si="3"/>
        <v>February</v>
      </c>
      <c r="M18" s="150">
        <f>'Fuel Summary'!N18</f>
        <v>0</v>
      </c>
      <c r="N18" s="48">
        <f>'Fuel Summary'!O18</f>
        <v>0</v>
      </c>
      <c r="O18" s="48">
        <f t="shared" si="4"/>
        <v>0</v>
      </c>
      <c r="Q18" s="48"/>
    </row>
    <row r="19" spans="1:17">
      <c r="A19" s="150" t="str">
        <f>'Fuel Summary'!A19</f>
        <v>March</v>
      </c>
      <c r="B19" s="150">
        <f>'Fuel Summary'!B19</f>
        <v>0</v>
      </c>
      <c r="C19" s="48">
        <f>'Fuel Summary'!C19</f>
        <v>0</v>
      </c>
      <c r="D19" s="48">
        <f t="shared" si="0"/>
        <v>0</v>
      </c>
      <c r="E19" s="48">
        <v>0</v>
      </c>
      <c r="G19" t="str">
        <f t="shared" si="1"/>
        <v>March</v>
      </c>
      <c r="H19" s="150">
        <f>'Fuel Summary'!H19</f>
        <v>0</v>
      </c>
      <c r="I19" s="48">
        <f>'Fuel Summary'!I19</f>
        <v>0</v>
      </c>
      <c r="J19" s="48">
        <f t="shared" si="2"/>
        <v>0</v>
      </c>
      <c r="L19" t="str">
        <f t="shared" si="3"/>
        <v>March</v>
      </c>
      <c r="M19" s="150">
        <f>'Fuel Summary'!N19</f>
        <v>0</v>
      </c>
      <c r="N19" s="48">
        <f>'Fuel Summary'!O19</f>
        <v>0</v>
      </c>
      <c r="O19" s="48">
        <f t="shared" si="4"/>
        <v>0</v>
      </c>
      <c r="Q19" s="48"/>
    </row>
    <row r="20" spans="1:17">
      <c r="A20" s="150" t="str">
        <f>'Fuel Summary'!A20</f>
        <v>April</v>
      </c>
      <c r="B20" s="150">
        <f>'Fuel Summary'!B20</f>
        <v>0</v>
      </c>
      <c r="C20" s="48">
        <f>'Fuel Summary'!C20</f>
        <v>0</v>
      </c>
      <c r="D20" s="48">
        <f t="shared" si="0"/>
        <v>0</v>
      </c>
      <c r="E20" s="48"/>
      <c r="G20" t="str">
        <f t="shared" si="1"/>
        <v>April</v>
      </c>
      <c r="H20" s="150">
        <f>'Fuel Summary'!H20</f>
        <v>0</v>
      </c>
      <c r="I20" s="48">
        <f>'Fuel Summary'!I20</f>
        <v>0</v>
      </c>
      <c r="J20" s="48">
        <f t="shared" si="2"/>
        <v>0</v>
      </c>
      <c r="L20" t="str">
        <f t="shared" si="3"/>
        <v>April</v>
      </c>
      <c r="M20" s="150">
        <f>'Fuel Summary'!N20</f>
        <v>78</v>
      </c>
      <c r="N20" s="48">
        <f>'Fuel Summary'!O20</f>
        <v>360.85</v>
      </c>
      <c r="O20" s="48">
        <f t="shared" si="4"/>
        <v>4.6262820512820513</v>
      </c>
      <c r="Q20" s="48"/>
    </row>
    <row r="21" spans="1:17">
      <c r="A21" s="150" t="str">
        <f>'Fuel Summary'!A21</f>
        <v>May</v>
      </c>
      <c r="B21" s="150">
        <f>'Fuel Summary'!B21</f>
        <v>0</v>
      </c>
      <c r="C21" s="48">
        <f>'Fuel Summary'!C21</f>
        <v>0</v>
      </c>
      <c r="D21" s="48">
        <f t="shared" si="0"/>
        <v>0</v>
      </c>
      <c r="E21" s="48"/>
      <c r="G21" t="str">
        <f t="shared" si="1"/>
        <v>May</v>
      </c>
      <c r="H21" s="150">
        <f>'Fuel Summary'!H21</f>
        <v>0</v>
      </c>
      <c r="I21" s="48">
        <f>'Fuel Summary'!I21</f>
        <v>0</v>
      </c>
      <c r="J21" s="48">
        <f t="shared" si="2"/>
        <v>0</v>
      </c>
      <c r="L21" t="str">
        <f t="shared" si="3"/>
        <v>May</v>
      </c>
      <c r="M21" s="150">
        <f>'Fuel Summary'!N21</f>
        <v>106</v>
      </c>
      <c r="N21" s="48">
        <f>'Fuel Summary'!O21</f>
        <v>428.79</v>
      </c>
      <c r="O21" s="48">
        <f t="shared" si="4"/>
        <v>4.0451886792452836</v>
      </c>
      <c r="Q21" s="48"/>
    </row>
    <row r="22" spans="1:17" ht="13.5" thickBot="1">
      <c r="A22" s="195" t="str">
        <f>'Fuel Summary'!A22</f>
        <v>June</v>
      </c>
      <c r="B22" s="195">
        <f>'Fuel Summary'!B22</f>
        <v>0</v>
      </c>
      <c r="C22" s="171">
        <f>'Fuel Summary'!C22</f>
        <v>0</v>
      </c>
      <c r="D22" s="171">
        <f t="shared" si="0"/>
        <v>0</v>
      </c>
      <c r="E22" s="171"/>
      <c r="G22" t="str">
        <f t="shared" si="1"/>
        <v>June</v>
      </c>
      <c r="H22" s="195">
        <f>'Fuel Summary'!H22</f>
        <v>0</v>
      </c>
      <c r="I22" s="171">
        <f>'Fuel Summary'!I22</f>
        <v>0</v>
      </c>
      <c r="J22" s="171">
        <f t="shared" si="2"/>
        <v>0</v>
      </c>
      <c r="L22" t="str">
        <f t="shared" si="3"/>
        <v>June</v>
      </c>
      <c r="M22" s="195">
        <f>'Fuel Summary'!N22</f>
        <v>78</v>
      </c>
      <c r="N22" s="171">
        <f>'Fuel Summary'!O22</f>
        <v>345.01</v>
      </c>
      <c r="O22" s="171">
        <f t="shared" si="4"/>
        <v>4.4232051282051277</v>
      </c>
      <c r="Q22" s="48"/>
    </row>
    <row r="23" spans="1:17">
      <c r="B23" s="150"/>
      <c r="C23" s="48"/>
      <c r="H23" s="150"/>
      <c r="I23" s="48"/>
      <c r="J23" s="48"/>
      <c r="M23" s="150"/>
      <c r="N23" s="48"/>
    </row>
    <row r="24" spans="1:17" ht="13.5" thickBot="1">
      <c r="A24" s="12" t="s">
        <v>647</v>
      </c>
      <c r="B24" s="196">
        <f>SUM(B11:B22)</f>
        <v>0</v>
      </c>
      <c r="C24" s="191">
        <f>SUM(C11:C22)</f>
        <v>0</v>
      </c>
      <c r="D24" s="191" t="e">
        <f>+C24/B24</f>
        <v>#DIV/0!</v>
      </c>
      <c r="E24" s="191">
        <f>SUM(E11:E22)</f>
        <v>0</v>
      </c>
      <c r="G24" s="12"/>
      <c r="H24" s="196">
        <f>SUM(H11:H22)</f>
        <v>0</v>
      </c>
      <c r="I24" s="191">
        <f>SUM(I11:I22)</f>
        <v>0</v>
      </c>
      <c r="J24" s="191" t="e">
        <f>+I24/H24</f>
        <v>#DIV/0!</v>
      </c>
      <c r="L24" s="12"/>
      <c r="M24" s="196">
        <f>SUM(M11:M22)</f>
        <v>537</v>
      </c>
      <c r="N24" s="191">
        <f>SUM(N11:N22)</f>
        <v>2430.1400000000003</v>
      </c>
      <c r="O24" s="191">
        <f>+N24/M24</f>
        <v>4.5254003724394796</v>
      </c>
      <c r="P24" s="48"/>
      <c r="Q24" s="48"/>
    </row>
    <row r="25" spans="1:17" ht="13.5" thickTop="1">
      <c r="B25" s="150"/>
      <c r="C25" s="48"/>
      <c r="H25" s="150"/>
      <c r="I25" s="48"/>
      <c r="J25" s="48"/>
      <c r="M25" s="150"/>
      <c r="N25" s="48"/>
    </row>
    <row r="26" spans="1:17">
      <c r="A26" t="s">
        <v>1119</v>
      </c>
      <c r="B26" s="150">
        <v>0</v>
      </c>
      <c r="C26" s="48">
        <v>0</v>
      </c>
      <c r="D26" s="48">
        <f>IF(+B26=0,0,C26/B26)</f>
        <v>0</v>
      </c>
      <c r="E26" s="48"/>
      <c r="G26" t="str">
        <f>+A26</f>
        <v>July</v>
      </c>
      <c r="H26" s="150">
        <v>0</v>
      </c>
      <c r="I26" s="48">
        <v>0</v>
      </c>
      <c r="J26" s="48">
        <f>IF(+H26=0,0,I26/H26)</f>
        <v>0</v>
      </c>
      <c r="L26" t="str">
        <f>+G26</f>
        <v>July</v>
      </c>
      <c r="M26" s="150">
        <v>0</v>
      </c>
      <c r="N26" s="48">
        <v>0</v>
      </c>
      <c r="O26" s="48">
        <f>IF(+M26=0,0,N26/M26)</f>
        <v>0</v>
      </c>
    </row>
    <row r="27" spans="1:17">
      <c r="A27" t="s">
        <v>1120</v>
      </c>
      <c r="B27" s="150">
        <v>0</v>
      </c>
      <c r="C27" s="48">
        <v>0</v>
      </c>
      <c r="D27" s="48">
        <f>IF(+B27=0,0,C27/B27)</f>
        <v>0</v>
      </c>
      <c r="E27" s="48"/>
      <c r="G27" t="str">
        <f>+A27</f>
        <v>August</v>
      </c>
      <c r="H27" s="150">
        <v>0</v>
      </c>
      <c r="I27" s="48">
        <v>0</v>
      </c>
      <c r="J27" s="48">
        <f>IF(+H27=0,0,I27/H27)</f>
        <v>0</v>
      </c>
      <c r="L27" t="str">
        <f>+G27</f>
        <v>August</v>
      </c>
      <c r="M27" s="150">
        <v>60</v>
      </c>
      <c r="N27" s="48">
        <v>247.49</v>
      </c>
      <c r="O27" s="48">
        <f>IF(+M27=0,0,N27/M27)</f>
        <v>4.1248333333333331</v>
      </c>
    </row>
    <row r="28" spans="1:17" ht="13.5" thickBot="1">
      <c r="A28" s="4" t="s">
        <v>1434</v>
      </c>
      <c r="B28" s="195">
        <v>0</v>
      </c>
      <c r="C28" s="171">
        <v>0</v>
      </c>
      <c r="D28" s="171">
        <f>IF(+B28=0,0,C28/B28)</f>
        <v>0</v>
      </c>
      <c r="E28" s="171"/>
      <c r="G28" s="4" t="str">
        <f>+A28</f>
        <v>Sept</v>
      </c>
      <c r="H28" s="195">
        <v>0</v>
      </c>
      <c r="I28" s="171">
        <v>0</v>
      </c>
      <c r="J28" s="171">
        <f>IF(+H28=0,0,I28/H28)</f>
        <v>0</v>
      </c>
      <c r="L28" s="4" t="str">
        <f>+G28</f>
        <v>Sept</v>
      </c>
      <c r="M28" s="195">
        <v>0</v>
      </c>
      <c r="N28" s="171">
        <v>0</v>
      </c>
      <c r="O28" s="171">
        <f>IF(+M28=0,0,N28/M28)</f>
        <v>0</v>
      </c>
    </row>
    <row r="30" spans="1:17" ht="13.5" thickBot="1">
      <c r="A30" s="12" t="s">
        <v>651</v>
      </c>
      <c r="B30" s="196">
        <f>SUM(B14:B22)+SUM(B26:B28)</f>
        <v>0</v>
      </c>
      <c r="C30" s="191">
        <f>+SUM(C14:C22)+SUM(C26:C28)</f>
        <v>0</v>
      </c>
      <c r="D30" s="191" t="e">
        <f>+C30/B30</f>
        <v>#DIV/0!</v>
      </c>
      <c r="E30" s="12"/>
      <c r="G30" s="12"/>
      <c r="H30" s="196">
        <f>+SUM(H14:H22)+SUM(H26:H28)</f>
        <v>0</v>
      </c>
      <c r="I30" s="191">
        <f>+SUM(I14:I22)+SUM(I26:I28)</f>
        <v>0</v>
      </c>
      <c r="J30" s="191" t="e">
        <f>+I30/H30</f>
        <v>#DIV/0!</v>
      </c>
      <c r="L30" s="12"/>
      <c r="M30" s="196">
        <f>+SUM(M14:M22)+SUM(M26:M28)</f>
        <v>495</v>
      </c>
      <c r="N30" s="191">
        <f>+SUM(N14:N22)+SUM(N26:N28)</f>
        <v>2162.5300000000002</v>
      </c>
      <c r="O30" s="191">
        <f>+N30/M30</f>
        <v>4.368747474747475</v>
      </c>
    </row>
    <row r="31" spans="1:17" ht="13.5" thickTop="1"/>
    <row r="32" spans="1:17">
      <c r="A32" s="93" t="s">
        <v>327</v>
      </c>
    </row>
    <row r="33" spans="1:18">
      <c r="B33" s="194" t="s">
        <v>328</v>
      </c>
      <c r="C33" s="194"/>
      <c r="D33" s="194"/>
      <c r="E33" s="194" t="s">
        <v>329</v>
      </c>
      <c r="F33" s="194"/>
      <c r="G33" s="194"/>
      <c r="H33" s="533" t="s">
        <v>221</v>
      </c>
      <c r="I33" s="533"/>
      <c r="J33" s="194"/>
    </row>
    <row r="34" spans="1:18">
      <c r="A34" s="530"/>
      <c r="B34" s="530"/>
      <c r="C34" s="530"/>
      <c r="D34" s="530" t="s">
        <v>643</v>
      </c>
      <c r="E34" s="530"/>
      <c r="F34" s="530"/>
      <c r="G34" s="530" t="s">
        <v>643</v>
      </c>
      <c r="H34" s="530"/>
      <c r="I34" s="530"/>
      <c r="J34" s="530" t="s">
        <v>643</v>
      </c>
    </row>
    <row r="35" spans="1:18" ht="13.5" thickBot="1">
      <c r="A35" s="193" t="s">
        <v>330</v>
      </c>
      <c r="B35" s="18" t="s">
        <v>333</v>
      </c>
      <c r="C35" s="18" t="s">
        <v>207</v>
      </c>
      <c r="D35" s="18" t="s">
        <v>645</v>
      </c>
      <c r="E35" s="18" t="s">
        <v>333</v>
      </c>
      <c r="F35" s="18" t="s">
        <v>207</v>
      </c>
      <c r="G35" s="18" t="s">
        <v>645</v>
      </c>
      <c r="H35" s="18" t="s">
        <v>333</v>
      </c>
      <c r="I35" s="18" t="s">
        <v>207</v>
      </c>
      <c r="J35" s="18" t="s">
        <v>645</v>
      </c>
    </row>
    <row r="36" spans="1:18">
      <c r="P36" s="530" t="s">
        <v>652</v>
      </c>
      <c r="Q36" s="530" t="s">
        <v>652</v>
      </c>
      <c r="R36" s="530" t="s">
        <v>652</v>
      </c>
    </row>
    <row r="37" spans="1:18" ht="13.5" thickBot="1">
      <c r="A37" s="150" t="str">
        <f>'Fuel Summary'!A34</f>
        <v>July 15</v>
      </c>
      <c r="B37" s="150">
        <f>'Fuel Summary'!B34</f>
        <v>989</v>
      </c>
      <c r="C37" s="48">
        <f>'Fuel Summary'!C34</f>
        <v>4393.09</v>
      </c>
      <c r="D37" s="48">
        <f t="shared" ref="D37:D42" si="5">IF(+B37=0,0,C37/B37)</f>
        <v>4.441951466127402</v>
      </c>
      <c r="E37" s="150">
        <f>'Fuel Summary'!E34</f>
        <v>253</v>
      </c>
      <c r="F37" s="48">
        <f>'Fuel Summary'!F34</f>
        <v>1129.8499999999999</v>
      </c>
      <c r="G37" s="48">
        <f t="shared" ref="G37:G42" si="6">IF(+E37=0,0,F37/E37)</f>
        <v>4.4658102766798411</v>
      </c>
      <c r="H37" s="150">
        <f>'Fuel Summary'!H34</f>
        <v>40</v>
      </c>
      <c r="I37" s="48">
        <f>'Fuel Summary'!I34</f>
        <v>179.21</v>
      </c>
      <c r="J37" s="48">
        <f t="shared" ref="J37:J42" si="7">IF(+H37=0,0,I37/H37)</f>
        <v>4.4802499999999998</v>
      </c>
      <c r="K37" s="48">
        <f>+C37+F37+I37</f>
        <v>5702.1500000000005</v>
      </c>
      <c r="P37" s="4"/>
      <c r="Q37" s="18" t="s">
        <v>361</v>
      </c>
      <c r="R37" s="534" t="s">
        <v>221</v>
      </c>
    </row>
    <row r="38" spans="1:18">
      <c r="A38" s="150" t="str">
        <f>'Fuel Summary'!A35</f>
        <v>July 31</v>
      </c>
      <c r="B38" s="150">
        <f>'Fuel Summary'!B35</f>
        <v>880</v>
      </c>
      <c r="C38" s="48">
        <f>'Fuel Summary'!C35</f>
        <v>3975.73</v>
      </c>
      <c r="D38" s="48">
        <f t="shared" si="5"/>
        <v>4.5178750000000001</v>
      </c>
      <c r="E38" s="150">
        <f>'Fuel Summary'!E35</f>
        <v>314</v>
      </c>
      <c r="F38" s="48">
        <f>'Fuel Summary'!F35</f>
        <v>1450</v>
      </c>
      <c r="G38" s="48">
        <f t="shared" si="6"/>
        <v>4.6178343949044587</v>
      </c>
      <c r="H38" s="150">
        <f>'Fuel Summary'!H35</f>
        <v>39</v>
      </c>
      <c r="I38" s="48">
        <f>'Fuel Summary'!I35</f>
        <v>176.52</v>
      </c>
      <c r="J38" s="48">
        <f t="shared" si="7"/>
        <v>4.5261538461538464</v>
      </c>
      <c r="K38" s="48">
        <f t="shared" ref="K38:K60" si="8">+C38+F38+I38</f>
        <v>5602.25</v>
      </c>
    </row>
    <row r="39" spans="1:18">
      <c r="A39" s="150" t="str">
        <f>'Fuel Summary'!A36</f>
        <v>August 15</v>
      </c>
      <c r="B39" s="150">
        <f>'Fuel Summary'!B36</f>
        <v>1052</v>
      </c>
      <c r="C39" s="48">
        <f>'Fuel Summary'!C36</f>
        <v>5166.63</v>
      </c>
      <c r="D39" s="48">
        <f t="shared" si="5"/>
        <v>4.9112452471482895</v>
      </c>
      <c r="E39" s="150">
        <f>'Fuel Summary'!E36</f>
        <v>341</v>
      </c>
      <c r="F39" s="48">
        <f>'Fuel Summary'!F36</f>
        <v>1706.68</v>
      </c>
      <c r="G39" s="48">
        <f t="shared" si="6"/>
        <v>5.0049266862170088</v>
      </c>
      <c r="H39" s="150">
        <f>'Fuel Summary'!H36</f>
        <v>38</v>
      </c>
      <c r="I39" s="48">
        <f>'Fuel Summary'!I36</f>
        <v>190.07</v>
      </c>
      <c r="J39" s="48">
        <f t="shared" si="7"/>
        <v>5.0018421052631581</v>
      </c>
      <c r="K39" s="48">
        <f t="shared" si="8"/>
        <v>7063.38</v>
      </c>
      <c r="L39" t="s">
        <v>653</v>
      </c>
      <c r="P39" s="48">
        <f>+C24+I24+N24+C62</f>
        <v>96381.21</v>
      </c>
      <c r="Q39" s="48">
        <f>+F62</f>
        <v>27084.769999999997</v>
      </c>
      <c r="R39" s="48">
        <f>I62</f>
        <v>4247.1899999999996</v>
      </c>
    </row>
    <row r="40" spans="1:18">
      <c r="A40" s="150" t="str">
        <f>'Fuel Summary'!A37</f>
        <v>August 31</v>
      </c>
      <c r="B40" s="150">
        <f>'Fuel Summary'!B37</f>
        <v>1008</v>
      </c>
      <c r="C40" s="48">
        <f>'Fuel Summary'!C37</f>
        <v>5283.96</v>
      </c>
      <c r="D40" s="48">
        <f t="shared" si="5"/>
        <v>5.2420238095238094</v>
      </c>
      <c r="E40" s="150">
        <f>'Fuel Summary'!E37</f>
        <v>301</v>
      </c>
      <c r="F40" s="48">
        <f>'Fuel Summary'!F37</f>
        <v>1676.93</v>
      </c>
      <c r="G40" s="48">
        <f t="shared" si="6"/>
        <v>5.571196013289037</v>
      </c>
      <c r="H40" s="150">
        <f>'Fuel Summary'!H37</f>
        <v>41</v>
      </c>
      <c r="I40" s="48">
        <f>'Fuel Summary'!I37</f>
        <v>213.87</v>
      </c>
      <c r="J40" s="48">
        <f t="shared" si="7"/>
        <v>5.2163414634146346</v>
      </c>
      <c r="K40" s="48">
        <f t="shared" si="8"/>
        <v>7174.76</v>
      </c>
    </row>
    <row r="41" spans="1:18">
      <c r="A41" s="150" t="str">
        <f>'Fuel Summary'!A38</f>
        <v>September 15</v>
      </c>
      <c r="B41" s="150">
        <f>'Fuel Summary'!B38</f>
        <v>951</v>
      </c>
      <c r="C41" s="48">
        <f>'Fuel Summary'!C38</f>
        <v>5305.41</v>
      </c>
      <c r="D41" s="48">
        <f t="shared" si="5"/>
        <v>5.5787697160883276</v>
      </c>
      <c r="E41" s="150">
        <f>'Fuel Summary'!E38</f>
        <v>196</v>
      </c>
      <c r="F41" s="48">
        <f>'Fuel Summary'!F38</f>
        <v>1108.49</v>
      </c>
      <c r="G41" s="48">
        <f t="shared" si="6"/>
        <v>5.6555612244897961</v>
      </c>
      <c r="H41" s="150">
        <f>'Fuel Summary'!H38</f>
        <v>78</v>
      </c>
      <c r="I41" s="48">
        <f>'Fuel Summary'!I38</f>
        <v>441.76</v>
      </c>
      <c r="J41" s="48">
        <f t="shared" si="7"/>
        <v>5.6635897435897435</v>
      </c>
      <c r="K41" s="48">
        <f t="shared" si="8"/>
        <v>6855.66</v>
      </c>
      <c r="L41" t="str">
        <f>+'Fuel Summary'!M45</f>
        <v>Dobbs Peterbilt Oil</v>
      </c>
      <c r="P41" s="48">
        <f>'Fuel Summary'!P45</f>
        <v>949.45</v>
      </c>
      <c r="Q41" s="48">
        <f>+'Fuel Summary'!Q45</f>
        <v>0</v>
      </c>
      <c r="R41" s="48">
        <f>+'Fuel Summary'!R45</f>
        <v>0</v>
      </c>
    </row>
    <row r="42" spans="1:18">
      <c r="A42" s="150" t="str">
        <f>'Fuel Summary'!A39</f>
        <v>September 30</v>
      </c>
      <c r="B42" s="150">
        <f>'Fuel Summary'!B39</f>
        <v>851</v>
      </c>
      <c r="C42" s="48">
        <f>'Fuel Summary'!C39</f>
        <v>4702.43</v>
      </c>
      <c r="D42" s="48">
        <f t="shared" si="5"/>
        <v>5.5257696827262048</v>
      </c>
      <c r="E42" s="150">
        <f>'Fuel Summary'!E39</f>
        <v>252</v>
      </c>
      <c r="F42" s="48">
        <f>'Fuel Summary'!F39</f>
        <v>1414.32</v>
      </c>
      <c r="G42" s="48">
        <f t="shared" si="6"/>
        <v>5.6123809523809518</v>
      </c>
      <c r="H42" s="150">
        <f>'Fuel Summary'!H39</f>
        <v>39</v>
      </c>
      <c r="I42" s="48">
        <f>'Fuel Summary'!I39</f>
        <v>216.34</v>
      </c>
      <c r="J42" s="48">
        <f t="shared" si="7"/>
        <v>5.5471794871794868</v>
      </c>
      <c r="K42" s="48">
        <f t="shared" si="8"/>
        <v>6333.09</v>
      </c>
      <c r="L42" t="str">
        <f>+'Fuel Summary'!M46</f>
        <v>AMEX- Gas</v>
      </c>
      <c r="P42" s="48">
        <f>'Fuel Summary'!P46</f>
        <v>2688.47</v>
      </c>
      <c r="Q42" s="48">
        <f>+'Fuel Summary'!Q46</f>
        <v>0</v>
      </c>
      <c r="R42" s="48">
        <f>+'Fuel Summary'!R46</f>
        <v>0</v>
      </c>
    </row>
    <row r="43" spans="1:18">
      <c r="A43" s="150" t="str">
        <f>'Fuel Summary'!A40</f>
        <v>October 15</v>
      </c>
      <c r="B43" s="150">
        <f>'Fuel Summary'!B40</f>
        <v>875</v>
      </c>
      <c r="C43" s="48">
        <f>'Fuel Summary'!C40</f>
        <v>4666.68</v>
      </c>
      <c r="D43" s="48">
        <f t="shared" ref="D43:D60" si="9">IF(+B43=0,0,C43/B43)</f>
        <v>5.333348571428572</v>
      </c>
      <c r="E43" s="150">
        <f>'Fuel Summary'!E40</f>
        <v>182</v>
      </c>
      <c r="F43" s="48">
        <f>'Fuel Summary'!F40</f>
        <v>959.36</v>
      </c>
      <c r="G43" s="48">
        <f t="shared" ref="G43:G60" si="10">IF(+E43=0,0,F43/E43)</f>
        <v>5.2712087912087915</v>
      </c>
      <c r="H43" s="150">
        <f>'Fuel Summary'!H40</f>
        <v>34</v>
      </c>
      <c r="I43" s="48">
        <f>'Fuel Summary'!I40</f>
        <v>175.87</v>
      </c>
      <c r="J43" s="48">
        <f t="shared" ref="J43:J60" si="11">IF(+H43=0,0,I43/H43)</f>
        <v>5.1726470588235296</v>
      </c>
      <c r="K43" s="48">
        <f t="shared" si="8"/>
        <v>5801.91</v>
      </c>
      <c r="L43" t="str">
        <f>+'Fuel Summary'!M47</f>
        <v>AMEX- DEF</v>
      </c>
      <c r="P43" s="48">
        <f>'Fuel Summary'!P47</f>
        <v>2471.38</v>
      </c>
      <c r="Q43" s="48">
        <f>+'Fuel Summary'!Q47</f>
        <v>98.51</v>
      </c>
      <c r="R43" s="48">
        <f>+'Fuel Summary'!R47</f>
        <v>0</v>
      </c>
    </row>
    <row r="44" spans="1:18">
      <c r="A44" s="150" t="str">
        <f>'Fuel Summary'!A41</f>
        <v>October 31</v>
      </c>
      <c r="B44" s="150">
        <f>'Fuel Summary'!B41</f>
        <v>972</v>
      </c>
      <c r="C44" s="48">
        <f>'Fuel Summary'!C41</f>
        <v>4863.21</v>
      </c>
      <c r="D44" s="48">
        <f t="shared" si="9"/>
        <v>5.0033024691358028</v>
      </c>
      <c r="E44" s="150">
        <f>'Fuel Summary'!E41</f>
        <v>299</v>
      </c>
      <c r="F44" s="48">
        <f>'Fuel Summary'!F41</f>
        <v>1510.29</v>
      </c>
      <c r="G44" s="48">
        <f t="shared" si="10"/>
        <v>5.0511371237458196</v>
      </c>
      <c r="H44" s="150">
        <f>'Fuel Summary'!H41</f>
        <v>31</v>
      </c>
      <c r="I44" s="48">
        <f>'Fuel Summary'!I41</f>
        <v>154.44999999999999</v>
      </c>
      <c r="J44" s="48">
        <f t="shared" si="11"/>
        <v>4.9822580645161283</v>
      </c>
      <c r="K44" s="48">
        <f t="shared" si="8"/>
        <v>6527.95</v>
      </c>
      <c r="L44" t="str">
        <f>+'Fuel Summary'!M48</f>
        <v>Certified Laboratories</v>
      </c>
      <c r="P44" s="48">
        <f>'Fuel Summary'!P48</f>
        <v>8071.49</v>
      </c>
      <c r="Q44" s="48">
        <f>+'Fuel Summary'!Q48</f>
        <v>0</v>
      </c>
      <c r="R44" s="48">
        <f>+'Fuel Summary'!R48</f>
        <v>0</v>
      </c>
    </row>
    <row r="45" spans="1:18">
      <c r="A45" s="150" t="str">
        <f>'Fuel Summary'!A42</f>
        <v>November 15</v>
      </c>
      <c r="B45" s="150">
        <f>'Fuel Summary'!B42</f>
        <v>930</v>
      </c>
      <c r="C45" s="48">
        <f>'Fuel Summary'!C42</f>
        <v>4416.3999999999996</v>
      </c>
      <c r="D45" s="48">
        <f t="shared" si="9"/>
        <v>4.7488172043010746</v>
      </c>
      <c r="E45" s="150">
        <f>'Fuel Summary'!E42</f>
        <v>246</v>
      </c>
      <c r="F45" s="48">
        <f>'Fuel Summary'!F42</f>
        <v>1205.6099999999999</v>
      </c>
      <c r="G45" s="48">
        <f t="shared" si="10"/>
        <v>4.9008536585365849</v>
      </c>
      <c r="H45" s="150">
        <f>'Fuel Summary'!H42</f>
        <v>0</v>
      </c>
      <c r="I45" s="48">
        <f>'Fuel Summary'!I42</f>
        <v>0</v>
      </c>
      <c r="J45" s="48">
        <f t="shared" si="11"/>
        <v>0</v>
      </c>
      <c r="K45" s="48">
        <f t="shared" si="8"/>
        <v>5622.0099999999993</v>
      </c>
      <c r="L45" t="str">
        <f>+'Fuel Summary'!M49</f>
        <v>Employee reimbursement</v>
      </c>
      <c r="P45" s="48">
        <f>'Fuel Summary'!P49</f>
        <v>0</v>
      </c>
      <c r="Q45" s="48">
        <f>+'Fuel Summary'!Q49</f>
        <v>175</v>
      </c>
      <c r="R45" s="48">
        <f>+'Fuel Summary'!R49</f>
        <v>0</v>
      </c>
    </row>
    <row r="46" spans="1:18" ht="13.5" thickBot="1">
      <c r="A46" s="150" t="str">
        <f>'Fuel Summary'!A43</f>
        <v>November 30</v>
      </c>
      <c r="B46" s="150">
        <f>'Fuel Summary'!B43</f>
        <v>843</v>
      </c>
      <c r="C46" s="48">
        <f>'Fuel Summary'!C43</f>
        <v>3870.79</v>
      </c>
      <c r="D46" s="48">
        <f t="shared" si="9"/>
        <v>4.5916844602609723</v>
      </c>
      <c r="E46" s="150">
        <f>'Fuel Summary'!E43</f>
        <v>200</v>
      </c>
      <c r="F46" s="48">
        <f>'Fuel Summary'!F43</f>
        <v>937.64</v>
      </c>
      <c r="G46" s="48">
        <f t="shared" si="10"/>
        <v>4.6882000000000001</v>
      </c>
      <c r="H46" s="150">
        <f>'Fuel Summary'!H43</f>
        <v>39</v>
      </c>
      <c r="I46" s="48">
        <f>'Fuel Summary'!I43</f>
        <v>180.4</v>
      </c>
      <c r="J46" s="48">
        <f t="shared" si="11"/>
        <v>4.6256410256410261</v>
      </c>
      <c r="K46" s="48">
        <f t="shared" si="8"/>
        <v>4988.83</v>
      </c>
      <c r="P46" s="171"/>
      <c r="Q46" s="171"/>
      <c r="R46" s="171"/>
    </row>
    <row r="47" spans="1:18">
      <c r="A47" s="150" t="str">
        <f>'Fuel Summary'!A44</f>
        <v>December 15</v>
      </c>
      <c r="B47" s="150">
        <f>'Fuel Summary'!B44</f>
        <v>736</v>
      </c>
      <c r="C47" s="48">
        <f>'Fuel Summary'!C44</f>
        <v>3538.56</v>
      </c>
      <c r="D47" s="48">
        <f t="shared" si="9"/>
        <v>4.8078260869565215</v>
      </c>
      <c r="E47" s="150">
        <f>'Fuel Summary'!E44</f>
        <v>225</v>
      </c>
      <c r="F47" s="48">
        <f>'Fuel Summary'!F44</f>
        <v>1027.04</v>
      </c>
      <c r="G47" s="48">
        <f t="shared" si="10"/>
        <v>4.5646222222222219</v>
      </c>
      <c r="H47" s="150">
        <f>'Fuel Summary'!H44</f>
        <v>0</v>
      </c>
      <c r="I47" s="48">
        <f>'Fuel Summary'!I44</f>
        <v>0</v>
      </c>
      <c r="J47" s="48">
        <f t="shared" si="11"/>
        <v>0</v>
      </c>
      <c r="K47" s="48">
        <f t="shared" si="8"/>
        <v>4565.6000000000004</v>
      </c>
      <c r="L47" t="s">
        <v>27</v>
      </c>
      <c r="P47" s="48">
        <f>SUM(P39:P45)</f>
        <v>110562.00000000001</v>
      </c>
      <c r="Q47" s="48">
        <f>SUM(Q39:Q45)</f>
        <v>27358.279999999995</v>
      </c>
      <c r="R47" s="48">
        <f>SUM(R39:R45)</f>
        <v>4247.1899999999996</v>
      </c>
    </row>
    <row r="48" spans="1:18">
      <c r="A48" s="150" t="str">
        <f>'Fuel Summary'!A45</f>
        <v>December 31</v>
      </c>
      <c r="B48" s="150">
        <f>'Fuel Summary'!B45</f>
        <v>759</v>
      </c>
      <c r="C48" s="48">
        <f>'Fuel Summary'!C45</f>
        <v>3357.75</v>
      </c>
      <c r="D48" s="48">
        <f t="shared" si="9"/>
        <v>4.4239130434782608</v>
      </c>
      <c r="E48" s="150">
        <f>'Fuel Summary'!E45</f>
        <v>197</v>
      </c>
      <c r="F48" s="48">
        <f>'Fuel Summary'!F45</f>
        <v>890.89</v>
      </c>
      <c r="G48" s="48">
        <f t="shared" si="10"/>
        <v>4.5222842639593912</v>
      </c>
      <c r="H48" s="150">
        <f>'Fuel Summary'!H45</f>
        <v>37</v>
      </c>
      <c r="I48" s="48">
        <f>'Fuel Summary'!I45</f>
        <v>167.95</v>
      </c>
      <c r="J48" s="48">
        <f t="shared" si="11"/>
        <v>4.5391891891891891</v>
      </c>
      <c r="K48" s="48">
        <f t="shared" si="8"/>
        <v>4416.59</v>
      </c>
      <c r="P48" s="48"/>
      <c r="Q48" s="48"/>
      <c r="R48" s="48"/>
    </row>
    <row r="49" spans="1:18" ht="13.5" thickBot="1">
      <c r="A49" s="150" t="str">
        <f>'Fuel Summary'!A46</f>
        <v>January 15</v>
      </c>
      <c r="B49" s="150">
        <f>'Fuel Summary'!B46</f>
        <v>596</v>
      </c>
      <c r="C49" s="48">
        <f>'Fuel Summary'!C46</f>
        <v>2606.6999999999998</v>
      </c>
      <c r="D49" s="48">
        <f t="shared" si="9"/>
        <v>4.3736577181208052</v>
      </c>
      <c r="E49" s="150">
        <f>'Fuel Summary'!E46</f>
        <v>173</v>
      </c>
      <c r="F49" s="48">
        <f>'Fuel Summary'!F46</f>
        <v>779.3</v>
      </c>
      <c r="G49" s="48">
        <f t="shared" si="10"/>
        <v>4.5046242774566467</v>
      </c>
      <c r="H49" s="150">
        <f>'Fuel Summary'!H46</f>
        <v>33</v>
      </c>
      <c r="I49" s="48">
        <f>'Fuel Summary'!I46</f>
        <v>148.41</v>
      </c>
      <c r="J49" s="48">
        <f t="shared" si="11"/>
        <v>4.4972727272727271</v>
      </c>
      <c r="K49" s="48">
        <f t="shared" si="8"/>
        <v>3534.41</v>
      </c>
      <c r="L49" t="s">
        <v>217</v>
      </c>
      <c r="P49" s="171">
        <f>+'Monthy Income Statements'!$O$44</f>
        <v>110562</v>
      </c>
      <c r="Q49" s="171">
        <f>+'Monthy Income Statements'!$O$45</f>
        <v>27358.28</v>
      </c>
      <c r="R49" s="171">
        <f>+'Monthy Income Statements'!$O$46</f>
        <v>4247.1930000000002</v>
      </c>
    </row>
    <row r="50" spans="1:18">
      <c r="A50" s="150" t="str">
        <f>'Fuel Summary'!A47</f>
        <v>January 31</v>
      </c>
      <c r="B50" s="150">
        <f>'Fuel Summary'!B47</f>
        <v>871</v>
      </c>
      <c r="C50" s="48">
        <f>'Fuel Summary'!C47</f>
        <v>3835.24</v>
      </c>
      <c r="D50" s="48">
        <f t="shared" si="9"/>
        <v>4.4032606199770372</v>
      </c>
      <c r="E50" s="150">
        <f>'Fuel Summary'!E47</f>
        <v>235</v>
      </c>
      <c r="F50" s="48">
        <f>'Fuel Summary'!F47</f>
        <v>1058.82</v>
      </c>
      <c r="G50" s="48">
        <f t="shared" si="10"/>
        <v>4.5056170212765956</v>
      </c>
      <c r="H50" s="150">
        <f>'Fuel Summary'!H47</f>
        <v>49</v>
      </c>
      <c r="I50" s="48">
        <f>'Fuel Summary'!I47</f>
        <v>224.23</v>
      </c>
      <c r="J50" s="48">
        <f t="shared" si="11"/>
        <v>4.576122448979592</v>
      </c>
      <c r="K50" s="48">
        <f t="shared" si="8"/>
        <v>5118.2899999999991</v>
      </c>
      <c r="P50" s="48"/>
      <c r="Q50" s="48"/>
      <c r="R50" s="48"/>
    </row>
    <row r="51" spans="1:18" ht="13.5" thickBot="1">
      <c r="A51" s="150" t="str">
        <f>'Fuel Summary'!A48</f>
        <v>February 15</v>
      </c>
      <c r="B51" s="150">
        <f>'Fuel Summary'!B48</f>
        <v>842</v>
      </c>
      <c r="C51" s="48">
        <f>'Fuel Summary'!C48</f>
        <v>3513.46</v>
      </c>
      <c r="D51" s="48">
        <f t="shared" si="9"/>
        <v>4.1727553444180527</v>
      </c>
      <c r="E51" s="150">
        <f>'Fuel Summary'!E48</f>
        <v>148</v>
      </c>
      <c r="F51" s="48">
        <f>'Fuel Summary'!F48</f>
        <v>633.77</v>
      </c>
      <c r="G51" s="48">
        <f t="shared" si="10"/>
        <v>4.28222972972973</v>
      </c>
      <c r="H51" s="150">
        <f>'Fuel Summary'!H48</f>
        <v>60</v>
      </c>
      <c r="I51" s="48">
        <f>'Fuel Summary'!I48</f>
        <v>252.88</v>
      </c>
      <c r="J51" s="48">
        <f t="shared" si="11"/>
        <v>4.214666666666667</v>
      </c>
      <c r="K51" s="48">
        <f t="shared" si="8"/>
        <v>4400.1099999999997</v>
      </c>
      <c r="L51" t="s">
        <v>654</v>
      </c>
      <c r="P51" s="191">
        <f>ROUND(+P47-P49,2)</f>
        <v>0</v>
      </c>
      <c r="Q51" s="191">
        <f>ROUND(+Q47-Q49,2)</f>
        <v>0</v>
      </c>
      <c r="R51" s="191">
        <f>ROUND(+R47-R49,2)</f>
        <v>0</v>
      </c>
    </row>
    <row r="52" spans="1:18" ht="13.5" thickTop="1">
      <c r="A52" s="150" t="str">
        <f>'Fuel Summary'!A49</f>
        <v>February 28</v>
      </c>
      <c r="B52" s="150">
        <f>'Fuel Summary'!B49</f>
        <v>673</v>
      </c>
      <c r="C52" s="48">
        <f>'Fuel Summary'!C49</f>
        <v>2744.33</v>
      </c>
      <c r="D52" s="48">
        <f t="shared" si="9"/>
        <v>4.077756315007429</v>
      </c>
      <c r="E52" s="150">
        <f>'Fuel Summary'!E49</f>
        <v>195</v>
      </c>
      <c r="F52" s="48">
        <f>'Fuel Summary'!F49</f>
        <v>808.69</v>
      </c>
      <c r="G52" s="48">
        <f t="shared" si="10"/>
        <v>4.1471282051282055</v>
      </c>
      <c r="H52" s="150">
        <f>'Fuel Summary'!H49</f>
        <v>39</v>
      </c>
      <c r="I52" s="48">
        <f>'Fuel Summary'!I49</f>
        <v>161.33000000000001</v>
      </c>
      <c r="J52" s="48">
        <f t="shared" si="11"/>
        <v>4.1366666666666667</v>
      </c>
      <c r="K52" s="48">
        <f t="shared" si="8"/>
        <v>3714.35</v>
      </c>
    </row>
    <row r="53" spans="1:18">
      <c r="A53" s="150" t="str">
        <f>'Fuel Summary'!A50</f>
        <v>March 15</v>
      </c>
      <c r="B53" s="150">
        <f>'Fuel Summary'!B50</f>
        <v>774</v>
      </c>
      <c r="C53" s="48">
        <f>'Fuel Summary'!C50</f>
        <v>3175.17</v>
      </c>
      <c r="D53" s="48">
        <f t="shared" si="9"/>
        <v>4.1022868217054267</v>
      </c>
      <c r="E53" s="150">
        <f>'Fuel Summary'!E50</f>
        <v>237</v>
      </c>
      <c r="F53" s="48">
        <f>'Fuel Summary'!F50</f>
        <v>1003.01</v>
      </c>
      <c r="G53" s="48">
        <f t="shared" si="10"/>
        <v>4.2321097046413501</v>
      </c>
      <c r="H53" s="150">
        <f>'Fuel Summary'!H50</f>
        <v>36</v>
      </c>
      <c r="I53" s="48">
        <f>'Fuel Summary'!I50</f>
        <v>150.09</v>
      </c>
      <c r="J53" s="48">
        <f t="shared" si="11"/>
        <v>4.1691666666666665</v>
      </c>
      <c r="K53" s="48">
        <f t="shared" si="8"/>
        <v>4328.2700000000004</v>
      </c>
      <c r="L53" t="s">
        <v>654</v>
      </c>
      <c r="P53">
        <f>IF(P51+Q51=0,Q51,"err")</f>
        <v>0</v>
      </c>
    </row>
    <row r="54" spans="1:18">
      <c r="A54" s="150" t="str">
        <f>'Fuel Summary'!A51</f>
        <v>March 31</v>
      </c>
      <c r="B54" s="150">
        <f>'Fuel Summary'!B51</f>
        <v>788</v>
      </c>
      <c r="C54" s="48">
        <f>'Fuel Summary'!C51</f>
        <v>3200.17</v>
      </c>
      <c r="D54" s="48">
        <f t="shared" si="9"/>
        <v>4.0611294416243657</v>
      </c>
      <c r="E54" s="150">
        <f>'Fuel Summary'!E51</f>
        <v>263</v>
      </c>
      <c r="F54" s="48">
        <f>'Fuel Summary'!F51</f>
        <v>1147.17</v>
      </c>
      <c r="G54" s="48">
        <f t="shared" si="10"/>
        <v>4.3618631178707226</v>
      </c>
      <c r="H54" s="150">
        <f>'Fuel Summary'!H51</f>
        <v>68</v>
      </c>
      <c r="I54" s="48">
        <f>'Fuel Summary'!I51</f>
        <v>280.95999999999998</v>
      </c>
      <c r="J54" s="48">
        <f t="shared" si="11"/>
        <v>4.131764705882353</v>
      </c>
      <c r="K54" s="48">
        <f t="shared" si="8"/>
        <v>4628.3</v>
      </c>
    </row>
    <row r="55" spans="1:18">
      <c r="A55" s="150" t="str">
        <f>'Fuel Summary'!A52</f>
        <v>April 15</v>
      </c>
      <c r="B55" s="150">
        <f>'Fuel Summary'!B52</f>
        <v>698</v>
      </c>
      <c r="C55" s="48">
        <f>'Fuel Summary'!C52</f>
        <v>2968.19</v>
      </c>
      <c r="D55" s="48">
        <f t="shared" si="9"/>
        <v>4.2524212034383959</v>
      </c>
      <c r="E55" s="150">
        <f>'Fuel Summary'!E52</f>
        <v>190</v>
      </c>
      <c r="F55" s="48">
        <f>'Fuel Summary'!F52</f>
        <v>868.76</v>
      </c>
      <c r="G55" s="48">
        <f t="shared" si="10"/>
        <v>4.5724210526315785</v>
      </c>
      <c r="H55" s="150">
        <f>'Fuel Summary'!H52</f>
        <v>29</v>
      </c>
      <c r="I55" s="48">
        <f>'Fuel Summary'!I52</f>
        <v>126.89</v>
      </c>
      <c r="J55" s="48">
        <f t="shared" si="11"/>
        <v>4.3755172413793106</v>
      </c>
      <c r="K55" s="48">
        <f t="shared" si="8"/>
        <v>3963.8399999999997</v>
      </c>
    </row>
    <row r="56" spans="1:18">
      <c r="A56" s="150" t="str">
        <f>'Fuel Summary'!A53</f>
        <v>April 30</v>
      </c>
      <c r="B56" s="150">
        <f>'Fuel Summary'!B53</f>
        <v>859</v>
      </c>
      <c r="C56" s="48">
        <f>'Fuel Summary'!C53</f>
        <v>3657.03</v>
      </c>
      <c r="D56" s="48">
        <f t="shared" si="9"/>
        <v>4.2573108265424917</v>
      </c>
      <c r="E56" s="150">
        <f>'Fuel Summary'!E53</f>
        <v>199</v>
      </c>
      <c r="F56" s="48">
        <f>'Fuel Summary'!F53</f>
        <v>862.61</v>
      </c>
      <c r="G56" s="48">
        <f t="shared" si="10"/>
        <v>4.334723618090452</v>
      </c>
      <c r="H56" s="150">
        <f>'Fuel Summary'!H53</f>
        <v>38</v>
      </c>
      <c r="I56" s="48">
        <f>'Fuel Summary'!I53</f>
        <v>166.47</v>
      </c>
      <c r="J56" s="48">
        <f t="shared" si="11"/>
        <v>4.3807894736842101</v>
      </c>
      <c r="K56" s="48">
        <f t="shared" si="8"/>
        <v>4686.1100000000006</v>
      </c>
    </row>
    <row r="57" spans="1:18">
      <c r="A57" s="150" t="str">
        <f>'Fuel Summary'!A54</f>
        <v>May 15</v>
      </c>
      <c r="B57" s="150">
        <f>'Fuel Summary'!B54</f>
        <v>859</v>
      </c>
      <c r="C57" s="48">
        <f>'Fuel Summary'!C54</f>
        <v>3560.13</v>
      </c>
      <c r="D57" s="48">
        <f t="shared" si="9"/>
        <v>4.1445052386495931</v>
      </c>
      <c r="E57" s="150">
        <f>'Fuel Summary'!E54</f>
        <v>220</v>
      </c>
      <c r="F57" s="48">
        <f>'Fuel Summary'!F54</f>
        <v>947.71</v>
      </c>
      <c r="G57" s="48">
        <f t="shared" si="10"/>
        <v>4.3077727272727273</v>
      </c>
      <c r="H57" s="150">
        <f>'Fuel Summary'!H54</f>
        <v>34</v>
      </c>
      <c r="I57" s="48">
        <f>'Fuel Summary'!I54</f>
        <v>142.12</v>
      </c>
      <c r="J57" s="48">
        <f t="shared" si="11"/>
        <v>4.18</v>
      </c>
      <c r="K57" s="48">
        <f t="shared" si="8"/>
        <v>4649.96</v>
      </c>
      <c r="L57" s="93" t="s">
        <v>655</v>
      </c>
      <c r="Q57" s="530" t="s">
        <v>643</v>
      </c>
    </row>
    <row r="58" spans="1:18">
      <c r="A58" s="150" t="str">
        <f>'Fuel Summary'!A55</f>
        <v>May 31</v>
      </c>
      <c r="B58" s="150">
        <f>'Fuel Summary'!B55</f>
        <v>1009</v>
      </c>
      <c r="C58" s="48">
        <f>'Fuel Summary'!C55</f>
        <v>4047.07</v>
      </c>
      <c r="D58" s="48">
        <f t="shared" si="9"/>
        <v>4.0109712586719528</v>
      </c>
      <c r="E58" s="150">
        <f>'Fuel Summary'!E55</f>
        <v>319</v>
      </c>
      <c r="F58" s="48">
        <f>'Fuel Summary'!F55</f>
        <v>1337.61</v>
      </c>
      <c r="G58" s="48">
        <f t="shared" si="10"/>
        <v>4.1931347962382439</v>
      </c>
      <c r="H58" s="150">
        <f>'Fuel Summary'!H55</f>
        <v>40</v>
      </c>
      <c r="I58" s="48">
        <f>'Fuel Summary'!I55</f>
        <v>162.41</v>
      </c>
      <c r="J58" s="48">
        <f t="shared" si="11"/>
        <v>4.0602499999999999</v>
      </c>
      <c r="K58" s="48">
        <f t="shared" si="8"/>
        <v>5547.09</v>
      </c>
      <c r="O58" t="s">
        <v>174</v>
      </c>
      <c r="P58" s="530" t="s">
        <v>333</v>
      </c>
      <c r="Q58" s="530" t="s">
        <v>645</v>
      </c>
    </row>
    <row r="59" spans="1:18">
      <c r="A59" s="150" t="str">
        <f>'Fuel Summary'!A56</f>
        <v>June 15</v>
      </c>
      <c r="B59" s="150">
        <f>'Fuel Summary'!B56</f>
        <v>851</v>
      </c>
      <c r="C59" s="48">
        <f>'Fuel Summary'!C56</f>
        <v>3375.67</v>
      </c>
      <c r="D59" s="48">
        <f t="shared" si="9"/>
        <v>3.9667097532314926</v>
      </c>
      <c r="E59" s="150">
        <f>'Fuel Summary'!E56</f>
        <v>309</v>
      </c>
      <c r="F59" s="48">
        <f>'Fuel Summary'!F56</f>
        <v>1268.3900000000001</v>
      </c>
      <c r="G59" s="48">
        <f t="shared" si="10"/>
        <v>4.1048220064724923</v>
      </c>
      <c r="H59" s="150">
        <f>'Fuel Summary'!H56</f>
        <v>39</v>
      </c>
      <c r="I59" s="48">
        <f>'Fuel Summary'!I56</f>
        <v>155.81</v>
      </c>
      <c r="J59" s="48">
        <f t="shared" si="11"/>
        <v>3.9951282051282053</v>
      </c>
      <c r="K59" s="48">
        <f t="shared" si="8"/>
        <v>4799.8700000000008</v>
      </c>
      <c r="L59" s="93" t="s">
        <v>656</v>
      </c>
    </row>
    <row r="60" spans="1:18" ht="13.5" thickBot="1">
      <c r="A60" s="150" t="str">
        <f>'Fuel Summary'!A57</f>
        <v>June 30</v>
      </c>
      <c r="B60" s="195">
        <f>'Fuel Summary'!B57</f>
        <v>909</v>
      </c>
      <c r="C60" s="171">
        <f>'Fuel Summary'!C57</f>
        <v>3727.27</v>
      </c>
      <c r="D60" s="171">
        <f t="shared" si="9"/>
        <v>4.10040704070407</v>
      </c>
      <c r="E60" s="195">
        <f>'Fuel Summary'!E57</f>
        <v>318</v>
      </c>
      <c r="F60" s="171">
        <f>'Fuel Summary'!F57</f>
        <v>1351.83</v>
      </c>
      <c r="G60" s="171">
        <f t="shared" si="10"/>
        <v>4.2510377358490565</v>
      </c>
      <c r="H60" s="195">
        <f>'Fuel Summary'!H57</f>
        <v>43</v>
      </c>
      <c r="I60" s="171">
        <f>'Fuel Summary'!I57</f>
        <v>179.15</v>
      </c>
      <c r="J60" s="171">
        <f t="shared" si="11"/>
        <v>4.1662790697674419</v>
      </c>
      <c r="K60" s="48">
        <f t="shared" si="8"/>
        <v>5258.25</v>
      </c>
      <c r="L60" t="s">
        <v>647</v>
      </c>
      <c r="O60" s="48">
        <f>+C24+I24+N24+C62</f>
        <v>96381.21</v>
      </c>
      <c r="P60" s="150">
        <f>+B24+H24+M24+B62</f>
        <v>21112</v>
      </c>
      <c r="Q60" s="57">
        <f>+O60/P60</f>
        <v>4.5652335164835165</v>
      </c>
    </row>
    <row r="61" spans="1:18" ht="13.5" thickBot="1">
      <c r="B61" s="150"/>
      <c r="C61" s="48"/>
      <c r="E61" s="150"/>
      <c r="F61" s="48"/>
      <c r="H61" s="150"/>
      <c r="I61" s="48"/>
      <c r="L61" t="s">
        <v>657</v>
      </c>
      <c r="O61" s="48">
        <f>C30+I30+N30+C77</f>
        <v>92002.78</v>
      </c>
      <c r="P61" s="150">
        <f>+B30+H30+M30+B77</f>
        <v>21466</v>
      </c>
      <c r="Q61" s="197">
        <f>+O61/P61</f>
        <v>4.285976893692351</v>
      </c>
    </row>
    <row r="62" spans="1:18" ht="13.5" thickBot="1">
      <c r="A62" s="12" t="s">
        <v>647</v>
      </c>
      <c r="B62" s="196">
        <f>SUM(B37:B60)</f>
        <v>20575</v>
      </c>
      <c r="C62" s="191">
        <f>SUM(C37:C60)</f>
        <v>93951.07</v>
      </c>
      <c r="D62" s="191">
        <f>+C62/B62</f>
        <v>4.5662731470230868</v>
      </c>
      <c r="E62" s="196">
        <f>SUM(E37:E60)</f>
        <v>5812</v>
      </c>
      <c r="F62" s="191">
        <f>SUM(F37:F60)</f>
        <v>27084.769999999997</v>
      </c>
      <c r="G62" s="191">
        <f>+F62/E62</f>
        <v>4.6601462491397108</v>
      </c>
      <c r="H62" s="196">
        <f>SUM(H37:H60)</f>
        <v>924</v>
      </c>
      <c r="I62" s="191">
        <f>SUM(I37:I60)</f>
        <v>4247.1899999999996</v>
      </c>
      <c r="J62" s="191">
        <f>+I62/H62</f>
        <v>4.5965259740259734</v>
      </c>
    </row>
    <row r="63" spans="1:18" ht="13.5" thickTop="1">
      <c r="B63" s="150"/>
      <c r="C63" s="48"/>
      <c r="E63" s="150"/>
      <c r="F63" s="48"/>
      <c r="H63" s="150"/>
      <c r="I63" s="48"/>
      <c r="M63" t="s">
        <v>658</v>
      </c>
      <c r="Q63" s="57">
        <f>+Q61-Q60</f>
        <v>-0.27925662279116548</v>
      </c>
    </row>
    <row r="64" spans="1:18" ht="13.5" thickBot="1">
      <c r="A64" s="192" t="s">
        <v>352</v>
      </c>
      <c r="B64" s="150">
        <v>934</v>
      </c>
      <c r="C64" s="48">
        <v>4000.23</v>
      </c>
      <c r="D64" s="48">
        <f t="shared" ref="D64:D75" si="12">IF(+B64=0,0,C64/B64)</f>
        <v>4.2829014989293359</v>
      </c>
      <c r="E64" s="150">
        <v>308</v>
      </c>
      <c r="F64" s="48">
        <v>1336.41</v>
      </c>
      <c r="G64" s="48">
        <f t="shared" ref="G64:G75" si="13">IF(+E64=0,0,F64/E64)</f>
        <v>4.338993506493507</v>
      </c>
      <c r="H64" s="150">
        <v>46</v>
      </c>
      <c r="I64" s="48">
        <v>198.76</v>
      </c>
      <c r="J64" s="48">
        <f t="shared" ref="J64:J75" si="14">IF(+H64=0,0,I64/H64)</f>
        <v>4.3208695652173912</v>
      </c>
      <c r="K64" s="48">
        <f>+C64+F64+I64</f>
        <v>5535.4000000000005</v>
      </c>
      <c r="M64" t="s">
        <v>659</v>
      </c>
      <c r="Q64" s="195">
        <f>+P60</f>
        <v>21112</v>
      </c>
    </row>
    <row r="65" spans="1:17">
      <c r="A65" s="192" t="s">
        <v>353</v>
      </c>
      <c r="B65" s="150">
        <v>1151</v>
      </c>
      <c r="C65" s="48">
        <v>4782.6400000000003</v>
      </c>
      <c r="D65" s="48">
        <f t="shared" si="12"/>
        <v>4.1552041702867077</v>
      </c>
      <c r="E65" s="150">
        <v>446</v>
      </c>
      <c r="F65" s="48">
        <v>1912.76</v>
      </c>
      <c r="G65" s="48">
        <f t="shared" si="13"/>
        <v>4.2886995515695068</v>
      </c>
      <c r="H65" s="150">
        <v>33</v>
      </c>
      <c r="I65" s="48">
        <v>141.88</v>
      </c>
      <c r="J65" s="48">
        <f t="shared" si="14"/>
        <v>4.2993939393939389</v>
      </c>
      <c r="K65" s="48">
        <f t="shared" ref="K65:K75" si="15">+C65+F65+I65</f>
        <v>6837.2800000000007</v>
      </c>
    </row>
    <row r="66" spans="1:17" ht="13.5" thickBot="1">
      <c r="A66" s="192" t="s">
        <v>354</v>
      </c>
      <c r="B66" s="150">
        <v>1068</v>
      </c>
      <c r="C66" s="48">
        <v>4252.62</v>
      </c>
      <c r="D66" s="48">
        <f t="shared" si="12"/>
        <v>3.9818539325842695</v>
      </c>
      <c r="E66" s="150">
        <v>355</v>
      </c>
      <c r="F66" s="48">
        <v>1472.07</v>
      </c>
      <c r="G66" s="48">
        <f t="shared" si="13"/>
        <v>4.1466760563380278</v>
      </c>
      <c r="H66" s="150">
        <v>41</v>
      </c>
      <c r="I66" s="48">
        <v>170.36</v>
      </c>
      <c r="J66" s="48">
        <f t="shared" si="14"/>
        <v>4.1551219512195123</v>
      </c>
      <c r="K66" s="48">
        <f t="shared" si="15"/>
        <v>5895.0499999999993</v>
      </c>
      <c r="M66" t="s">
        <v>660</v>
      </c>
      <c r="Q66" s="170">
        <f>+Q64*Q63</f>
        <v>-5895.6658203670859</v>
      </c>
    </row>
    <row r="67" spans="1:17" ht="13.5" thickTop="1">
      <c r="A67" s="192" t="s">
        <v>355</v>
      </c>
      <c r="B67" s="150">
        <v>1103</v>
      </c>
      <c r="C67" s="48">
        <v>4368.9799999999996</v>
      </c>
      <c r="D67" s="48">
        <f t="shared" si="12"/>
        <v>3.9609972801450586</v>
      </c>
      <c r="E67" s="150">
        <v>448</v>
      </c>
      <c r="F67" s="48">
        <v>1851.15</v>
      </c>
      <c r="G67" s="48">
        <f t="shared" si="13"/>
        <v>4.1320312499999998</v>
      </c>
      <c r="H67" s="150">
        <v>77</v>
      </c>
      <c r="I67" s="48">
        <v>308.77999999999997</v>
      </c>
      <c r="J67" s="48">
        <f t="shared" si="14"/>
        <v>4.0101298701298695</v>
      </c>
      <c r="K67" s="48">
        <f t="shared" si="15"/>
        <v>6528.9099999999989</v>
      </c>
    </row>
    <row r="68" spans="1:17">
      <c r="A68" s="192" t="s">
        <v>356</v>
      </c>
      <c r="B68" s="150">
        <v>948</v>
      </c>
      <c r="C68" s="48">
        <v>3748.5</v>
      </c>
      <c r="D68" s="48">
        <f t="shared" si="12"/>
        <v>3.9541139240506329</v>
      </c>
      <c r="E68" s="150">
        <v>234</v>
      </c>
      <c r="F68" s="48">
        <v>964.2</v>
      </c>
      <c r="G68" s="48">
        <f t="shared" si="13"/>
        <v>4.120512820512821</v>
      </c>
      <c r="H68" s="150">
        <v>50</v>
      </c>
      <c r="I68" s="48">
        <v>201.94</v>
      </c>
      <c r="J68" s="48">
        <f t="shared" si="14"/>
        <v>4.0388000000000002</v>
      </c>
      <c r="K68" s="48">
        <f t="shared" si="15"/>
        <v>4914.6399999999994</v>
      </c>
      <c r="L68" s="93" t="s">
        <v>661</v>
      </c>
    </row>
    <row r="69" spans="1:17">
      <c r="A69" s="192" t="s">
        <v>357</v>
      </c>
      <c r="B69" s="150">
        <v>923</v>
      </c>
      <c r="C69" s="48">
        <v>3563.46</v>
      </c>
      <c r="D69" s="48">
        <f t="shared" si="12"/>
        <v>3.8607367280606719</v>
      </c>
      <c r="E69" s="150">
        <v>264</v>
      </c>
      <c r="F69" s="48">
        <v>1066.1300000000001</v>
      </c>
      <c r="G69" s="48">
        <f t="shared" si="13"/>
        <v>4.0383712121212127</v>
      </c>
      <c r="H69" s="150">
        <v>40</v>
      </c>
      <c r="I69" s="48">
        <v>155.13999999999999</v>
      </c>
      <c r="J69" s="48">
        <f t="shared" si="14"/>
        <v>3.8784999999999998</v>
      </c>
      <c r="K69" s="48">
        <f t="shared" si="15"/>
        <v>4784.7300000000005</v>
      </c>
      <c r="L69" s="93"/>
    </row>
    <row r="70" spans="1:17">
      <c r="A70" s="192" t="s">
        <v>334</v>
      </c>
      <c r="B70" s="150">
        <v>0</v>
      </c>
      <c r="C70" s="48">
        <v>0</v>
      </c>
      <c r="D70" s="48">
        <f t="shared" si="12"/>
        <v>0</v>
      </c>
      <c r="E70" s="150">
        <v>0</v>
      </c>
      <c r="F70" s="48">
        <v>0</v>
      </c>
      <c r="G70" s="48">
        <f t="shared" si="13"/>
        <v>0</v>
      </c>
      <c r="H70" s="150">
        <v>0</v>
      </c>
      <c r="I70" s="48">
        <v>0</v>
      </c>
      <c r="J70" s="48">
        <f t="shared" si="14"/>
        <v>0</v>
      </c>
      <c r="K70" s="48">
        <f t="shared" si="15"/>
        <v>0</v>
      </c>
      <c r="L70" s="93"/>
    </row>
    <row r="71" spans="1:17">
      <c r="A71" s="192" t="s">
        <v>335</v>
      </c>
      <c r="B71" s="150">
        <v>0</v>
      </c>
      <c r="C71" s="48">
        <v>0</v>
      </c>
      <c r="D71" s="48">
        <f t="shared" si="12"/>
        <v>0</v>
      </c>
      <c r="E71" s="150">
        <v>0</v>
      </c>
      <c r="F71" s="48">
        <v>0</v>
      </c>
      <c r="G71" s="48">
        <f t="shared" si="13"/>
        <v>0</v>
      </c>
      <c r="H71" s="150">
        <v>0</v>
      </c>
      <c r="I71" s="48">
        <v>0</v>
      </c>
      <c r="J71" s="48">
        <f t="shared" si="14"/>
        <v>0</v>
      </c>
      <c r="K71" s="48">
        <f t="shared" si="15"/>
        <v>0</v>
      </c>
      <c r="L71" s="93"/>
    </row>
    <row r="72" spans="1:17">
      <c r="A72" s="192" t="s">
        <v>336</v>
      </c>
      <c r="B72" s="150">
        <v>0</v>
      </c>
      <c r="C72" s="48">
        <v>0</v>
      </c>
      <c r="D72" s="48">
        <f t="shared" si="12"/>
        <v>0</v>
      </c>
      <c r="E72" s="150">
        <v>0</v>
      </c>
      <c r="F72" s="48">
        <v>0</v>
      </c>
      <c r="G72" s="48">
        <f t="shared" si="13"/>
        <v>0</v>
      </c>
      <c r="H72" s="150">
        <v>0</v>
      </c>
      <c r="I72" s="48">
        <v>0</v>
      </c>
      <c r="J72" s="48">
        <f t="shared" si="14"/>
        <v>0</v>
      </c>
      <c r="K72" s="48">
        <f t="shared" si="15"/>
        <v>0</v>
      </c>
      <c r="L72" s="93"/>
    </row>
    <row r="73" spans="1:17">
      <c r="A73" s="192" t="s">
        <v>337</v>
      </c>
      <c r="B73" s="150">
        <v>0</v>
      </c>
      <c r="C73" s="48">
        <v>0</v>
      </c>
      <c r="D73" s="48">
        <f t="shared" si="12"/>
        <v>0</v>
      </c>
      <c r="E73" s="150">
        <v>0</v>
      </c>
      <c r="F73" s="48">
        <v>0</v>
      </c>
      <c r="G73" s="48">
        <f t="shared" si="13"/>
        <v>0</v>
      </c>
      <c r="H73" s="150">
        <v>0</v>
      </c>
      <c r="I73" s="48">
        <v>0</v>
      </c>
      <c r="J73" s="48">
        <f t="shared" si="14"/>
        <v>0</v>
      </c>
      <c r="K73" s="48">
        <f t="shared" si="15"/>
        <v>0</v>
      </c>
      <c r="L73" s="93"/>
    </row>
    <row r="74" spans="1:17">
      <c r="A74" s="192" t="s">
        <v>338</v>
      </c>
      <c r="B74" s="150">
        <v>0</v>
      </c>
      <c r="C74" s="48">
        <v>0</v>
      </c>
      <c r="D74" s="48">
        <f t="shared" si="12"/>
        <v>0</v>
      </c>
      <c r="E74" s="150">
        <v>0</v>
      </c>
      <c r="F74" s="48">
        <v>0</v>
      </c>
      <c r="G74" s="48">
        <f t="shared" si="13"/>
        <v>0</v>
      </c>
      <c r="H74" s="150">
        <v>0</v>
      </c>
      <c r="I74" s="48">
        <v>0</v>
      </c>
      <c r="J74" s="48">
        <f t="shared" si="14"/>
        <v>0</v>
      </c>
      <c r="K74" s="48">
        <f t="shared" si="15"/>
        <v>0</v>
      </c>
      <c r="L74" t="s">
        <v>647</v>
      </c>
      <c r="O74" s="48">
        <f>+F62</f>
        <v>27084.769999999997</v>
      </c>
      <c r="P74" s="150">
        <f>+E62</f>
        <v>5812</v>
      </c>
      <c r="Q74" s="57">
        <f>+O74/P74</f>
        <v>4.6601462491397108</v>
      </c>
    </row>
    <row r="75" spans="1:17" ht="13.5" thickBot="1">
      <c r="A75" s="198" t="s">
        <v>339</v>
      </c>
      <c r="B75" s="195">
        <v>0</v>
      </c>
      <c r="C75" s="171">
        <v>0</v>
      </c>
      <c r="D75" s="171">
        <f t="shared" si="12"/>
        <v>0</v>
      </c>
      <c r="E75" s="195">
        <v>0</v>
      </c>
      <c r="F75" s="171">
        <v>0</v>
      </c>
      <c r="G75" s="171">
        <f t="shared" si="13"/>
        <v>0</v>
      </c>
      <c r="H75" s="195">
        <v>0</v>
      </c>
      <c r="I75" s="171">
        <v>0</v>
      </c>
      <c r="J75" s="171">
        <f t="shared" si="14"/>
        <v>0</v>
      </c>
      <c r="K75" s="48">
        <f t="shared" si="15"/>
        <v>0</v>
      </c>
      <c r="L75" t="s">
        <v>657</v>
      </c>
      <c r="O75" s="48">
        <f>+F77</f>
        <v>27201.22</v>
      </c>
      <c r="P75" s="150">
        <f>+E77</f>
        <v>6210</v>
      </c>
      <c r="Q75" s="197">
        <f>+O75/P75</f>
        <v>4.3802286634460552</v>
      </c>
    </row>
    <row r="76" spans="1:17">
      <c r="D76" s="48"/>
      <c r="G76" s="48"/>
      <c r="J76" s="48"/>
    </row>
    <row r="77" spans="1:17" ht="13.5" thickBot="1">
      <c r="A77" s="12" t="s">
        <v>651</v>
      </c>
      <c r="B77" s="196">
        <f>SUM(B43:B60)+SUM(B64:B69)</f>
        <v>20971</v>
      </c>
      <c r="C77" s="191">
        <f>SUM(C43:C60)+SUM(C64:C69)</f>
        <v>89840.25</v>
      </c>
      <c r="D77" s="191">
        <f>+C77/B77</f>
        <v>4.284023174860522</v>
      </c>
      <c r="E77" s="196">
        <f>SUM(E43:E60)+SUM(E64:E69)</f>
        <v>6210</v>
      </c>
      <c r="F77" s="191">
        <f>SUM(F43:F60)+SUM(F64:F69)</f>
        <v>27201.22</v>
      </c>
      <c r="G77" s="191">
        <f>+F77/E77</f>
        <v>4.3802286634460552</v>
      </c>
      <c r="H77" s="196">
        <f>SUM(H43:H60)+SUM(H64:H69)</f>
        <v>936</v>
      </c>
      <c r="I77" s="191">
        <f>SUM(I43:I60)+SUM(I64:I69)</f>
        <v>4006.2799999999997</v>
      </c>
      <c r="J77" s="191">
        <f>+I77/H77</f>
        <v>4.280213675213675</v>
      </c>
      <c r="M77" t="s">
        <v>658</v>
      </c>
      <c r="Q77" s="57">
        <f>+Q75-Q74</f>
        <v>-0.27991758569365555</v>
      </c>
    </row>
    <row r="78" spans="1:17" ht="14.25" thickTop="1" thickBot="1">
      <c r="M78" t="s">
        <v>659</v>
      </c>
      <c r="Q78" s="195">
        <f>+P74</f>
        <v>5812</v>
      </c>
    </row>
    <row r="80" spans="1:17" ht="13.5" thickBot="1">
      <c r="M80" t="s">
        <v>660</v>
      </c>
      <c r="Q80" s="170">
        <f>+Q78*Q77</f>
        <v>-1626.8810080515261</v>
      </c>
    </row>
    <row r="81" ht="13.5" thickTop="1"/>
  </sheetData>
  <pageMargins left="0.21" right="0.39" top="0.24" bottom="0.24" header="0.26" footer="0.23"/>
  <pageSetup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G44"/>
  <sheetViews>
    <sheetView tabSelected="1" workbookViewId="0">
      <selection activeCell="G10" sqref="G10"/>
    </sheetView>
  </sheetViews>
  <sheetFormatPr defaultRowHeight="12.75"/>
  <cols>
    <col min="1" max="1" width="19.28515625" customWidth="1"/>
    <col min="2" max="2" width="22" customWidth="1"/>
    <col min="3" max="3" width="12.42578125" customWidth="1"/>
    <col min="4" max="4" width="12.140625" customWidth="1"/>
    <col min="6" max="6" width="11.28515625" bestFit="1" customWidth="1"/>
  </cols>
  <sheetData>
    <row r="1" spans="1:5">
      <c r="A1" t="str">
        <f>+'Wage Summary'!A1</f>
        <v>Zippy Disposal Service, Inc.</v>
      </c>
    </row>
    <row r="3" spans="1:5">
      <c r="A3" t="s">
        <v>743</v>
      </c>
      <c r="D3" s="459" t="s">
        <v>11</v>
      </c>
      <c r="E3" s="462" t="s">
        <v>12</v>
      </c>
    </row>
    <row r="5" spans="1:5">
      <c r="A5" s="582">
        <v>45473</v>
      </c>
    </row>
    <row r="12" spans="1:5">
      <c r="A12" t="str">
        <f>+'Wage Summary'!A10</f>
        <v>Name</v>
      </c>
      <c r="C12" s="530" t="str">
        <f>+'Wage Summary'!R9</f>
        <v>Proforma</v>
      </c>
      <c r="D12" s="530" t="s">
        <v>1155</v>
      </c>
    </row>
    <row r="13" spans="1:5">
      <c r="C13" s="96" t="str">
        <f>+'Wage Summary'!R10</f>
        <v>Amount</v>
      </c>
      <c r="D13" s="96" t="s">
        <v>1156</v>
      </c>
    </row>
    <row r="15" spans="1:5">
      <c r="A15" t="str">
        <f>+'Wage Summary'!A12</f>
        <v>Glen Austin</v>
      </c>
      <c r="C15" s="200">
        <f>+'Wage Summary'!R12</f>
        <v>132000</v>
      </c>
      <c r="D15" s="200">
        <f t="shared" ref="D15:D32" si="0">IF(C15&gt;$F$36,$F$36,C15)</f>
        <v>68500</v>
      </c>
    </row>
    <row r="16" spans="1:5">
      <c r="A16" t="str">
        <f>+'Wage Summary'!A13</f>
        <v>Carrie Austin</v>
      </c>
      <c r="C16" s="200">
        <f>+'Wage Summary'!R13</f>
        <v>5106</v>
      </c>
      <c r="D16" s="479">
        <f t="shared" si="0"/>
        <v>5106</v>
      </c>
    </row>
    <row r="17" spans="1:4">
      <c r="A17" t="str">
        <f>+'Wage Summary'!A14</f>
        <v>Chet Belmont</v>
      </c>
      <c r="C17" s="200">
        <f>+'Wage Summary'!R14</f>
        <v>65749.612499999988</v>
      </c>
      <c r="D17" s="479">
        <f t="shared" si="0"/>
        <v>65749.612499999988</v>
      </c>
    </row>
    <row r="18" spans="1:4">
      <c r="A18" t="str">
        <f>+'Wage Summary'!A15</f>
        <v>Chance Belmont</v>
      </c>
      <c r="C18" s="200">
        <f>+'Wage Summary'!R15</f>
        <v>49215.375</v>
      </c>
      <c r="D18" s="479">
        <f t="shared" si="0"/>
        <v>49215.375</v>
      </c>
    </row>
    <row r="19" spans="1:4">
      <c r="A19" t="str">
        <f>+'Wage Summary'!A16</f>
        <v>Narciso Cortes</v>
      </c>
      <c r="C19" s="200">
        <f>+'Wage Summary'!R16</f>
        <v>58307.962500000001</v>
      </c>
      <c r="D19" s="479">
        <f t="shared" si="0"/>
        <v>58307.962500000001</v>
      </c>
    </row>
    <row r="20" spans="1:4">
      <c r="A20" t="str">
        <f>+'Wage Summary'!A17</f>
        <v>Felipe De La Mora</v>
      </c>
      <c r="C20" s="200">
        <f>+'Wage Summary'!R17</f>
        <v>25911.5</v>
      </c>
      <c r="D20" s="479">
        <f t="shared" si="0"/>
        <v>25911.5</v>
      </c>
    </row>
    <row r="21" spans="1:4">
      <c r="A21" t="str">
        <f>+'Wage Summary'!A18</f>
        <v>Paul Hunter</v>
      </c>
      <c r="C21" s="200">
        <f>+'Wage Summary'!R18</f>
        <v>500</v>
      </c>
      <c r="D21" s="479">
        <f t="shared" si="0"/>
        <v>500</v>
      </c>
    </row>
    <row r="22" spans="1:4">
      <c r="A22" t="str">
        <f>+'Wage Summary'!A19</f>
        <v>Randy Lloyd</v>
      </c>
      <c r="C22" s="200">
        <f>+'Wage Summary'!R19</f>
        <v>1799.5</v>
      </c>
      <c r="D22" s="479">
        <f t="shared" si="0"/>
        <v>1799.5</v>
      </c>
    </row>
    <row r="23" spans="1:4">
      <c r="A23" t="str">
        <f>+'Wage Summary'!A20</f>
        <v>Fernando Loza</v>
      </c>
      <c r="C23" s="200">
        <f>+'Wage Summary'!R20</f>
        <v>55796</v>
      </c>
      <c r="D23" s="479">
        <f t="shared" si="0"/>
        <v>55796</v>
      </c>
    </row>
    <row r="24" spans="1:4">
      <c r="A24" t="str">
        <f>+'Wage Summary'!A21</f>
        <v>Jerry Mckinney</v>
      </c>
      <c r="C24" s="200">
        <f>+'Wage Summary'!R21</f>
        <v>119323.9</v>
      </c>
      <c r="D24" s="479">
        <f t="shared" si="0"/>
        <v>68500</v>
      </c>
    </row>
    <row r="25" spans="1:4">
      <c r="A25" t="str">
        <f>+'Wage Summary'!A22</f>
        <v>Leo Miller</v>
      </c>
      <c r="C25" s="200">
        <f>+'Wage Summary'!R22</f>
        <v>81408</v>
      </c>
      <c r="D25" s="479">
        <f t="shared" si="0"/>
        <v>68500</v>
      </c>
    </row>
    <row r="26" spans="1:4">
      <c r="A26" t="str">
        <f>+'Wage Summary'!A23</f>
        <v>Douglas Ramsey</v>
      </c>
      <c r="C26" s="200">
        <f>+'Wage Summary'!R23</f>
        <v>85530.487500000003</v>
      </c>
      <c r="D26" s="479">
        <f t="shared" si="0"/>
        <v>68500</v>
      </c>
    </row>
    <row r="27" spans="1:4">
      <c r="A27" t="str">
        <f>+'Wage Summary'!A24</f>
        <v>Frank Simpson</v>
      </c>
      <c r="C27" s="200">
        <f>+'Wage Summary'!R24</f>
        <v>70543.462499999994</v>
      </c>
      <c r="D27" s="479">
        <f t="shared" si="0"/>
        <v>68500</v>
      </c>
    </row>
    <row r="28" spans="1:4">
      <c r="A28" t="str">
        <f>+'Wage Summary'!A25</f>
        <v>Eric Straub</v>
      </c>
      <c r="C28" s="200">
        <f>+'Wage Summary'!R25</f>
        <v>0</v>
      </c>
      <c r="D28" s="479">
        <f t="shared" si="0"/>
        <v>0</v>
      </c>
    </row>
    <row r="29" spans="1:4">
      <c r="A29" t="str">
        <f>+'Wage Summary'!A26</f>
        <v>David Suess</v>
      </c>
      <c r="C29" s="200">
        <f>+'Wage Summary'!R26</f>
        <v>51471</v>
      </c>
      <c r="D29" s="479">
        <f t="shared" si="0"/>
        <v>51471</v>
      </c>
    </row>
    <row r="30" spans="1:4">
      <c r="A30" t="str">
        <f>+'Wage Summary'!A27</f>
        <v>Julie Cooper</v>
      </c>
      <c r="C30" s="200">
        <f>+'Wage Summary'!R27</f>
        <v>43929.599999999999</v>
      </c>
      <c r="D30" s="479">
        <f t="shared" si="0"/>
        <v>43929.599999999999</v>
      </c>
    </row>
    <row r="31" spans="1:4">
      <c r="A31" t="str">
        <f>+'Wage Summary'!A28</f>
        <v>Roberto Vejar</v>
      </c>
      <c r="C31" s="200">
        <f>+'Wage Summary'!R28</f>
        <v>20346.875</v>
      </c>
      <c r="D31" s="479">
        <f t="shared" si="0"/>
        <v>20346.875</v>
      </c>
    </row>
    <row r="32" spans="1:4">
      <c r="A32">
        <f>+'Wage Summary'!A29</f>
        <v>0</v>
      </c>
      <c r="C32" s="199">
        <f>+'Wage Summary'!R29</f>
        <v>0</v>
      </c>
      <c r="D32" s="199">
        <f t="shared" si="0"/>
        <v>0</v>
      </c>
    </row>
    <row r="33" spans="1:7">
      <c r="C33" s="48"/>
    </row>
    <row r="34" spans="1:7">
      <c r="C34" s="57">
        <f>SUM(C15:C32)</f>
        <v>866939.27500000002</v>
      </c>
      <c r="D34" s="57">
        <f>SUM(D15:D32)</f>
        <v>720633.42499999993</v>
      </c>
    </row>
    <row r="35" spans="1:7">
      <c r="C35" s="48"/>
    </row>
    <row r="36" spans="1:7">
      <c r="A36" s="459" t="s">
        <v>1405</v>
      </c>
      <c r="D36" s="37">
        <v>9.2999999999999992E-3</v>
      </c>
      <c r="F36" s="478">
        <v>68500</v>
      </c>
      <c r="G36" s="459" t="s">
        <v>1157</v>
      </c>
    </row>
    <row r="38" spans="1:7">
      <c r="A38" s="459" t="s">
        <v>1406</v>
      </c>
      <c r="D38" s="48">
        <f>+D34*D36</f>
        <v>6701.8908524999988</v>
      </c>
    </row>
    <row r="39" spans="1:7">
      <c r="D39" s="48"/>
    </row>
    <row r="40" spans="1:7">
      <c r="A40" t="s">
        <v>1158</v>
      </c>
      <c r="D40" s="52">
        <f>'Results of Operations Co'!C94</f>
        <v>5698.62</v>
      </c>
    </row>
    <row r="41" spans="1:7">
      <c r="D41" s="48"/>
    </row>
    <row r="42" spans="1:7" ht="13.5" thickBot="1">
      <c r="A42" t="s">
        <v>747</v>
      </c>
      <c r="D42" s="170">
        <f>+D38-D40</f>
        <v>1003.2708524999989</v>
      </c>
      <c r="E42" s="459"/>
    </row>
    <row r="43" spans="1:7" ht="13.5" thickTop="1">
      <c r="D43" s="48"/>
    </row>
    <row r="44" spans="1:7">
      <c r="D44" s="48"/>
    </row>
  </sheetData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H40"/>
  <sheetViews>
    <sheetView workbookViewId="0">
      <selection activeCell="F49" sqref="F49"/>
    </sheetView>
  </sheetViews>
  <sheetFormatPr defaultRowHeight="12.75"/>
  <cols>
    <col min="1" max="1" width="2.7109375" customWidth="1"/>
    <col min="5" max="5" width="12.140625" customWidth="1"/>
    <col min="6" max="6" width="11.7109375" customWidth="1"/>
    <col min="7" max="7" width="12.85546875" customWidth="1"/>
  </cols>
  <sheetData>
    <row r="1" spans="1:7">
      <c r="A1" t="str">
        <f>+'Wage Summary'!A1</f>
        <v>Zippy Disposal Service, Inc.</v>
      </c>
    </row>
    <row r="3" spans="1:7">
      <c r="A3" s="459" t="s">
        <v>1159</v>
      </c>
      <c r="E3" s="459" t="s">
        <v>11</v>
      </c>
      <c r="F3" s="462" t="s">
        <v>12</v>
      </c>
    </row>
    <row r="5" spans="1:7">
      <c r="A5" s="739" t="s">
        <v>1417</v>
      </c>
      <c r="B5" s="465"/>
    </row>
    <row r="11" spans="1:7">
      <c r="A11" s="459" t="s">
        <v>1160</v>
      </c>
      <c r="E11" s="49" t="s">
        <v>1428</v>
      </c>
    </row>
    <row r="12" spans="1:7">
      <c r="E12" s="515">
        <v>45473</v>
      </c>
      <c r="F12" s="462" t="s">
        <v>1431</v>
      </c>
      <c r="G12" s="462" t="s">
        <v>1161</v>
      </c>
    </row>
    <row r="13" spans="1:7">
      <c r="A13" s="459" t="s">
        <v>1162</v>
      </c>
    </row>
    <row r="14" spans="1:7">
      <c r="B14" s="459" t="s">
        <v>1163</v>
      </c>
      <c r="E14" s="177">
        <v>46494</v>
      </c>
      <c r="F14" s="177">
        <v>47184</v>
      </c>
      <c r="G14" s="42">
        <f>+F14-E14</f>
        <v>690</v>
      </c>
    </row>
    <row r="15" spans="1:7">
      <c r="B15" s="459" t="s">
        <v>1164</v>
      </c>
      <c r="E15" s="177">
        <v>15258</v>
      </c>
      <c r="F15" s="177">
        <v>15480</v>
      </c>
      <c r="G15" s="42">
        <f>+F15-E15</f>
        <v>222</v>
      </c>
    </row>
    <row r="16" spans="1:7">
      <c r="B16" s="459" t="s">
        <v>1165</v>
      </c>
      <c r="E16" s="177">
        <v>21258</v>
      </c>
      <c r="F16" s="177">
        <v>21576</v>
      </c>
      <c r="G16" s="42">
        <f>+F16-E16</f>
        <v>318</v>
      </c>
    </row>
    <row r="17" spans="2:8">
      <c r="B17" s="459" t="s">
        <v>1166</v>
      </c>
      <c r="E17" s="177">
        <v>11346</v>
      </c>
      <c r="F17" s="177">
        <v>11520</v>
      </c>
      <c r="G17" s="42">
        <f>+F17-E17</f>
        <v>174</v>
      </c>
    </row>
    <row r="18" spans="2:8">
      <c r="E18" s="202"/>
      <c r="F18" s="202"/>
      <c r="G18" s="65"/>
    </row>
    <row r="19" spans="2:8">
      <c r="E19" s="177">
        <f>SUM(E14:E18)</f>
        <v>94356</v>
      </c>
      <c r="F19" s="177">
        <f>SUM(F14:F18)</f>
        <v>95760</v>
      </c>
      <c r="G19" s="177">
        <f>SUM(G14:G18)</f>
        <v>1404</v>
      </c>
      <c r="H19" s="459" t="s">
        <v>747</v>
      </c>
    </row>
    <row r="20" spans="2:8">
      <c r="E20" s="177"/>
      <c r="F20" s="177"/>
      <c r="G20" s="177"/>
      <c r="H20" s="459"/>
    </row>
    <row r="21" spans="2:8">
      <c r="B21" s="459" t="s">
        <v>1167</v>
      </c>
      <c r="E21" s="38"/>
      <c r="F21" s="38">
        <f>'Monthy Income Statements'!$O$98</f>
        <v>94356</v>
      </c>
    </row>
    <row r="22" spans="2:8">
      <c r="F22" s="177"/>
    </row>
    <row r="23" spans="2:8" ht="13.5" thickBot="1">
      <c r="B23" s="459" t="s">
        <v>963</v>
      </c>
      <c r="F23" s="457">
        <f>F19-F21</f>
        <v>1404</v>
      </c>
      <c r="G23" s="459" t="s">
        <v>1429</v>
      </c>
    </row>
    <row r="24" spans="2:8" ht="13.5" thickTop="1">
      <c r="E24" s="177"/>
      <c r="F24" s="177"/>
    </row>
    <row r="25" spans="2:8">
      <c r="E25" s="177"/>
      <c r="F25" s="177"/>
    </row>
    <row r="26" spans="2:8">
      <c r="E26" s="750" t="s">
        <v>1428</v>
      </c>
      <c r="F26" s="177"/>
    </row>
    <row r="27" spans="2:8">
      <c r="E27" s="515">
        <v>45473</v>
      </c>
      <c r="F27" s="530" t="s">
        <v>1431</v>
      </c>
      <c r="G27" s="462" t="s">
        <v>1161</v>
      </c>
    </row>
    <row r="28" spans="2:8">
      <c r="B28" s="459" t="s">
        <v>1168</v>
      </c>
      <c r="E28" s="177"/>
      <c r="F28" s="177"/>
    </row>
    <row r="29" spans="2:8">
      <c r="B29" s="459" t="s">
        <v>1169</v>
      </c>
      <c r="E29" s="177">
        <v>30396</v>
      </c>
      <c r="F29" s="177">
        <v>30840</v>
      </c>
      <c r="G29" s="42">
        <f>+F29-E29</f>
        <v>444</v>
      </c>
      <c r="H29" s="459" t="s">
        <v>747</v>
      </c>
    </row>
    <row r="30" spans="2:8">
      <c r="E30" s="202"/>
      <c r="F30" s="202"/>
      <c r="G30" s="65"/>
    </row>
    <row r="31" spans="2:8">
      <c r="E31" s="177">
        <f>E29</f>
        <v>30396</v>
      </c>
      <c r="F31" s="177">
        <f>F29</f>
        <v>30840</v>
      </c>
      <c r="G31" s="177">
        <f>+G29</f>
        <v>444</v>
      </c>
    </row>
    <row r="32" spans="2:8">
      <c r="E32" s="42"/>
    </row>
    <row r="33" spans="2:7">
      <c r="B33" s="459" t="s">
        <v>1167</v>
      </c>
      <c r="F33" s="38">
        <f>'Monthy Income Statements'!$O$99</f>
        <v>30396</v>
      </c>
    </row>
    <row r="35" spans="2:7" ht="13.5" thickBot="1">
      <c r="B35" s="459" t="s">
        <v>963</v>
      </c>
      <c r="F35" s="201">
        <f>F31-F33</f>
        <v>444</v>
      </c>
      <c r="G35" s="459" t="s">
        <v>1430</v>
      </c>
    </row>
    <row r="36" spans="2:7" ht="13.5" thickTop="1"/>
    <row r="37" spans="2:7">
      <c r="B37" s="459"/>
    </row>
    <row r="40" spans="2:7">
      <c r="B40" s="4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L94"/>
  <sheetViews>
    <sheetView topLeftCell="A46" workbookViewId="0">
      <selection activeCell="N65" sqref="N65"/>
    </sheetView>
  </sheetViews>
  <sheetFormatPr defaultRowHeight="12.75"/>
  <cols>
    <col min="1" max="1" width="9.42578125" customWidth="1"/>
    <col min="2" max="2" width="11.5703125" customWidth="1"/>
    <col min="3" max="3" width="10.42578125" customWidth="1"/>
    <col min="5" max="5" width="12.85546875" customWidth="1"/>
    <col min="7" max="7" width="12.85546875" customWidth="1"/>
    <col min="8" max="8" width="10.5703125" customWidth="1"/>
    <col min="10" max="10" width="13" customWidth="1"/>
    <col min="11" max="11" width="10.42578125" customWidth="1"/>
  </cols>
  <sheetData>
    <row r="1" spans="1:12">
      <c r="A1" t="s">
        <v>4</v>
      </c>
      <c r="G1" t="s">
        <v>5</v>
      </c>
      <c r="J1" t="s">
        <v>6</v>
      </c>
    </row>
    <row r="2" spans="1:12">
      <c r="A2" t="s">
        <v>1462</v>
      </c>
      <c r="G2" s="9">
        <f ca="1">+H2/E82</f>
        <v>6.715456499073906E-2</v>
      </c>
      <c r="H2" s="74">
        <f ca="1">'New LG Chelan - MSW'!M21</f>
        <v>120092.38561293017</v>
      </c>
      <c r="I2" t="s">
        <v>8</v>
      </c>
      <c r="J2" s="57">
        <f ca="1">+J84</f>
        <v>120092.38561293017</v>
      </c>
      <c r="K2" s="104">
        <f ca="1">+J2/E82</f>
        <v>6.715456499073906E-2</v>
      </c>
      <c r="L2" s="103">
        <v>0</v>
      </c>
    </row>
    <row r="3" spans="1:12">
      <c r="A3" s="1" t="s">
        <v>1463</v>
      </c>
      <c r="H3" s="9">
        <f ca="1">+G2</f>
        <v>6.715456499073906E-2</v>
      </c>
      <c r="I3" t="s">
        <v>10</v>
      </c>
    </row>
    <row r="4" spans="1:12">
      <c r="E4" s="459" t="s">
        <v>11</v>
      </c>
      <c r="F4" s="459" t="s">
        <v>12</v>
      </c>
      <c r="H4" s="9">
        <f ca="1">+G2</f>
        <v>6.715456499073906E-2</v>
      </c>
      <c r="I4" t="s">
        <v>13</v>
      </c>
    </row>
    <row r="6" spans="1:12" ht="13.5" thickBot="1">
      <c r="A6" s="102" t="s">
        <v>1464</v>
      </c>
      <c r="B6" s="4"/>
      <c r="C6" s="4"/>
    </row>
    <row r="7" spans="1:12">
      <c r="F7" s="101"/>
      <c r="G7" s="100" t="s">
        <v>17</v>
      </c>
      <c r="H7" s="99"/>
      <c r="I7" s="101"/>
      <c r="J7" s="100" t="s">
        <v>18</v>
      </c>
      <c r="K7" s="99"/>
    </row>
    <row r="8" spans="1:12">
      <c r="C8" s="530" t="s">
        <v>19</v>
      </c>
      <c r="D8" s="530" t="s">
        <v>21</v>
      </c>
      <c r="E8" s="530" t="s">
        <v>22</v>
      </c>
      <c r="F8" s="98" t="s">
        <v>17</v>
      </c>
      <c r="G8" s="530" t="s">
        <v>22</v>
      </c>
      <c r="H8" s="97" t="s">
        <v>23</v>
      </c>
      <c r="I8" s="98" t="s">
        <v>24</v>
      </c>
      <c r="J8" s="530" t="s">
        <v>22</v>
      </c>
      <c r="K8" s="97" t="s">
        <v>23</v>
      </c>
    </row>
    <row r="9" spans="1:12" ht="13.5" thickBot="1">
      <c r="A9" s="4" t="s">
        <v>25</v>
      </c>
      <c r="B9" s="4"/>
      <c r="C9" s="18" t="s">
        <v>7</v>
      </c>
      <c r="D9" s="96" t="s">
        <v>26</v>
      </c>
      <c r="E9" s="96" t="s">
        <v>27</v>
      </c>
      <c r="F9" s="95" t="s">
        <v>28</v>
      </c>
      <c r="G9" s="18" t="s">
        <v>27</v>
      </c>
      <c r="H9" s="94" t="s">
        <v>8</v>
      </c>
      <c r="I9" s="95" t="s">
        <v>28</v>
      </c>
      <c r="J9" s="18" t="s">
        <v>27</v>
      </c>
      <c r="K9" s="94" t="s">
        <v>8</v>
      </c>
    </row>
    <row r="10" spans="1:12">
      <c r="A10" t="s">
        <v>30</v>
      </c>
    </row>
    <row r="11" spans="1:12">
      <c r="A11" t="str">
        <f>'Service Counts'!A10</f>
        <v>Mini Can</v>
      </c>
      <c r="C11" s="26">
        <f>+'Service Counts'!I10</f>
        <v>12</v>
      </c>
      <c r="D11" s="57">
        <f>+'Service Counts'!G10</f>
        <v>16.54</v>
      </c>
      <c r="E11" s="51">
        <f t="shared" ref="E11:E27" si="0">+C11*D11</f>
        <v>198.48</v>
      </c>
      <c r="F11" s="57">
        <f t="shared" ref="F11:F27" ca="1" si="1">+D11*(1+$H$4)</f>
        <v>17.650736504946824</v>
      </c>
      <c r="G11" s="57">
        <f t="shared" ref="G11:G27" ca="1" si="2">+C11*F11</f>
        <v>211.8088380593619</v>
      </c>
      <c r="H11" s="9">
        <f t="shared" ref="H11:H27" ca="1" si="3">+IF(C11=0,0,(G11-E11)/E11)</f>
        <v>6.7154564990739185E-2</v>
      </c>
      <c r="I11" s="779">
        <f ca="1">+F11</f>
        <v>17.650736504946824</v>
      </c>
      <c r="J11" s="63">
        <f t="shared" ref="J11:J27" ca="1" si="4">+C11*I11</f>
        <v>211.8088380593619</v>
      </c>
      <c r="K11" s="9">
        <f t="shared" ref="K11:K27" ca="1" si="5">+IF(C11=0,0,(J11-E11)/E11)</f>
        <v>6.7154564990739185E-2</v>
      </c>
      <c r="L11" s="57">
        <f t="shared" ref="L11:L27" si="6">+D11*(1+$L$2)</f>
        <v>16.54</v>
      </c>
    </row>
    <row r="12" spans="1:12">
      <c r="A12" t="str">
        <f>'Service Counts'!A11</f>
        <v xml:space="preserve">1 Can Occasional </v>
      </c>
      <c r="C12" s="26">
        <f>+'Service Counts'!I11</f>
        <v>24</v>
      </c>
      <c r="D12" s="57">
        <f>+'Service Counts'!G11</f>
        <v>9.73</v>
      </c>
      <c r="E12" s="51">
        <f t="shared" si="0"/>
        <v>233.52</v>
      </c>
      <c r="F12" s="57">
        <f t="shared" ca="1" si="1"/>
        <v>10.38341391735989</v>
      </c>
      <c r="G12" s="57">
        <f t="shared" ca="1" si="2"/>
        <v>249.20193401663738</v>
      </c>
      <c r="H12" s="9">
        <f t="shared" ca="1" si="3"/>
        <v>6.7154564990738991E-2</v>
      </c>
      <c r="I12" s="779">
        <f t="shared" ref="I12:I33" ca="1" si="7">+F12</f>
        <v>10.38341391735989</v>
      </c>
      <c r="J12" s="63">
        <f t="shared" ca="1" si="4"/>
        <v>249.20193401663738</v>
      </c>
      <c r="K12" s="9">
        <f t="shared" ca="1" si="5"/>
        <v>6.7154564990738991E-2</v>
      </c>
      <c r="L12" s="57">
        <f t="shared" si="6"/>
        <v>9.73</v>
      </c>
    </row>
    <row r="13" spans="1:12">
      <c r="A13" t="str">
        <f>'Service Counts'!A12</f>
        <v>1 Can Weekly</v>
      </c>
      <c r="C13" s="26">
        <f>+'Service Counts'!I12</f>
        <v>259</v>
      </c>
      <c r="D13" s="57">
        <f>+'Service Counts'!G12</f>
        <v>20.329999999999998</v>
      </c>
      <c r="E13" s="5">
        <f t="shared" si="0"/>
        <v>5265.4699999999993</v>
      </c>
      <c r="F13" s="57">
        <f t="shared" ca="1" si="1"/>
        <v>21.695252306261722</v>
      </c>
      <c r="G13" s="48">
        <f t="shared" ca="1" si="2"/>
        <v>5619.0703473217864</v>
      </c>
      <c r="H13" s="9">
        <f t="shared" ca="1" si="3"/>
        <v>6.7154564990739116E-2</v>
      </c>
      <c r="I13" s="779">
        <f t="shared" ca="1" si="7"/>
        <v>21.695252306261722</v>
      </c>
      <c r="J13" s="48">
        <f t="shared" ca="1" si="4"/>
        <v>5619.0703473217864</v>
      </c>
      <c r="K13" s="9">
        <f t="shared" ca="1" si="5"/>
        <v>6.7154564990739116E-2</v>
      </c>
      <c r="L13" s="57">
        <f t="shared" si="6"/>
        <v>20.329999999999998</v>
      </c>
    </row>
    <row r="14" spans="1:12">
      <c r="A14" t="str">
        <f>'Service Counts'!A13</f>
        <v>2 Can Weekly</v>
      </c>
      <c r="C14" s="26">
        <f>+'Service Counts'!I13</f>
        <v>231.25</v>
      </c>
      <c r="D14" s="57">
        <f>+'Service Counts'!G13</f>
        <v>24.98</v>
      </c>
      <c r="E14" s="5">
        <f t="shared" si="0"/>
        <v>5776.625</v>
      </c>
      <c r="F14" s="57">
        <f t="shared" ca="1" si="1"/>
        <v>26.657521033468662</v>
      </c>
      <c r="G14" s="48">
        <f t="shared" ca="1" si="2"/>
        <v>6164.5517389896277</v>
      </c>
      <c r="H14" s="9">
        <f t="shared" ca="1" si="3"/>
        <v>6.7154564990739005E-2</v>
      </c>
      <c r="I14" s="779">
        <f t="shared" ca="1" si="7"/>
        <v>26.657521033468662</v>
      </c>
      <c r="J14" s="48">
        <f t="shared" ca="1" si="4"/>
        <v>6164.5517389896277</v>
      </c>
      <c r="K14" s="9">
        <f t="shared" ca="1" si="5"/>
        <v>6.7154564990739005E-2</v>
      </c>
      <c r="L14" s="57">
        <f t="shared" si="6"/>
        <v>24.98</v>
      </c>
    </row>
    <row r="15" spans="1:12">
      <c r="A15" t="str">
        <f>'Service Counts'!A14</f>
        <v>3 Can Weekly</v>
      </c>
      <c r="C15" s="26">
        <f>+'Service Counts'!I14</f>
        <v>5.2</v>
      </c>
      <c r="D15" s="57">
        <f>+'Service Counts'!G14</f>
        <v>31.33</v>
      </c>
      <c r="E15" s="5">
        <f t="shared" si="0"/>
        <v>162.916</v>
      </c>
      <c r="F15" s="57">
        <f t="shared" ca="1" si="1"/>
        <v>33.433952521159853</v>
      </c>
      <c r="G15" s="48">
        <f t="shared" ca="1" si="2"/>
        <v>173.85655311003123</v>
      </c>
      <c r="H15" s="9">
        <f t="shared" ca="1" si="3"/>
        <v>6.7154564990738977E-2</v>
      </c>
      <c r="I15" s="779">
        <f t="shared" ca="1" si="7"/>
        <v>33.433952521159853</v>
      </c>
      <c r="J15" s="48">
        <f t="shared" ca="1" si="4"/>
        <v>173.85655311003123</v>
      </c>
      <c r="K15" s="9">
        <f t="shared" ca="1" si="5"/>
        <v>6.7154564990738977E-2</v>
      </c>
      <c r="L15" s="57">
        <f t="shared" si="6"/>
        <v>31.33</v>
      </c>
    </row>
    <row r="16" spans="1:12">
      <c r="A16" t="str">
        <f>'Service Counts'!A15</f>
        <v>4 Can Weekly</v>
      </c>
      <c r="C16" s="26">
        <f>+'Service Counts'!I15</f>
        <v>0</v>
      </c>
      <c r="D16" s="57">
        <f>+'Service Counts'!G15</f>
        <v>38.14</v>
      </c>
      <c r="E16" s="5">
        <f t="shared" si="0"/>
        <v>0</v>
      </c>
      <c r="F16" s="57">
        <f t="shared" ca="1" si="1"/>
        <v>40.701275108746785</v>
      </c>
      <c r="G16" s="48">
        <f t="shared" ca="1" si="2"/>
        <v>0</v>
      </c>
      <c r="H16" s="9">
        <f t="shared" si="3"/>
        <v>0</v>
      </c>
      <c r="I16" s="779">
        <f t="shared" ca="1" si="7"/>
        <v>40.701275108746785</v>
      </c>
      <c r="J16" s="48">
        <f t="shared" ca="1" si="4"/>
        <v>0</v>
      </c>
      <c r="K16" s="9">
        <f t="shared" si="5"/>
        <v>0</v>
      </c>
      <c r="L16" s="57">
        <f t="shared" si="6"/>
        <v>38.14</v>
      </c>
    </row>
    <row r="17" spans="1:12">
      <c r="A17" t="str">
        <f>'Service Counts'!A16</f>
        <v>5 Can Weekly</v>
      </c>
      <c r="C17" s="26">
        <f>+'Service Counts'!I16</f>
        <v>0</v>
      </c>
      <c r="D17" s="57">
        <f>+'Service Counts'!G16</f>
        <v>43.47</v>
      </c>
      <c r="E17" s="5">
        <f t="shared" si="0"/>
        <v>0</v>
      </c>
      <c r="F17" s="57">
        <f t="shared" ca="1" si="1"/>
        <v>46.389208940147427</v>
      </c>
      <c r="G17" s="48">
        <f t="shared" ca="1" si="2"/>
        <v>0</v>
      </c>
      <c r="H17" s="9">
        <f t="shared" si="3"/>
        <v>0</v>
      </c>
      <c r="I17" s="779">
        <f t="shared" ca="1" si="7"/>
        <v>46.389208940147427</v>
      </c>
      <c r="J17" s="48">
        <f t="shared" ca="1" si="4"/>
        <v>0</v>
      </c>
      <c r="K17" s="9">
        <f t="shared" si="5"/>
        <v>0</v>
      </c>
      <c r="L17" s="57">
        <f t="shared" si="6"/>
        <v>43.47</v>
      </c>
    </row>
    <row r="18" spans="1:12">
      <c r="A18" t="str">
        <f>'Service Counts'!A17</f>
        <v>6 Can Weekly</v>
      </c>
      <c r="C18" s="26">
        <f>+'Service Counts'!I17</f>
        <v>12</v>
      </c>
      <c r="D18" s="57">
        <f>+'Service Counts'!G17</f>
        <v>50.17</v>
      </c>
      <c r="E18" s="5">
        <f t="shared" si="0"/>
        <v>602.04</v>
      </c>
      <c r="F18" s="57">
        <f t="shared" ca="1" si="1"/>
        <v>53.539144525585378</v>
      </c>
      <c r="G18" s="48">
        <f t="shared" ca="1" si="2"/>
        <v>642.46973430702451</v>
      </c>
      <c r="H18" s="9">
        <f t="shared" ca="1" si="3"/>
        <v>6.7154564990739074E-2</v>
      </c>
      <c r="I18" s="779">
        <f t="shared" ca="1" si="7"/>
        <v>53.539144525585378</v>
      </c>
      <c r="J18" s="48">
        <f t="shared" ca="1" si="4"/>
        <v>642.46973430702451</v>
      </c>
      <c r="K18" s="9">
        <f t="shared" ca="1" si="5"/>
        <v>6.7154564990739074E-2</v>
      </c>
      <c r="L18" s="57">
        <f t="shared" si="6"/>
        <v>50.17</v>
      </c>
    </row>
    <row r="19" spans="1:12">
      <c r="A19" t="str">
        <f>'Service Counts'!A18</f>
        <v xml:space="preserve">1-45 gal Toter Monthly </v>
      </c>
      <c r="C19" s="26">
        <f>+'Service Counts'!I18</f>
        <v>46.3</v>
      </c>
      <c r="D19" s="57">
        <f>+'Service Counts'!G18</f>
        <v>13.47</v>
      </c>
      <c r="E19" s="5">
        <f t="shared" si="0"/>
        <v>623.66099999999994</v>
      </c>
      <c r="F19" s="57">
        <f t="shared" ca="1" si="1"/>
        <v>14.374571990425256</v>
      </c>
      <c r="G19" s="48">
        <f t="shared" ca="1" si="2"/>
        <v>665.54268315668935</v>
      </c>
      <c r="H19" s="9">
        <f t="shared" ca="1" si="3"/>
        <v>6.7154564990739213E-2</v>
      </c>
      <c r="I19" s="779">
        <f t="shared" ca="1" si="7"/>
        <v>14.374571990425256</v>
      </c>
      <c r="J19" s="48">
        <f t="shared" ca="1" si="4"/>
        <v>665.54268315668935</v>
      </c>
      <c r="K19" s="9">
        <f t="shared" ca="1" si="5"/>
        <v>6.7154564990739213E-2</v>
      </c>
      <c r="L19" s="57">
        <f t="shared" si="6"/>
        <v>13.47</v>
      </c>
    </row>
    <row r="20" spans="1:12">
      <c r="A20" t="str">
        <f>'Service Counts'!A19</f>
        <v>1-45 gal Toter</v>
      </c>
      <c r="C20" s="26">
        <f>+'Service Counts'!I19</f>
        <v>6200.9</v>
      </c>
      <c r="D20" s="57">
        <f>+'Service Counts'!G19</f>
        <v>20.329999999999998</v>
      </c>
      <c r="E20" s="5">
        <f t="shared" si="0"/>
        <v>126064.29699999998</v>
      </c>
      <c r="F20" s="57">
        <f t="shared" ca="1" si="1"/>
        <v>21.695252306261722</v>
      </c>
      <c r="G20" s="48">
        <f t="shared" ca="1" si="2"/>
        <v>134530.0900258983</v>
      </c>
      <c r="H20" s="9">
        <f t="shared" ca="1" si="3"/>
        <v>6.7154564990739019E-2</v>
      </c>
      <c r="I20" s="779">
        <f t="shared" ca="1" si="7"/>
        <v>21.695252306261722</v>
      </c>
      <c r="J20" s="48">
        <f t="shared" ca="1" si="4"/>
        <v>134530.0900258983</v>
      </c>
      <c r="K20" s="9">
        <f t="shared" ca="1" si="5"/>
        <v>6.7154564990739019E-2</v>
      </c>
      <c r="L20" s="57">
        <f t="shared" si="6"/>
        <v>20.329999999999998</v>
      </c>
    </row>
    <row r="21" spans="1:12">
      <c r="A21" t="str">
        <f>'Service Counts'!A20</f>
        <v xml:space="preserve">1-65 gal Toter Monthly </v>
      </c>
      <c r="C21" s="26">
        <f>+'Service Counts'!I20</f>
        <v>22</v>
      </c>
      <c r="D21" s="57">
        <f>+'Service Counts'!G20</f>
        <v>14.59</v>
      </c>
      <c r="E21" s="5">
        <f t="shared" si="0"/>
        <v>320.98</v>
      </c>
      <c r="F21" s="57">
        <f t="shared" ca="1" si="1"/>
        <v>15.569785103214882</v>
      </c>
      <c r="G21" s="48">
        <f t="shared" ca="1" si="2"/>
        <v>342.53527227072738</v>
      </c>
      <c r="H21" s="9">
        <f t="shared" ca="1" si="3"/>
        <v>6.7154564990738852E-2</v>
      </c>
      <c r="I21" s="779">
        <f t="shared" ca="1" si="7"/>
        <v>15.569785103214882</v>
      </c>
      <c r="J21" s="48">
        <f t="shared" ca="1" si="4"/>
        <v>342.53527227072738</v>
      </c>
      <c r="K21" s="9">
        <f t="shared" ca="1" si="5"/>
        <v>6.7154564990738852E-2</v>
      </c>
      <c r="L21" s="57">
        <f t="shared" si="6"/>
        <v>14.59</v>
      </c>
    </row>
    <row r="22" spans="1:12">
      <c r="A22" t="str">
        <f>'Service Counts'!A21</f>
        <v>1-65 gal Toter</v>
      </c>
      <c r="C22" s="26">
        <f>+'Service Counts'!I21</f>
        <v>11226.65</v>
      </c>
      <c r="D22" s="57">
        <f>+'Service Counts'!G21</f>
        <v>24.98</v>
      </c>
      <c r="E22" s="5">
        <f t="shared" si="0"/>
        <v>280441.717</v>
      </c>
      <c r="F22" s="57">
        <f t="shared" ca="1" si="1"/>
        <v>26.657521033468662</v>
      </c>
      <c r="G22" s="48">
        <f t="shared" ca="1" si="2"/>
        <v>299274.65851039096</v>
      </c>
      <c r="H22" s="9">
        <f t="shared" ca="1" si="3"/>
        <v>6.7154564990739074E-2</v>
      </c>
      <c r="I22" s="779">
        <f t="shared" ca="1" si="7"/>
        <v>26.657521033468662</v>
      </c>
      <c r="J22" s="48">
        <f t="shared" ca="1" si="4"/>
        <v>299274.65851039096</v>
      </c>
      <c r="K22" s="9">
        <f t="shared" ca="1" si="5"/>
        <v>6.7154564990739074E-2</v>
      </c>
      <c r="L22" s="57">
        <f t="shared" si="6"/>
        <v>24.98</v>
      </c>
    </row>
    <row r="23" spans="1:12">
      <c r="A23" t="str">
        <f>'Service Counts'!A22</f>
        <v>1-95 gal Toter</v>
      </c>
      <c r="C23" s="26">
        <f>+'Service Counts'!I22</f>
        <v>12384.85</v>
      </c>
      <c r="D23" s="57">
        <f>+'Service Counts'!G22</f>
        <v>31.33</v>
      </c>
      <c r="E23" s="5">
        <f t="shared" si="0"/>
        <v>388017.3505</v>
      </c>
      <c r="F23" s="57">
        <f t="shared" ca="1" si="1"/>
        <v>33.433952521159853</v>
      </c>
      <c r="G23" s="48">
        <f t="shared" ca="1" si="2"/>
        <v>414074.48688168661</v>
      </c>
      <c r="H23" s="9">
        <f t="shared" ca="1" si="3"/>
        <v>6.7154564990739005E-2</v>
      </c>
      <c r="I23" s="779">
        <f t="shared" ca="1" si="7"/>
        <v>33.433952521159853</v>
      </c>
      <c r="J23" s="48">
        <f t="shared" ca="1" si="4"/>
        <v>414074.48688168661</v>
      </c>
      <c r="K23" s="9">
        <f t="shared" ca="1" si="5"/>
        <v>6.7154564990739005E-2</v>
      </c>
      <c r="L23" s="57">
        <f t="shared" si="6"/>
        <v>31.33</v>
      </c>
    </row>
    <row r="24" spans="1:12">
      <c r="A24" t="str">
        <f>'Service Counts'!A23</f>
        <v>1-65 gal Bear Toter</v>
      </c>
      <c r="C24" s="26">
        <f>+'Service Counts'!I23</f>
        <v>42.25</v>
      </c>
      <c r="D24" s="57">
        <f>+'Service Counts'!G23</f>
        <v>36.25</v>
      </c>
      <c r="E24" s="5">
        <f t="shared" si="0"/>
        <v>1531.5625</v>
      </c>
      <c r="F24" s="57">
        <f t="shared" ca="1" si="1"/>
        <v>38.684352980914291</v>
      </c>
      <c r="G24" s="48">
        <f t="shared" ca="1" si="2"/>
        <v>1634.4139134436289</v>
      </c>
      <c r="H24" s="9">
        <f t="shared" ca="1" si="3"/>
        <v>6.7154564990739116E-2</v>
      </c>
      <c r="I24" s="779">
        <f t="shared" ca="1" si="7"/>
        <v>38.684352980914291</v>
      </c>
      <c r="J24" s="48">
        <f t="shared" ca="1" si="4"/>
        <v>1634.4139134436289</v>
      </c>
      <c r="K24" s="9">
        <f t="shared" ca="1" si="5"/>
        <v>6.7154564990739116E-2</v>
      </c>
      <c r="L24" s="57">
        <f t="shared" si="6"/>
        <v>36.25</v>
      </c>
    </row>
    <row r="25" spans="1:12">
      <c r="A25" t="str">
        <f>'Service Counts'!A24</f>
        <v>1-95 gal Bear Toter</v>
      </c>
      <c r="C25" s="26">
        <f>+'Service Counts'!I24</f>
        <v>83.25</v>
      </c>
      <c r="D25" s="57">
        <f>+'Service Counts'!G24</f>
        <v>42.6</v>
      </c>
      <c r="E25" s="5">
        <f t="shared" si="0"/>
        <v>3546.4500000000003</v>
      </c>
      <c r="F25" s="57">
        <f t="shared" ca="1" si="1"/>
        <v>45.460784468605482</v>
      </c>
      <c r="G25" s="48">
        <f t="shared" ca="1" si="2"/>
        <v>3784.6103070114063</v>
      </c>
      <c r="H25" s="9">
        <f t="shared" ca="1" si="3"/>
        <v>6.7154564990738921E-2</v>
      </c>
      <c r="I25" s="779">
        <f t="shared" ca="1" si="7"/>
        <v>45.460784468605482</v>
      </c>
      <c r="J25" s="48">
        <f t="shared" ca="1" si="4"/>
        <v>3784.6103070114063</v>
      </c>
      <c r="K25" s="9">
        <f t="shared" ca="1" si="5"/>
        <v>6.7154564990738921E-2</v>
      </c>
      <c r="L25" s="57">
        <f t="shared" si="6"/>
        <v>42.6</v>
      </c>
    </row>
    <row r="26" spans="1:12">
      <c r="A26" t="str">
        <f>'Service Counts'!A25</f>
        <v xml:space="preserve">Toter Removal </v>
      </c>
      <c r="C26" s="26">
        <f>+'Service Counts'!I25</f>
        <v>443</v>
      </c>
      <c r="D26" s="57">
        <f>+'Service Counts'!G25</f>
        <v>15.36</v>
      </c>
      <c r="E26" s="5">
        <f t="shared" si="0"/>
        <v>6804.48</v>
      </c>
      <c r="F26" s="57">
        <f t="shared" ca="1" si="1"/>
        <v>16.39149411825775</v>
      </c>
      <c r="G26" s="48">
        <f t="shared" ca="1" si="2"/>
        <v>7261.4318943881835</v>
      </c>
      <c r="H26" s="9">
        <f t="shared" ca="1" si="3"/>
        <v>6.7154564990739046E-2</v>
      </c>
      <c r="I26" s="779">
        <f t="shared" ca="1" si="7"/>
        <v>16.39149411825775</v>
      </c>
      <c r="J26" s="48">
        <f t="shared" ca="1" si="4"/>
        <v>7261.4318943881835</v>
      </c>
      <c r="K26" s="9">
        <f t="shared" ca="1" si="5"/>
        <v>6.7154564990739046E-2</v>
      </c>
      <c r="L26" s="57">
        <f t="shared" si="6"/>
        <v>15.36</v>
      </c>
    </row>
    <row r="27" spans="1:12">
      <c r="A27" t="str">
        <f>'Service Counts'!A26</f>
        <v>Extras</v>
      </c>
      <c r="C27" s="26">
        <f>+'Service Counts'!I26</f>
        <v>2246.5</v>
      </c>
      <c r="D27" s="57">
        <f>+'Service Counts'!G26</f>
        <v>4.45</v>
      </c>
      <c r="E27" s="5">
        <f t="shared" si="0"/>
        <v>9996.9250000000011</v>
      </c>
      <c r="F27" s="57">
        <f t="shared" ca="1" si="1"/>
        <v>4.7488378142087893</v>
      </c>
      <c r="G27" s="48">
        <f t="shared" ca="1" si="2"/>
        <v>10668.264149620045</v>
      </c>
      <c r="H27" s="9">
        <f t="shared" ca="1" si="3"/>
        <v>6.7154564990739032E-2</v>
      </c>
      <c r="I27" s="779">
        <f t="shared" ca="1" si="7"/>
        <v>4.7488378142087893</v>
      </c>
      <c r="J27" s="48">
        <f t="shared" ca="1" si="4"/>
        <v>10668.264149620045</v>
      </c>
      <c r="K27" s="9">
        <f t="shared" ca="1" si="5"/>
        <v>6.7154564990739032E-2</v>
      </c>
      <c r="L27" s="57">
        <f t="shared" si="6"/>
        <v>4.45</v>
      </c>
    </row>
    <row r="28" spans="1:12">
      <c r="A28" t="str">
        <f>'Service Counts'!A27</f>
        <v>Carry Out-Base</v>
      </c>
      <c r="C28" s="26">
        <f>+'Service Counts'!I27</f>
        <v>0</v>
      </c>
      <c r="D28" s="57">
        <f>+'Service Counts'!G27</f>
        <v>3.33</v>
      </c>
      <c r="E28" s="5">
        <f t="shared" ref="E28:E29" si="8">+C28*D28</f>
        <v>0</v>
      </c>
      <c r="F28" s="57">
        <f t="shared" ref="F28:F29" ca="1" si="9">+D28*(1+$H$4)</f>
        <v>3.5536247014191611</v>
      </c>
      <c r="G28" s="48">
        <f t="shared" ref="G28:G29" ca="1" si="10">+C28*F28</f>
        <v>0</v>
      </c>
      <c r="H28" s="9">
        <f t="shared" ref="H28:H29" si="11">+IF(C28=0,0,(G28-E28)/E28)</f>
        <v>0</v>
      </c>
      <c r="I28" s="779">
        <f t="shared" ca="1" si="7"/>
        <v>3.5536247014191611</v>
      </c>
      <c r="J28" s="48">
        <f t="shared" ref="J28:J29" ca="1" si="12">+C28*I28</f>
        <v>0</v>
      </c>
      <c r="K28" s="9">
        <f t="shared" ref="K28:K29" si="13">+IF(C28=0,0,(J28-E28)/E28)</f>
        <v>0</v>
      </c>
      <c r="L28" s="57">
        <f t="shared" ref="L28:L29" si="14">+D28*(1+$L$2)</f>
        <v>3.33</v>
      </c>
    </row>
    <row r="29" spans="1:12">
      <c r="A29" t="str">
        <f>'Service Counts'!A28</f>
        <v>Carry Out-Additional feet</v>
      </c>
      <c r="C29" s="26">
        <f>+'Service Counts'!I28</f>
        <v>0</v>
      </c>
      <c r="D29" s="57">
        <f>+'Service Counts'!G28</f>
        <v>2</v>
      </c>
      <c r="E29" s="5">
        <f t="shared" si="8"/>
        <v>0</v>
      </c>
      <c r="F29" s="57">
        <f t="shared" ca="1" si="9"/>
        <v>2.134309129981478</v>
      </c>
      <c r="G29" s="48">
        <f t="shared" ca="1" si="10"/>
        <v>0</v>
      </c>
      <c r="H29" s="9">
        <f t="shared" si="11"/>
        <v>0</v>
      </c>
      <c r="I29" s="779">
        <f t="shared" ca="1" si="7"/>
        <v>2.134309129981478</v>
      </c>
      <c r="J29" s="48">
        <f t="shared" ca="1" si="12"/>
        <v>0</v>
      </c>
      <c r="K29" s="9">
        <f t="shared" si="13"/>
        <v>0</v>
      </c>
      <c r="L29" s="57">
        <f t="shared" si="14"/>
        <v>2</v>
      </c>
    </row>
    <row r="30" spans="1:12">
      <c r="A30" t="str">
        <f>'Service Counts'!A29</f>
        <v>Drive In</v>
      </c>
      <c r="C30" s="26">
        <f>+'Service Counts'!I29</f>
        <v>107.25</v>
      </c>
      <c r="D30" s="57">
        <f>+'Service Counts'!G29</f>
        <v>14.23</v>
      </c>
      <c r="E30" s="5">
        <f t="shared" ref="E30:E47" si="15">+C30*D30</f>
        <v>1526.1675</v>
      </c>
      <c r="F30" s="57">
        <f t="shared" ref="F30:F47" ca="1" si="16">+D30*(1+$H$4)</f>
        <v>15.185609459818217</v>
      </c>
      <c r="G30" s="48">
        <f t="shared" ref="G30:G47" ca="1" si="17">+C30*F30</f>
        <v>1628.6566145655038</v>
      </c>
      <c r="H30" s="9">
        <f t="shared" ref="H30:H47" ca="1" si="18">+IF(C30=0,0,(G30-E30)/E30)</f>
        <v>6.7154564990739074E-2</v>
      </c>
      <c r="I30" s="779">
        <f t="shared" ca="1" si="7"/>
        <v>15.185609459818217</v>
      </c>
      <c r="J30" s="48">
        <f t="shared" ref="J30:J47" ca="1" si="19">+C30*I30</f>
        <v>1628.6566145655038</v>
      </c>
      <c r="K30" s="9">
        <f t="shared" ref="K30:K47" ca="1" si="20">+IF(C30=0,0,(J30-E30)/E30)</f>
        <v>6.7154564990739074E-2</v>
      </c>
      <c r="L30" s="57">
        <f t="shared" ref="L30:L47" si="21">+D30*(1+$L$2)</f>
        <v>14.23</v>
      </c>
    </row>
    <row r="31" spans="1:12">
      <c r="A31" t="str">
        <f>'Service Counts'!A30</f>
        <v>Drive In 250</v>
      </c>
      <c r="C31" s="26">
        <f>+'Service Counts'!I30</f>
        <v>12</v>
      </c>
      <c r="D31" s="57">
        <f>+'Service Counts'!G30</f>
        <v>26.11</v>
      </c>
      <c r="E31" s="5">
        <f>+C31*D31</f>
        <v>313.32</v>
      </c>
      <c r="F31" s="57">
        <f ca="1">+D31*(1+$H$4)</f>
        <v>27.863405691908195</v>
      </c>
      <c r="G31" s="48">
        <f ca="1">+C31*F31</f>
        <v>334.36086830289833</v>
      </c>
      <c r="H31" s="9">
        <f t="shared" ca="1" si="18"/>
        <v>6.7154564990738963E-2</v>
      </c>
      <c r="I31" s="779">
        <f t="shared" ca="1" si="7"/>
        <v>27.863405691908195</v>
      </c>
      <c r="J31" s="48">
        <f ca="1">+C31*I31</f>
        <v>334.36086830289833</v>
      </c>
      <c r="K31" s="9">
        <f ca="1">+IF(C31=0,0,(J31-E31)/E31)</f>
        <v>6.7154564990738963E-2</v>
      </c>
      <c r="L31" s="57">
        <f>+D31*(1+$L$2)</f>
        <v>26.11</v>
      </c>
    </row>
    <row r="32" spans="1:12">
      <c r="A32" t="str">
        <f>'Service Counts'!A31</f>
        <v>Loose Yd</v>
      </c>
      <c r="C32" s="26">
        <f>+'Service Counts'!I31</f>
        <v>897.25</v>
      </c>
      <c r="D32" s="57">
        <f>+'Service Counts'!G31</f>
        <v>22.94</v>
      </c>
      <c r="E32" s="5">
        <f t="shared" si="15"/>
        <v>20582.915000000001</v>
      </c>
      <c r="F32" s="57">
        <f t="shared" ca="1" si="16"/>
        <v>24.480525720887556</v>
      </c>
      <c r="G32" s="48">
        <f t="shared" ca="1" si="17"/>
        <v>21965.15170306636</v>
      </c>
      <c r="H32" s="9">
        <f t="shared" ca="1" si="18"/>
        <v>6.7154564990739116E-2</v>
      </c>
      <c r="I32" s="779">
        <f t="shared" ca="1" si="7"/>
        <v>24.480525720887556</v>
      </c>
      <c r="J32" s="48">
        <f t="shared" ca="1" si="19"/>
        <v>21965.15170306636</v>
      </c>
      <c r="K32" s="9">
        <f t="shared" ca="1" si="20"/>
        <v>6.7154564990739116E-2</v>
      </c>
      <c r="L32" s="57">
        <f t="shared" si="21"/>
        <v>22.94</v>
      </c>
    </row>
    <row r="33" spans="1:12">
      <c r="A33" t="str">
        <f>'Service Counts'!A32</f>
        <v xml:space="preserve">Drums </v>
      </c>
      <c r="C33" s="26">
        <f>+'Service Counts'!I32</f>
        <v>0</v>
      </c>
      <c r="D33" s="57">
        <f>+'Service Counts'!G32</f>
        <v>0</v>
      </c>
      <c r="E33" s="38">
        <f t="shared" si="15"/>
        <v>0</v>
      </c>
      <c r="F33" s="57">
        <f t="shared" ca="1" si="16"/>
        <v>0</v>
      </c>
      <c r="G33" s="52">
        <f t="shared" ca="1" si="17"/>
        <v>0</v>
      </c>
      <c r="H33" s="9">
        <f t="shared" si="18"/>
        <v>0</v>
      </c>
      <c r="I33" s="779">
        <f t="shared" ca="1" si="7"/>
        <v>0</v>
      </c>
      <c r="J33" s="52">
        <f t="shared" ca="1" si="19"/>
        <v>0</v>
      </c>
      <c r="K33" s="9">
        <f t="shared" si="20"/>
        <v>0</v>
      </c>
      <c r="L33" s="57">
        <f t="shared" si="21"/>
        <v>0</v>
      </c>
    </row>
    <row r="34" spans="1:12">
      <c r="C34" s="26"/>
      <c r="D34" s="57"/>
      <c r="E34" s="51">
        <f>SUM(E11:E33)</f>
        <v>852008.8764999999</v>
      </c>
      <c r="G34" s="51">
        <f ca="1">SUM(G11:G33)</f>
        <v>909225.16196960583</v>
      </c>
      <c r="I34" s="780"/>
      <c r="J34" s="51">
        <f ca="1">SUM(J11:J33)</f>
        <v>909225.16196960583</v>
      </c>
      <c r="K34" s="91">
        <f ca="1">(+J34-E34)/E34</f>
        <v>6.7154564990739199E-2</v>
      </c>
    </row>
    <row r="35" spans="1:12">
      <c r="C35" s="26"/>
      <c r="D35" s="57"/>
      <c r="E35" s="5"/>
      <c r="F35" s="57"/>
      <c r="G35" s="48"/>
      <c r="H35" s="9"/>
      <c r="I35" s="779"/>
      <c r="J35" s="48"/>
      <c r="K35" s="9"/>
      <c r="L35" s="57"/>
    </row>
    <row r="36" spans="1:12">
      <c r="C36" s="26"/>
      <c r="D36" s="57"/>
      <c r="E36" s="5"/>
      <c r="F36" s="57"/>
      <c r="G36" s="48"/>
      <c r="H36" s="9"/>
      <c r="I36" s="779"/>
      <c r="J36" s="48"/>
      <c r="K36" s="9"/>
      <c r="L36" s="57"/>
    </row>
    <row r="37" spans="1:12">
      <c r="A37" t="str">
        <f>'Service Counts'!A34</f>
        <v>Commercial:</v>
      </c>
      <c r="C37" s="26"/>
      <c r="D37" s="57"/>
      <c r="E37" s="5"/>
      <c r="F37" s="57"/>
      <c r="G37" s="48"/>
      <c r="H37" s="9"/>
      <c r="I37" s="779"/>
      <c r="J37" s="48"/>
      <c r="K37" s="9"/>
      <c r="L37" s="57"/>
    </row>
    <row r="38" spans="1:12">
      <c r="A38" t="str">
        <f>'Service Counts'!A35</f>
        <v>1 Yard</v>
      </c>
      <c r="C38" s="26">
        <f>+'Service Counts'!I35</f>
        <v>7772</v>
      </c>
      <c r="D38" s="57">
        <f>+'Service Counts'!G35</f>
        <v>18.23</v>
      </c>
      <c r="E38" s="5">
        <f t="shared" si="15"/>
        <v>141683.56</v>
      </c>
      <c r="F38" s="57">
        <f t="shared" ca="1" si="16"/>
        <v>19.454227719781173</v>
      </c>
      <c r="G38" s="48">
        <f t="shared" ca="1" si="17"/>
        <v>151198.25783813928</v>
      </c>
      <c r="H38" s="9">
        <f t="shared" ca="1" si="18"/>
        <v>6.7154564990739102E-2</v>
      </c>
      <c r="I38" s="779">
        <f ca="1">+F38</f>
        <v>19.454227719781173</v>
      </c>
      <c r="J38" s="48">
        <f t="shared" ca="1" si="19"/>
        <v>151198.25783813928</v>
      </c>
      <c r="K38" s="9">
        <f t="shared" ca="1" si="20"/>
        <v>6.7154564990739102E-2</v>
      </c>
      <c r="L38" s="57">
        <f t="shared" si="21"/>
        <v>18.23</v>
      </c>
    </row>
    <row r="39" spans="1:12">
      <c r="A39" t="str">
        <f>'Service Counts'!A36</f>
        <v>1 Yard Bear</v>
      </c>
      <c r="C39" s="26">
        <f>+'Service Counts'!I36</f>
        <v>698</v>
      </c>
      <c r="D39" s="57">
        <f>+'Service Counts'!G36</f>
        <v>22.94</v>
      </c>
      <c r="E39" s="5">
        <f t="shared" si="15"/>
        <v>16012.12</v>
      </c>
      <c r="F39" s="57">
        <f t="shared" ca="1" si="16"/>
        <v>24.480525720887556</v>
      </c>
      <c r="G39" s="48">
        <f t="shared" ca="1" si="17"/>
        <v>17087.406953179514</v>
      </c>
      <c r="H39" s="9">
        <f t="shared" ca="1" si="18"/>
        <v>6.7154564990739088E-2</v>
      </c>
      <c r="I39" s="779">
        <f t="shared" ref="I39:I53" ca="1" si="22">+F39</f>
        <v>24.480525720887556</v>
      </c>
      <c r="J39" s="48">
        <f t="shared" ca="1" si="19"/>
        <v>17087.406953179514</v>
      </c>
      <c r="K39" s="9">
        <f t="shared" ca="1" si="20"/>
        <v>6.7154564990739088E-2</v>
      </c>
      <c r="L39" s="57">
        <f t="shared" si="21"/>
        <v>22.94</v>
      </c>
    </row>
    <row r="40" spans="1:12">
      <c r="A40" t="str">
        <f>'Service Counts'!A37</f>
        <v>1.5 Yard</v>
      </c>
      <c r="C40" s="26">
        <f>+'Service Counts'!I37</f>
        <v>2586</v>
      </c>
      <c r="D40" s="57">
        <f>+'Service Counts'!G37</f>
        <v>23.7</v>
      </c>
      <c r="E40" s="5">
        <f t="shared" si="15"/>
        <v>61288.2</v>
      </c>
      <c r="F40" s="57">
        <f t="shared" ca="1" si="16"/>
        <v>25.291563190280513</v>
      </c>
      <c r="G40" s="48">
        <f t="shared" ca="1" si="17"/>
        <v>65403.982410065408</v>
      </c>
      <c r="H40" s="9">
        <f t="shared" ca="1" si="18"/>
        <v>6.7154564990739019E-2</v>
      </c>
      <c r="I40" s="779">
        <f t="shared" ca="1" si="22"/>
        <v>25.291563190280513</v>
      </c>
      <c r="J40" s="48">
        <f t="shared" ca="1" si="19"/>
        <v>65403.982410065408</v>
      </c>
      <c r="K40" s="9">
        <f t="shared" ca="1" si="20"/>
        <v>6.7154564990739019E-2</v>
      </c>
      <c r="L40" s="57">
        <f t="shared" si="21"/>
        <v>23.7</v>
      </c>
    </row>
    <row r="41" spans="1:12">
      <c r="A41" t="str">
        <f>'Service Counts'!A38</f>
        <v>2 Yard</v>
      </c>
      <c r="C41" s="26">
        <f>+'Service Counts'!I38</f>
        <v>8261</v>
      </c>
      <c r="D41" s="57">
        <f>+'Service Counts'!G38</f>
        <v>29.18</v>
      </c>
      <c r="E41" s="5">
        <f t="shared" si="15"/>
        <v>241055.98</v>
      </c>
      <c r="F41" s="57">
        <f t="shared" ca="1" si="16"/>
        <v>31.139570206429763</v>
      </c>
      <c r="G41" s="48">
        <f t="shared" ca="1" si="17"/>
        <v>257243.98947531628</v>
      </c>
      <c r="H41" s="9">
        <f t="shared" ca="1" si="18"/>
        <v>6.7154564990738949E-2</v>
      </c>
      <c r="I41" s="779">
        <f t="shared" ca="1" si="22"/>
        <v>31.139570206429763</v>
      </c>
      <c r="J41" s="48">
        <f t="shared" ca="1" si="19"/>
        <v>257243.98947531628</v>
      </c>
      <c r="K41" s="9">
        <f t="shared" ca="1" si="20"/>
        <v>6.7154564990738949E-2</v>
      </c>
      <c r="L41" s="57">
        <f t="shared" si="21"/>
        <v>29.18</v>
      </c>
    </row>
    <row r="42" spans="1:12">
      <c r="A42" t="str">
        <f>'Service Counts'!A39</f>
        <v>2 yard Bear</v>
      </c>
      <c r="C42" s="26">
        <f>+'Service Counts'!I39</f>
        <v>251</v>
      </c>
      <c r="D42" s="57">
        <f>+'Service Counts'!G39</f>
        <v>35.380000000000003</v>
      </c>
      <c r="E42" s="5">
        <f t="shared" si="15"/>
        <v>8880.380000000001</v>
      </c>
      <c r="F42" s="57">
        <f t="shared" ca="1" si="16"/>
        <v>37.755928509372346</v>
      </c>
      <c r="G42" s="48">
        <f t="shared" ca="1" si="17"/>
        <v>9476.7380558524583</v>
      </c>
      <c r="H42" s="9">
        <f t="shared" ca="1" si="18"/>
        <v>6.7154564990738824E-2</v>
      </c>
      <c r="I42" s="779">
        <f t="shared" ca="1" si="22"/>
        <v>37.755928509372346</v>
      </c>
      <c r="J42" s="48">
        <f t="shared" ca="1" si="19"/>
        <v>9476.7380558524583</v>
      </c>
      <c r="K42" s="9">
        <f t="shared" ca="1" si="20"/>
        <v>6.7154564990738824E-2</v>
      </c>
      <c r="L42" s="57">
        <f t="shared" si="21"/>
        <v>35.380000000000003</v>
      </c>
    </row>
    <row r="43" spans="1:12">
      <c r="A43" t="str">
        <f>'Service Counts'!A40</f>
        <v>3 Yard</v>
      </c>
      <c r="C43" s="26">
        <f>+'Service Counts'!I40</f>
        <v>694</v>
      </c>
      <c r="D43" s="57">
        <f>+'Service Counts'!G40</f>
        <v>40.909999999999997</v>
      </c>
      <c r="E43" s="5">
        <f t="shared" si="15"/>
        <v>28391.539999999997</v>
      </c>
      <c r="F43" s="57">
        <f t="shared" ca="1" si="16"/>
        <v>43.65729325377113</v>
      </c>
      <c r="G43" s="48">
        <f t="shared" ca="1" si="17"/>
        <v>30298.161518117166</v>
      </c>
      <c r="H43" s="9">
        <f t="shared" ca="1" si="18"/>
        <v>6.7154564990739088E-2</v>
      </c>
      <c r="I43" s="779">
        <f t="shared" ca="1" si="22"/>
        <v>43.65729325377113</v>
      </c>
      <c r="J43" s="48">
        <f t="shared" ca="1" si="19"/>
        <v>30298.161518117166</v>
      </c>
      <c r="K43" s="9">
        <f t="shared" ca="1" si="20"/>
        <v>6.7154564990739088E-2</v>
      </c>
      <c r="L43" s="57">
        <f t="shared" si="21"/>
        <v>40.909999999999997</v>
      </c>
    </row>
    <row r="44" spans="1:12">
      <c r="A44" t="str">
        <f>'Service Counts'!A41</f>
        <v>4 Yard</v>
      </c>
      <c r="C44" s="26">
        <f>+'Service Counts'!I41</f>
        <v>2200</v>
      </c>
      <c r="D44" s="57">
        <f>+'Service Counts'!G41</f>
        <v>53.86</v>
      </c>
      <c r="E44" s="5">
        <f t="shared" si="15"/>
        <v>118492</v>
      </c>
      <c r="F44" s="57">
        <f t="shared" ca="1" si="16"/>
        <v>57.476944870401205</v>
      </c>
      <c r="G44" s="48">
        <f t="shared" ca="1" si="17"/>
        <v>126449.27871488265</v>
      </c>
      <c r="H44" s="9">
        <f t="shared" ca="1" si="18"/>
        <v>6.7154564990739005E-2</v>
      </c>
      <c r="I44" s="779">
        <f t="shared" ca="1" si="22"/>
        <v>57.476944870401205</v>
      </c>
      <c r="J44" s="48">
        <f t="shared" ca="1" si="19"/>
        <v>126449.27871488265</v>
      </c>
      <c r="K44" s="9">
        <f t="shared" ca="1" si="20"/>
        <v>6.7154564990739005E-2</v>
      </c>
      <c r="L44" s="57">
        <f t="shared" si="21"/>
        <v>53.86</v>
      </c>
    </row>
    <row r="45" spans="1:12">
      <c r="A45" t="str">
        <f>'Service Counts'!A42</f>
        <v>6 Yard</v>
      </c>
      <c r="C45" s="26">
        <f>+'Service Counts'!I42</f>
        <v>2192</v>
      </c>
      <c r="D45" s="57">
        <f>+'Service Counts'!G42</f>
        <v>79.099999999999994</v>
      </c>
      <c r="E45" s="5">
        <f t="shared" si="15"/>
        <v>173387.19999999998</v>
      </c>
      <c r="F45" s="57">
        <f t="shared" ca="1" si="16"/>
        <v>84.411926090767452</v>
      </c>
      <c r="G45" s="48">
        <f t="shared" ca="1" si="17"/>
        <v>185030.94199096225</v>
      </c>
      <c r="H45" s="9">
        <f t="shared" ca="1" si="18"/>
        <v>6.715456499073906E-2</v>
      </c>
      <c r="I45" s="779">
        <f t="shared" ca="1" si="22"/>
        <v>84.411926090767452</v>
      </c>
      <c r="J45" s="48">
        <f t="shared" ca="1" si="19"/>
        <v>185030.94199096225</v>
      </c>
      <c r="K45" s="9">
        <f t="shared" ca="1" si="20"/>
        <v>6.715456499073906E-2</v>
      </c>
      <c r="L45" s="57">
        <f t="shared" si="21"/>
        <v>79.099999999999994</v>
      </c>
    </row>
    <row r="46" spans="1:12">
      <c r="A46" t="str">
        <f>'Service Counts'!A43</f>
        <v>1 Yard Delivery</v>
      </c>
      <c r="C46" s="26">
        <f>+'Service Counts'!I43</f>
        <v>73</v>
      </c>
      <c r="D46" s="57">
        <f>+'Service Counts'!G43</f>
        <v>10.39</v>
      </c>
      <c r="E46" s="5">
        <f t="shared" si="15"/>
        <v>758.47</v>
      </c>
      <c r="F46" s="57">
        <f t="shared" ca="1" si="16"/>
        <v>11.087735930253778</v>
      </c>
      <c r="G46" s="48">
        <f t="shared" ca="1" si="17"/>
        <v>809.40472290852586</v>
      </c>
      <c r="H46" s="9">
        <f t="shared" ca="1" si="18"/>
        <v>6.7154564990739019E-2</v>
      </c>
      <c r="I46" s="779">
        <f t="shared" ca="1" si="22"/>
        <v>11.087735930253778</v>
      </c>
      <c r="J46" s="48">
        <f t="shared" ca="1" si="19"/>
        <v>809.40472290852586</v>
      </c>
      <c r="K46" s="9">
        <f t="shared" ca="1" si="20"/>
        <v>6.7154564990739019E-2</v>
      </c>
      <c r="L46" s="57">
        <f t="shared" si="21"/>
        <v>10.39</v>
      </c>
    </row>
    <row r="47" spans="1:12">
      <c r="A47" t="str">
        <f>'Service Counts'!A44</f>
        <v>1.5 Yard Delivery</v>
      </c>
      <c r="C47" s="26">
        <f>+'Service Counts'!I44</f>
        <v>11</v>
      </c>
      <c r="D47" s="57">
        <f>+'Service Counts'!G44</f>
        <v>13.62</v>
      </c>
      <c r="E47" s="5">
        <f t="shared" si="15"/>
        <v>149.82</v>
      </c>
      <c r="F47" s="57">
        <f t="shared" ca="1" si="16"/>
        <v>14.534645175173864</v>
      </c>
      <c r="G47" s="48">
        <f t="shared" ca="1" si="17"/>
        <v>159.88109692691251</v>
      </c>
      <c r="H47" s="9">
        <f t="shared" ca="1" si="18"/>
        <v>6.7154564990738977E-2</v>
      </c>
      <c r="I47" s="779">
        <f t="shared" ca="1" si="22"/>
        <v>14.534645175173864</v>
      </c>
      <c r="J47" s="48">
        <f t="shared" ca="1" si="19"/>
        <v>159.88109692691251</v>
      </c>
      <c r="K47" s="9">
        <f t="shared" ca="1" si="20"/>
        <v>6.7154564990738977E-2</v>
      </c>
      <c r="L47" s="57">
        <f t="shared" si="21"/>
        <v>13.62</v>
      </c>
    </row>
    <row r="48" spans="1:12">
      <c r="A48" t="str">
        <f>'Service Counts'!A45</f>
        <v>2 Yard Delivery</v>
      </c>
      <c r="C48" s="26">
        <f>+'Service Counts'!I45</f>
        <v>46</v>
      </c>
      <c r="D48" s="57">
        <f>+'Service Counts'!G45</f>
        <v>18.02</v>
      </c>
      <c r="E48" s="5">
        <f t="shared" ref="E48:E49" si="23">+C48*D48</f>
        <v>828.92</v>
      </c>
      <c r="F48" s="57">
        <f t="shared" ref="F48:F49" ca="1" si="24">+D48*(1+$H$4)</f>
        <v>19.230125261133118</v>
      </c>
      <c r="G48" s="48">
        <f t="shared" ref="G48:G49" ca="1" si="25">+C48*F48</f>
        <v>884.58576201212338</v>
      </c>
      <c r="H48" s="9">
        <f t="shared" ref="H48:H49" ca="1" si="26">+IF(C48=0,0,(G48-E48)/E48)</f>
        <v>6.715456499073906E-2</v>
      </c>
      <c r="I48" s="779">
        <f t="shared" ca="1" si="22"/>
        <v>19.230125261133118</v>
      </c>
      <c r="J48" s="48">
        <f t="shared" ref="J48:J49" ca="1" si="27">+C48*I48</f>
        <v>884.58576201212338</v>
      </c>
      <c r="K48" s="9">
        <f t="shared" ref="K48:K49" ca="1" si="28">+IF(C48=0,0,(J48-E48)/E48)</f>
        <v>6.715456499073906E-2</v>
      </c>
      <c r="L48" s="57">
        <f t="shared" ref="L48:L49" si="29">+D48*(1+$L$2)</f>
        <v>18.02</v>
      </c>
    </row>
    <row r="49" spans="1:12">
      <c r="A49" t="str">
        <f>'Service Counts'!A46</f>
        <v>3 Yard Delivery</v>
      </c>
      <c r="C49" s="26">
        <f>+'Service Counts'!I46</f>
        <v>1</v>
      </c>
      <c r="D49" s="57">
        <f>+'Service Counts'!G46</f>
        <v>19.920000000000002</v>
      </c>
      <c r="E49" s="5">
        <f t="shared" si="23"/>
        <v>19.920000000000002</v>
      </c>
      <c r="F49" s="57">
        <f t="shared" ca="1" si="24"/>
        <v>21.257718934615522</v>
      </c>
      <c r="G49" s="48">
        <f t="shared" ca="1" si="25"/>
        <v>21.257718934615522</v>
      </c>
      <c r="H49" s="9">
        <f t="shared" ca="1" si="26"/>
        <v>6.7154564990738935E-2</v>
      </c>
      <c r="I49" s="779">
        <f t="shared" ca="1" si="22"/>
        <v>21.257718934615522</v>
      </c>
      <c r="J49" s="48">
        <f t="shared" ca="1" si="27"/>
        <v>21.257718934615522</v>
      </c>
      <c r="K49" s="9">
        <f t="shared" ca="1" si="28"/>
        <v>6.7154564990738935E-2</v>
      </c>
      <c r="L49" s="57">
        <f t="shared" si="29"/>
        <v>19.920000000000002</v>
      </c>
    </row>
    <row r="50" spans="1:12">
      <c r="A50" t="str">
        <f>'Service Counts'!A47</f>
        <v>4 Yard Delivery</v>
      </c>
      <c r="C50" s="26">
        <f>+'Service Counts'!I47</f>
        <v>17</v>
      </c>
      <c r="D50" s="57">
        <f>+'Service Counts'!G47</f>
        <v>19.920000000000002</v>
      </c>
      <c r="E50" s="5">
        <f t="shared" ref="E50:E62" si="30">+C50*D50</f>
        <v>338.64000000000004</v>
      </c>
      <c r="F50" s="57">
        <f t="shared" ref="F50:F62" ca="1" si="31">+D50*(1+$H$4)</f>
        <v>21.257718934615522</v>
      </c>
      <c r="G50" s="48">
        <f t="shared" ref="G50:G62" ca="1" si="32">+C50*F50</f>
        <v>361.38122188846387</v>
      </c>
      <c r="H50" s="9">
        <f t="shared" ref="H50:H62" ca="1" si="33">+IF(C50=0,0,(G50-E50)/E50)</f>
        <v>6.7154564990738908E-2</v>
      </c>
      <c r="I50" s="779">
        <f t="shared" ca="1" si="22"/>
        <v>21.257718934615522</v>
      </c>
      <c r="J50" s="48">
        <f t="shared" ref="J50:J62" ca="1" si="34">+C50*I50</f>
        <v>361.38122188846387</v>
      </c>
      <c r="K50" s="9">
        <f t="shared" ref="K50:K62" ca="1" si="35">+IF(C50=0,0,(J50-E50)/E50)</f>
        <v>6.7154564990738908E-2</v>
      </c>
      <c r="L50" s="57">
        <f t="shared" ref="L50:L62" si="36">+D50*(1+$L$2)</f>
        <v>19.920000000000002</v>
      </c>
    </row>
    <row r="51" spans="1:12">
      <c r="A51" t="str">
        <f>'Service Counts'!A48</f>
        <v>6 Yard Delivery</v>
      </c>
      <c r="C51" s="26">
        <f>+'Service Counts'!I48</f>
        <v>6</v>
      </c>
      <c r="D51" s="57">
        <f>+'Service Counts'!G48</f>
        <v>22.94</v>
      </c>
      <c r="E51" s="5">
        <f t="shared" si="30"/>
        <v>137.64000000000001</v>
      </c>
      <c r="F51" s="57">
        <f t="shared" ca="1" si="31"/>
        <v>24.480525720887556</v>
      </c>
      <c r="G51" s="48">
        <f t="shared" ca="1" si="32"/>
        <v>146.88315432532534</v>
      </c>
      <c r="H51" s="9">
        <f t="shared" ca="1" si="33"/>
        <v>6.7154564990739032E-2</v>
      </c>
      <c r="I51" s="779">
        <f t="shared" ca="1" si="22"/>
        <v>24.480525720887556</v>
      </c>
      <c r="J51" s="48">
        <f t="shared" ca="1" si="34"/>
        <v>146.88315432532534</v>
      </c>
      <c r="K51" s="9">
        <f t="shared" ca="1" si="35"/>
        <v>6.7154564990739032E-2</v>
      </c>
      <c r="L51" s="57">
        <f t="shared" si="36"/>
        <v>22.94</v>
      </c>
    </row>
    <row r="52" spans="1:12">
      <c r="A52" t="str">
        <f>'Service Counts'!A49</f>
        <v>Rollout</v>
      </c>
      <c r="C52" s="26">
        <f>+'Service Counts'!I49</f>
        <v>110</v>
      </c>
      <c r="D52" s="57">
        <f>+'Service Counts'!G49</f>
        <v>2.92</v>
      </c>
      <c r="E52" s="5">
        <f t="shared" si="30"/>
        <v>321.2</v>
      </c>
      <c r="F52" s="57">
        <f t="shared" ca="1" si="31"/>
        <v>3.1160913297729578</v>
      </c>
      <c r="G52" s="48">
        <f t="shared" ca="1" si="32"/>
        <v>342.77004627502538</v>
      </c>
      <c r="H52" s="9">
        <f t="shared" ca="1" si="33"/>
        <v>6.7154564990739074E-2</v>
      </c>
      <c r="I52" s="779">
        <f t="shared" ca="1" si="22"/>
        <v>3.1160913297729578</v>
      </c>
      <c r="J52" s="48">
        <f t="shared" ca="1" si="34"/>
        <v>342.77004627502538</v>
      </c>
      <c r="K52" s="9">
        <f t="shared" ca="1" si="35"/>
        <v>6.7154564990739074E-2</v>
      </c>
      <c r="L52" s="57">
        <f t="shared" si="36"/>
        <v>2.92</v>
      </c>
    </row>
    <row r="53" spans="1:12">
      <c r="A53" t="str">
        <f>'Service Counts'!A50</f>
        <v>Locking</v>
      </c>
      <c r="C53" s="26">
        <f>+'Service Counts'!I50</f>
        <v>5145</v>
      </c>
      <c r="D53" s="57">
        <f>+'Service Counts'!G50</f>
        <v>1.69</v>
      </c>
      <c r="E53" s="38">
        <f t="shared" si="30"/>
        <v>8695.0499999999993</v>
      </c>
      <c r="F53" s="57">
        <f t="shared" ca="1" si="31"/>
        <v>1.8034912148343489</v>
      </c>
      <c r="G53" s="52">
        <f t="shared" ca="1" si="32"/>
        <v>9278.9623003227262</v>
      </c>
      <c r="H53" s="9">
        <f t="shared" ca="1" si="33"/>
        <v>6.7154564990739199E-2</v>
      </c>
      <c r="I53" s="779">
        <f t="shared" ca="1" si="22"/>
        <v>1.8034912148343489</v>
      </c>
      <c r="J53" s="52">
        <f t="shared" ca="1" si="34"/>
        <v>9278.9623003227262</v>
      </c>
      <c r="K53" s="9">
        <f t="shared" ca="1" si="35"/>
        <v>6.7154564990739199E-2</v>
      </c>
      <c r="L53" s="57">
        <f t="shared" si="36"/>
        <v>1.69</v>
      </c>
    </row>
    <row r="54" spans="1:12">
      <c r="C54" s="26"/>
      <c r="D54" s="57"/>
      <c r="E54" s="5">
        <f>SUM(E38:E53)</f>
        <v>800440.64</v>
      </c>
      <c r="G54" s="5">
        <f ca="1">SUM(G38:G53)</f>
        <v>854193.88298010861</v>
      </c>
      <c r="I54" s="780"/>
      <c r="J54" s="5">
        <f ca="1">SUM(J38:J53)</f>
        <v>854193.88298010861</v>
      </c>
      <c r="K54" s="91">
        <f ca="1">(+J54-E54)/E54</f>
        <v>6.7154564990738852E-2</v>
      </c>
      <c r="L54" s="57"/>
    </row>
    <row r="55" spans="1:12">
      <c r="C55" s="26"/>
      <c r="D55" s="57"/>
      <c r="E55" s="5"/>
      <c r="G55" s="5"/>
      <c r="I55" s="780"/>
      <c r="J55" s="5"/>
      <c r="K55" s="91"/>
      <c r="L55" s="57"/>
    </row>
    <row r="56" spans="1:12">
      <c r="A56" t="str">
        <f>'Service Counts'!A52</f>
        <v>Drop Boxes: All are temporary</v>
      </c>
      <c r="C56" s="26"/>
      <c r="D56" s="57"/>
      <c r="E56" s="5"/>
      <c r="F56" s="57"/>
      <c r="G56" s="48"/>
      <c r="H56" s="9"/>
      <c r="I56" s="779"/>
      <c r="J56" s="48"/>
      <c r="K56" s="9"/>
      <c r="L56" s="57"/>
    </row>
    <row r="57" spans="1:12">
      <c r="A57" t="str">
        <f>'Service Counts'!A53</f>
        <v>10 Yard Haul</v>
      </c>
      <c r="C57" s="26">
        <f>+'Service Counts'!I53</f>
        <v>56</v>
      </c>
      <c r="D57" s="57">
        <f>+'Service Counts'!G53</f>
        <v>117.24</v>
      </c>
      <c r="E57" s="5">
        <f t="shared" si="30"/>
        <v>6565.44</v>
      </c>
      <c r="F57" s="57">
        <f t="shared" ca="1" si="31"/>
        <v>125.11320119951424</v>
      </c>
      <c r="G57" s="48">
        <f t="shared" ca="1" si="32"/>
        <v>7006.339267172797</v>
      </c>
      <c r="H57" s="9">
        <f t="shared" ca="1" si="33"/>
        <v>6.7154564990738991E-2</v>
      </c>
      <c r="I57" s="779">
        <f ca="1">+F57</f>
        <v>125.11320119951424</v>
      </c>
      <c r="J57" s="48">
        <f t="shared" ca="1" si="34"/>
        <v>7006.339267172797</v>
      </c>
      <c r="K57" s="9">
        <f t="shared" ca="1" si="35"/>
        <v>6.7154564990738991E-2</v>
      </c>
      <c r="L57" s="57">
        <f t="shared" si="36"/>
        <v>117.24</v>
      </c>
    </row>
    <row r="58" spans="1:12">
      <c r="A58" t="str">
        <f>'Service Counts'!A54</f>
        <v>20 Yard Haul</v>
      </c>
      <c r="C58" s="26">
        <f>+'Service Counts'!I54</f>
        <v>111</v>
      </c>
      <c r="D58" s="57">
        <f>+'Service Counts'!G54</f>
        <v>142.84</v>
      </c>
      <c r="E58" s="5">
        <f t="shared" si="30"/>
        <v>15855.24</v>
      </c>
      <c r="F58" s="57">
        <f t="shared" ca="1" si="31"/>
        <v>152.43235806327718</v>
      </c>
      <c r="G58" s="48">
        <f t="shared" ca="1" si="32"/>
        <v>16919.991745023766</v>
      </c>
      <c r="H58" s="9">
        <f t="shared" ca="1" si="33"/>
        <v>6.7154564990739116E-2</v>
      </c>
      <c r="I58" s="779">
        <f t="shared" ref="I58:I69" ca="1" si="37">+F58</f>
        <v>152.43235806327718</v>
      </c>
      <c r="J58" s="48">
        <f t="shared" ca="1" si="34"/>
        <v>16919.991745023766</v>
      </c>
      <c r="K58" s="9">
        <f t="shared" ca="1" si="35"/>
        <v>6.7154564990739116E-2</v>
      </c>
      <c r="L58" s="57">
        <f t="shared" si="36"/>
        <v>142.84</v>
      </c>
    </row>
    <row r="59" spans="1:12">
      <c r="A59" t="str">
        <f>'Service Counts'!A55</f>
        <v>30 Yard Haul</v>
      </c>
      <c r="C59" s="26">
        <f>+'Service Counts'!I55</f>
        <v>288</v>
      </c>
      <c r="D59" s="57">
        <f>+'Service Counts'!G55</f>
        <v>154.11000000000001</v>
      </c>
      <c r="E59" s="5">
        <f t="shared" si="30"/>
        <v>44383.680000000008</v>
      </c>
      <c r="F59" s="57">
        <f t="shared" ca="1" si="31"/>
        <v>164.45919001072281</v>
      </c>
      <c r="G59" s="48">
        <f t="shared" ca="1" si="32"/>
        <v>47364.246723088167</v>
      </c>
      <c r="H59" s="9">
        <f t="shared" ca="1" si="33"/>
        <v>6.7154564990738908E-2</v>
      </c>
      <c r="I59" s="779">
        <f t="shared" ca="1" si="37"/>
        <v>164.45919001072281</v>
      </c>
      <c r="J59" s="48">
        <f t="shared" ca="1" si="34"/>
        <v>47364.246723088167</v>
      </c>
      <c r="K59" s="9">
        <f t="shared" ca="1" si="35"/>
        <v>6.7154564990738908E-2</v>
      </c>
      <c r="L59" s="57">
        <f t="shared" si="36"/>
        <v>154.11000000000001</v>
      </c>
    </row>
    <row r="60" spans="1:12">
      <c r="A60" t="str">
        <f>'Service Counts'!A56</f>
        <v>10 Yd Daily Rent</v>
      </c>
      <c r="C60" s="26">
        <f>+'Service Counts'!I56</f>
        <v>1311</v>
      </c>
      <c r="D60" s="57">
        <f>+'Service Counts'!G56</f>
        <v>3.43</v>
      </c>
      <c r="E60" s="5">
        <f t="shared" si="30"/>
        <v>4496.7300000000005</v>
      </c>
      <c r="F60" s="57">
        <f t="shared" ca="1" si="31"/>
        <v>3.6603401579182351</v>
      </c>
      <c r="G60" s="48">
        <f t="shared" ca="1" si="32"/>
        <v>4798.7059470308059</v>
      </c>
      <c r="H60" s="9">
        <f t="shared" ca="1" si="33"/>
        <v>6.7154564990738908E-2</v>
      </c>
      <c r="I60" s="779">
        <f t="shared" ca="1" si="37"/>
        <v>3.6603401579182351</v>
      </c>
      <c r="J60" s="48">
        <f t="shared" ca="1" si="34"/>
        <v>4798.7059470308059</v>
      </c>
      <c r="K60" s="9">
        <f t="shared" ca="1" si="35"/>
        <v>6.7154564990738908E-2</v>
      </c>
      <c r="L60" s="57">
        <f t="shared" si="36"/>
        <v>3.43</v>
      </c>
    </row>
    <row r="61" spans="1:12">
      <c r="A61" t="str">
        <f>'Service Counts'!A57</f>
        <v>20 Yd Daily Rent</v>
      </c>
      <c r="C61" s="26">
        <f>+'Service Counts'!I57</f>
        <v>3697</v>
      </c>
      <c r="D61" s="57">
        <f>+'Service Counts'!G57</f>
        <v>3.94</v>
      </c>
      <c r="E61" s="5">
        <f t="shared" si="30"/>
        <v>14566.18</v>
      </c>
      <c r="F61" s="57">
        <f t="shared" ca="1" si="31"/>
        <v>4.2045889860635119</v>
      </c>
      <c r="G61" s="48">
        <f t="shared" ca="1" si="32"/>
        <v>15544.365481476803</v>
      </c>
      <c r="H61" s="9">
        <f t="shared" ca="1" si="33"/>
        <v>6.7154564990739032E-2</v>
      </c>
      <c r="I61" s="779">
        <f t="shared" ca="1" si="37"/>
        <v>4.2045889860635119</v>
      </c>
      <c r="J61" s="48">
        <f t="shared" ca="1" si="34"/>
        <v>15544.365481476803</v>
      </c>
      <c r="K61" s="9">
        <f t="shared" ca="1" si="35"/>
        <v>6.7154564990739032E-2</v>
      </c>
      <c r="L61" s="57">
        <f t="shared" si="36"/>
        <v>3.94</v>
      </c>
    </row>
    <row r="62" spans="1:12">
      <c r="A62" t="str">
        <f>'Service Counts'!A58</f>
        <v>30 Yd Daily Rent</v>
      </c>
      <c r="C62" s="26">
        <f>+'Service Counts'!I58</f>
        <v>3642</v>
      </c>
      <c r="D62" s="57">
        <f>+'Service Counts'!G58</f>
        <v>4.71</v>
      </c>
      <c r="E62" s="5">
        <f t="shared" si="30"/>
        <v>17153.82</v>
      </c>
      <c r="F62" s="57">
        <f t="shared" ca="1" si="31"/>
        <v>5.0262980011063805</v>
      </c>
      <c r="G62" s="48">
        <f t="shared" ca="1" si="32"/>
        <v>18305.777320029436</v>
      </c>
      <c r="H62" s="9">
        <f t="shared" ca="1" si="33"/>
        <v>6.7154564990738866E-2</v>
      </c>
      <c r="I62" s="779">
        <f t="shared" ca="1" si="37"/>
        <v>5.0262980011063805</v>
      </c>
      <c r="J62" s="48">
        <f t="shared" ca="1" si="34"/>
        <v>18305.777320029436</v>
      </c>
      <c r="K62" s="9">
        <f t="shared" ca="1" si="35"/>
        <v>6.7154564990738866E-2</v>
      </c>
      <c r="L62" s="57">
        <f t="shared" si="36"/>
        <v>4.71</v>
      </c>
    </row>
    <row r="63" spans="1:12">
      <c r="A63" t="str">
        <f>'Service Counts'!A59</f>
        <v>10 Yd Delivery</v>
      </c>
      <c r="C63" s="26">
        <f>+'Service Counts'!I59</f>
        <v>24</v>
      </c>
      <c r="D63" s="57">
        <f>+'Service Counts'!G59</f>
        <v>43.77</v>
      </c>
      <c r="E63" s="5">
        <f t="shared" ref="E63:E69" si="38">+C63*D63</f>
        <v>1050.48</v>
      </c>
      <c r="F63" s="57">
        <f t="shared" ref="F63:F69" ca="1" si="39">+D63*(1+$H$4)</f>
        <v>46.70935530964465</v>
      </c>
      <c r="G63" s="48">
        <f t="shared" ref="G63:G69" ca="1" si="40">+C63*F63</f>
        <v>1121.0245274314716</v>
      </c>
      <c r="H63" s="9">
        <f t="shared" ref="H63:H69" ca="1" si="41">+IF(C63=0,0,(G63-E63)/E63)</f>
        <v>6.7154564990739074E-2</v>
      </c>
      <c r="I63" s="779">
        <f t="shared" ca="1" si="37"/>
        <v>46.70935530964465</v>
      </c>
      <c r="J63" s="48">
        <f t="shared" ref="J63:J69" ca="1" si="42">+C63*I63</f>
        <v>1121.0245274314716</v>
      </c>
      <c r="K63" s="9">
        <f t="shared" ref="K63:K69" ca="1" si="43">+IF(C63=0,0,(J63-E63)/E63)</f>
        <v>6.7154564990739074E-2</v>
      </c>
      <c r="L63" s="57">
        <f t="shared" ref="L63:L69" si="44">+D63*(1+$L$2)</f>
        <v>43.77</v>
      </c>
    </row>
    <row r="64" spans="1:12">
      <c r="A64" t="str">
        <f>'Service Counts'!A60</f>
        <v>20 Yd Delivery</v>
      </c>
      <c r="C64" s="26">
        <f>+'Service Counts'!I60</f>
        <v>28</v>
      </c>
      <c r="D64" s="57">
        <f>+'Service Counts'!G60</f>
        <v>43.77</v>
      </c>
      <c r="E64" s="5">
        <f t="shared" si="38"/>
        <v>1225.5600000000002</v>
      </c>
      <c r="F64" s="57">
        <f t="shared" ca="1" si="39"/>
        <v>46.70935530964465</v>
      </c>
      <c r="G64" s="48">
        <f t="shared" ca="1" si="40"/>
        <v>1307.8619486700502</v>
      </c>
      <c r="H64" s="9">
        <f t="shared" ca="1" si="41"/>
        <v>6.7154564990738935E-2</v>
      </c>
      <c r="I64" s="779">
        <f t="shared" ca="1" si="37"/>
        <v>46.70935530964465</v>
      </c>
      <c r="J64" s="48">
        <f t="shared" ca="1" si="42"/>
        <v>1307.8619486700502</v>
      </c>
      <c r="K64" s="9">
        <f t="shared" ca="1" si="43"/>
        <v>6.7154564990738935E-2</v>
      </c>
      <c r="L64" s="57">
        <f t="shared" si="44"/>
        <v>43.77</v>
      </c>
    </row>
    <row r="65" spans="1:12">
      <c r="A65" t="str">
        <f>'Service Counts'!A61</f>
        <v>30 Yd Delivery</v>
      </c>
      <c r="C65" s="26">
        <f>+'Service Counts'!I61</f>
        <v>31</v>
      </c>
      <c r="D65" s="57">
        <f>+'Service Counts'!G61</f>
        <v>43.77</v>
      </c>
      <c r="E65" s="5">
        <f t="shared" si="38"/>
        <v>1356.8700000000001</v>
      </c>
      <c r="F65" s="57">
        <f t="shared" ca="1" si="39"/>
        <v>46.70935530964465</v>
      </c>
      <c r="G65" s="48">
        <f t="shared" ca="1" si="40"/>
        <v>1447.9900145989841</v>
      </c>
      <c r="H65" s="9">
        <f t="shared" ca="1" si="41"/>
        <v>6.7154564990738949E-2</v>
      </c>
      <c r="I65" s="779">
        <f t="shared" ca="1" si="37"/>
        <v>46.70935530964465</v>
      </c>
      <c r="J65" s="48">
        <f t="shared" ca="1" si="42"/>
        <v>1447.9900145989841</v>
      </c>
      <c r="K65" s="9">
        <f t="shared" ca="1" si="43"/>
        <v>6.7154564990738949E-2</v>
      </c>
      <c r="L65" s="57">
        <f t="shared" si="44"/>
        <v>43.77</v>
      </c>
    </row>
    <row r="66" spans="1:12">
      <c r="A66" t="str">
        <f>'Service Counts'!A62</f>
        <v>Extra Mileage</v>
      </c>
      <c r="C66" s="26">
        <f>+'Service Counts'!I62</f>
        <v>290</v>
      </c>
      <c r="D66" s="57">
        <f>+'Service Counts'!G62</f>
        <v>2.5099999999999998</v>
      </c>
      <c r="E66" s="5">
        <f t="shared" si="38"/>
        <v>727.9</v>
      </c>
      <c r="F66" s="57">
        <f t="shared" ca="1" si="39"/>
        <v>2.6785579581267549</v>
      </c>
      <c r="G66" s="48">
        <f t="shared" ca="1" si="40"/>
        <v>776.78180785675897</v>
      </c>
      <c r="H66" s="9">
        <f t="shared" ca="1" si="41"/>
        <v>6.7154564990739116E-2</v>
      </c>
      <c r="I66" s="779">
        <f t="shared" ca="1" si="37"/>
        <v>2.6785579581267549</v>
      </c>
      <c r="J66" s="48">
        <f t="shared" ca="1" si="42"/>
        <v>776.78180785675897</v>
      </c>
      <c r="K66" s="9">
        <f t="shared" ca="1" si="43"/>
        <v>6.7154564990739116E-2</v>
      </c>
      <c r="L66" s="57">
        <f t="shared" si="44"/>
        <v>2.5099999999999998</v>
      </c>
    </row>
    <row r="67" spans="1:12">
      <c r="A67" t="str">
        <f>'Service Counts'!A63</f>
        <v>Compactor Turn around</v>
      </c>
      <c r="C67" s="26">
        <f>+'Service Counts'!I63</f>
        <v>21</v>
      </c>
      <c r="D67" s="57">
        <f>+'Service Counts'!G63</f>
        <v>31.64</v>
      </c>
      <c r="E67" s="5">
        <f t="shared" si="38"/>
        <v>664.44</v>
      </c>
      <c r="F67" s="57">
        <f t="shared" ca="1" si="39"/>
        <v>33.764770436306982</v>
      </c>
      <c r="G67" s="48">
        <f t="shared" ca="1" si="40"/>
        <v>709.06017916244662</v>
      </c>
      <c r="H67" s="9">
        <f t="shared" ca="1" si="41"/>
        <v>6.7154564990738908E-2</v>
      </c>
      <c r="I67" s="779">
        <f t="shared" ca="1" si="37"/>
        <v>33.764770436306982</v>
      </c>
      <c r="J67" s="48">
        <f t="shared" ca="1" si="42"/>
        <v>709.06017916244662</v>
      </c>
      <c r="K67" s="9">
        <f t="shared" ca="1" si="43"/>
        <v>6.7154564990738908E-2</v>
      </c>
      <c r="L67" s="57">
        <f t="shared" si="44"/>
        <v>31.64</v>
      </c>
    </row>
    <row r="68" spans="1:12">
      <c r="A68" t="str">
        <f>'Service Counts'!A64</f>
        <v>20 Yard Haul-Compact</v>
      </c>
      <c r="C68" s="26">
        <f>+'Service Counts'!I64</f>
        <v>0</v>
      </c>
      <c r="D68" s="57">
        <f>+'Service Counts'!G64</f>
        <v>181.75</v>
      </c>
      <c r="E68" s="5">
        <f t="shared" si="38"/>
        <v>0</v>
      </c>
      <c r="F68" s="57">
        <f t="shared" ca="1" si="39"/>
        <v>193.9553421870668</v>
      </c>
      <c r="G68" s="48">
        <f t="shared" ca="1" si="40"/>
        <v>0</v>
      </c>
      <c r="H68" s="9">
        <f t="shared" si="41"/>
        <v>0</v>
      </c>
      <c r="I68" s="779">
        <f t="shared" ca="1" si="37"/>
        <v>193.9553421870668</v>
      </c>
      <c r="J68" s="48">
        <f t="shared" ca="1" si="42"/>
        <v>0</v>
      </c>
      <c r="K68" s="9">
        <f t="shared" si="43"/>
        <v>0</v>
      </c>
      <c r="L68" s="57">
        <f t="shared" si="44"/>
        <v>181.75</v>
      </c>
    </row>
    <row r="69" spans="1:12">
      <c r="A69" t="str">
        <f>'Service Counts'!A65</f>
        <v>30 Yard Haul-Compact</v>
      </c>
      <c r="C69" s="26">
        <f>+'Service Counts'!I65</f>
        <v>73</v>
      </c>
      <c r="D69" s="57">
        <f>+'Service Counts'!G65</f>
        <v>220.67</v>
      </c>
      <c r="E69" s="38">
        <f t="shared" si="38"/>
        <v>16108.91</v>
      </c>
      <c r="F69" s="57">
        <f t="shared" ca="1" si="39"/>
        <v>235.48899785650636</v>
      </c>
      <c r="G69" s="52">
        <f t="shared" ca="1" si="40"/>
        <v>17190.696843524966</v>
      </c>
      <c r="H69" s="9">
        <f t="shared" ca="1" si="41"/>
        <v>6.7154564990739019E-2</v>
      </c>
      <c r="I69" s="779">
        <f t="shared" ca="1" si="37"/>
        <v>235.48899785650636</v>
      </c>
      <c r="J69" s="52">
        <f t="shared" ca="1" si="42"/>
        <v>17190.696843524966</v>
      </c>
      <c r="K69" s="9">
        <f t="shared" ca="1" si="43"/>
        <v>6.7154564990739019E-2</v>
      </c>
      <c r="L69" s="57">
        <f t="shared" si="44"/>
        <v>220.67</v>
      </c>
    </row>
    <row r="70" spans="1:12">
      <c r="C70" s="26"/>
      <c r="D70" s="57"/>
      <c r="E70" s="5">
        <f>SUM(E57:E69)</f>
        <v>124155.25000000001</v>
      </c>
      <c r="G70" s="5">
        <f ca="1">SUM(G57:G69)</f>
        <v>132492.84180506645</v>
      </c>
      <c r="I70" s="780"/>
      <c r="J70" s="5">
        <f ca="1">SUM(J57:J69)</f>
        <v>132492.84180506645</v>
      </c>
      <c r="K70" s="91">
        <f ca="1">(+J70-E70)/E70</f>
        <v>6.7154564990738866E-2</v>
      </c>
    </row>
    <row r="71" spans="1:12">
      <c r="C71" s="26"/>
      <c r="D71" s="57"/>
      <c r="E71" s="5"/>
      <c r="G71" s="5"/>
      <c r="I71" s="780"/>
      <c r="J71" s="5"/>
      <c r="K71" s="91"/>
    </row>
    <row r="72" spans="1:12">
      <c r="A72" t="str">
        <f>'Service Counts'!A67</f>
        <v>Other Garbage Revenue:</v>
      </c>
      <c r="C72" s="26"/>
      <c r="D72" s="57"/>
      <c r="E72" s="5"/>
      <c r="G72" s="5"/>
      <c r="I72" s="120"/>
      <c r="J72" s="5"/>
      <c r="K72" s="91"/>
    </row>
    <row r="73" spans="1:12">
      <c r="A73" t="str">
        <f>'Service Counts'!A68</f>
        <v>Time Units:</v>
      </c>
      <c r="C73" s="26"/>
      <c r="D73" s="57"/>
      <c r="E73" s="5"/>
      <c r="G73" s="5"/>
      <c r="I73" s="120"/>
      <c r="J73" s="5"/>
      <c r="K73" s="91"/>
    </row>
    <row r="74" spans="1:12">
      <c r="A74" t="str">
        <f>'Service Counts'!A69</f>
        <v>Truck &amp; Driver</v>
      </c>
      <c r="C74" s="26">
        <f>+'Service Counts'!I69</f>
        <v>82.75</v>
      </c>
      <c r="D74" s="57">
        <f>+'Service Counts'!G69</f>
        <v>141.31</v>
      </c>
      <c r="E74" s="5">
        <f t="shared" ref="E74:E75" si="45">+C74*D74</f>
        <v>11693.4025</v>
      </c>
      <c r="F74" s="57">
        <f t="shared" ref="F74:F75" ca="1" si="46">+D74*(1+$H$4)</f>
        <v>150.79961157884134</v>
      </c>
      <c r="G74" s="48">
        <f t="shared" ref="G74:G75" ca="1" si="47">+C74*F74</f>
        <v>12478.667858149121</v>
      </c>
      <c r="H74" s="9">
        <f t="shared" ref="H74:H75" ca="1" si="48">+IF(C74=0,0,(G74-E74)/E74)</f>
        <v>6.7154564990739116E-2</v>
      </c>
      <c r="I74" s="779">
        <f ca="1">+F74</f>
        <v>150.79961157884134</v>
      </c>
      <c r="J74" s="48">
        <f t="shared" ref="J74:J75" ca="1" si="49">+C74*I74</f>
        <v>12478.667858149121</v>
      </c>
      <c r="K74" s="9">
        <f ca="1">+IF(C66=0,0,(J74-E74)/E74)</f>
        <v>6.7154564990739116E-2</v>
      </c>
      <c r="L74" s="57">
        <f>+D66*(1+$L$2)</f>
        <v>2.5099999999999998</v>
      </c>
    </row>
    <row r="75" spans="1:12">
      <c r="A75" t="str">
        <f>'Service Counts'!A70</f>
        <v>Extra Man</v>
      </c>
      <c r="C75" s="26">
        <f>+'Service Counts'!I70</f>
        <v>0</v>
      </c>
      <c r="D75" s="57">
        <f>+'Service Counts'!G70</f>
        <v>35.840000000000003</v>
      </c>
      <c r="E75" s="38">
        <f t="shared" si="45"/>
        <v>0</v>
      </c>
      <c r="F75" s="57">
        <f t="shared" ca="1" si="46"/>
        <v>38.246819609268087</v>
      </c>
      <c r="G75" s="52">
        <f t="shared" ca="1" si="47"/>
        <v>0</v>
      </c>
      <c r="H75" s="9">
        <f t="shared" si="48"/>
        <v>0</v>
      </c>
      <c r="I75" s="779">
        <f ca="1">+F75</f>
        <v>38.246819609268087</v>
      </c>
      <c r="J75" s="52">
        <f t="shared" ca="1" si="49"/>
        <v>0</v>
      </c>
      <c r="K75" s="9" t="e">
        <f ca="1">+IF(C67=0,0,(J75-E75)/E75)</f>
        <v>#DIV/0!</v>
      </c>
      <c r="L75" s="57">
        <f>+D67*(1+$L$2)</f>
        <v>31.64</v>
      </c>
    </row>
    <row r="76" spans="1:12">
      <c r="C76" s="26"/>
      <c r="D76" s="57"/>
      <c r="E76" s="5">
        <f>SUM(E74:E75)</f>
        <v>11693.4025</v>
      </c>
      <c r="G76" s="5">
        <f ca="1">SUM(G74:G75)</f>
        <v>12478.667858149121</v>
      </c>
      <c r="J76" s="5">
        <f ca="1">SUM(J74:J75)</f>
        <v>12478.667858149121</v>
      </c>
      <c r="K76" s="91">
        <f ca="1">(+J76-E76)/E76</f>
        <v>6.7154564990739116E-2</v>
      </c>
    </row>
    <row r="77" spans="1:12">
      <c r="C77" s="26"/>
      <c r="D77" s="57"/>
      <c r="E77" s="5"/>
      <c r="G77" s="5"/>
      <c r="J77" s="5"/>
      <c r="K77" s="91"/>
    </row>
    <row r="78" spans="1:12">
      <c r="C78" s="126"/>
      <c r="D78" s="57"/>
      <c r="E78" s="5"/>
      <c r="G78" s="5"/>
      <c r="J78" s="5"/>
      <c r="K78" s="91"/>
    </row>
    <row r="79" spans="1:12">
      <c r="C79" s="26">
        <f>SUM(C11:C75)</f>
        <v>73973.399999999994</v>
      </c>
      <c r="D79" s="57"/>
      <c r="E79" s="5"/>
      <c r="G79" s="5"/>
      <c r="J79" s="5"/>
      <c r="K79" s="91"/>
    </row>
    <row r="80" spans="1:12">
      <c r="C80" s="26"/>
      <c r="D80" s="51"/>
    </row>
    <row r="81" spans="1:11">
      <c r="C81" s="26"/>
      <c r="D81" s="51"/>
    </row>
    <row r="82" spans="1:11">
      <c r="C82" s="26">
        <f>+'Service Counts'!F72</f>
        <v>73973.399999999994</v>
      </c>
      <c r="D82" s="51"/>
      <c r="E82" s="57">
        <f>+E34+E54+E70+E76</f>
        <v>1788298.169</v>
      </c>
      <c r="G82" s="57">
        <f ca="1">+G34+G54+G70+G76</f>
        <v>1908390.5546129302</v>
      </c>
      <c r="J82" s="57">
        <f ca="1">+J34+J54+J70+J76</f>
        <v>1908390.5546129302</v>
      </c>
    </row>
    <row r="83" spans="1:11">
      <c r="C83" s="26"/>
      <c r="D83" s="51"/>
    </row>
    <row r="84" spans="1:11">
      <c r="A84" t="s">
        <v>85</v>
      </c>
      <c r="C84" s="26"/>
      <c r="D84" s="51"/>
      <c r="G84" s="57">
        <f ca="1">+G82-E82</f>
        <v>120092.38561293017</v>
      </c>
      <c r="J84" s="57">
        <f ca="1">+J82-E82</f>
        <v>120092.38561293017</v>
      </c>
      <c r="K84" s="105">
        <f ca="1">ROUND((+J84/E82),4)</f>
        <v>6.7199999999999996E-2</v>
      </c>
    </row>
    <row r="85" spans="1:11">
      <c r="C85" s="26"/>
      <c r="D85" s="51"/>
    </row>
    <row r="86" spans="1:11">
      <c r="C86" s="26"/>
      <c r="D86" s="51"/>
      <c r="E86" s="5"/>
      <c r="K86" s="31">
        <f ca="1">+K84</f>
        <v>6.7199999999999996E-2</v>
      </c>
    </row>
    <row r="87" spans="1:11">
      <c r="C87" s="26"/>
      <c r="D87" s="51"/>
      <c r="E87" s="5"/>
    </row>
    <row r="88" spans="1:11">
      <c r="C88" s="26"/>
      <c r="D88" s="51"/>
      <c r="E88" s="5"/>
    </row>
    <row r="89" spans="1:11">
      <c r="C89" s="26"/>
      <c r="D89" s="51"/>
    </row>
    <row r="90" spans="1:11">
      <c r="C90" s="26"/>
      <c r="D90" s="51"/>
      <c r="E90" s="51"/>
    </row>
    <row r="91" spans="1:11">
      <c r="C91" s="26"/>
      <c r="D91" s="51"/>
      <c r="E91" s="9"/>
    </row>
    <row r="92" spans="1:11">
      <c r="C92" s="26"/>
      <c r="D92" s="51"/>
      <c r="E92" s="9"/>
    </row>
    <row r="93" spans="1:11">
      <c r="C93" s="26"/>
      <c r="D93" s="51"/>
    </row>
    <row r="94" spans="1:11">
      <c r="D94" s="51"/>
    </row>
  </sheetData>
  <pageMargins left="0.25" right="0.25" top="0.75" bottom="0.25" header="0.5" footer="0.5"/>
  <pageSetup scale="6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fitToPage="1"/>
  </sheetPr>
  <dimension ref="A1:L80"/>
  <sheetViews>
    <sheetView topLeftCell="A37" workbookViewId="0">
      <selection activeCell="F5" sqref="F5"/>
    </sheetView>
  </sheetViews>
  <sheetFormatPr defaultRowHeight="12.75"/>
  <cols>
    <col min="1" max="1" width="9.42578125" customWidth="1"/>
    <col min="2" max="2" width="11.5703125" customWidth="1"/>
    <col min="3" max="3" width="10.42578125" customWidth="1"/>
    <col min="5" max="5" width="11.28515625" customWidth="1"/>
    <col min="7" max="7" width="11.28515625" customWidth="1"/>
    <col min="8" max="8" width="10.5703125" customWidth="1"/>
    <col min="10" max="10" width="11.5703125" customWidth="1"/>
    <col min="11" max="11" width="10.42578125" customWidth="1"/>
  </cols>
  <sheetData>
    <row r="1" spans="1:12">
      <c r="A1" t="s">
        <v>4</v>
      </c>
      <c r="G1" t="s">
        <v>5</v>
      </c>
      <c r="J1" t="s">
        <v>6</v>
      </c>
    </row>
    <row r="2" spans="1:12">
      <c r="A2" t="s">
        <v>989</v>
      </c>
      <c r="G2" s="9">
        <f ca="1">+H2/E68</f>
        <v>0.21199543230136725</v>
      </c>
      <c r="H2" s="74">
        <f ca="1">'New LG Total Douglas'!M21</f>
        <v>32461.063357031038</v>
      </c>
      <c r="I2" t="s">
        <v>8</v>
      </c>
      <c r="J2" s="57">
        <f>+J70</f>
        <v>0</v>
      </c>
      <c r="K2" s="104">
        <f>+J2/E68</f>
        <v>0</v>
      </c>
      <c r="L2" s="103">
        <v>0</v>
      </c>
    </row>
    <row r="3" spans="1:12">
      <c r="A3" s="1" t="str">
        <f>'Priceout-Chelan'!A3</f>
        <v>12 months ended June 30, 2024</v>
      </c>
      <c r="H3" s="9">
        <f ca="1">+G2</f>
        <v>0.21199543230136725</v>
      </c>
      <c r="I3" t="s">
        <v>10</v>
      </c>
    </row>
    <row r="4" spans="1:12">
      <c r="E4" s="459" t="s">
        <v>11</v>
      </c>
      <c r="F4" s="459" t="s">
        <v>12</v>
      </c>
      <c r="H4" s="9">
        <f ca="1">+G2</f>
        <v>0.21199543230136725</v>
      </c>
      <c r="I4" t="s">
        <v>13</v>
      </c>
    </row>
    <row r="6" spans="1:12" ht="13.5" thickBot="1">
      <c r="A6" s="102" t="s">
        <v>991</v>
      </c>
      <c r="B6" s="4"/>
      <c r="C6" s="4"/>
    </row>
    <row r="7" spans="1:12">
      <c r="F7" s="101"/>
      <c r="G7" s="100" t="s">
        <v>17</v>
      </c>
      <c r="H7" s="99"/>
      <c r="I7" s="101"/>
      <c r="J7" s="100" t="s">
        <v>18</v>
      </c>
      <c r="K7" s="99"/>
    </row>
    <row r="8" spans="1:12">
      <c r="C8" s="530" t="s">
        <v>19</v>
      </c>
      <c r="D8" s="530" t="s">
        <v>21</v>
      </c>
      <c r="E8" s="530" t="s">
        <v>22</v>
      </c>
      <c r="F8" s="98" t="s">
        <v>17</v>
      </c>
      <c r="G8" s="530" t="s">
        <v>22</v>
      </c>
      <c r="H8" s="97" t="s">
        <v>23</v>
      </c>
      <c r="I8" s="98" t="s">
        <v>24</v>
      </c>
      <c r="J8" s="530" t="s">
        <v>22</v>
      </c>
      <c r="K8" s="97" t="s">
        <v>23</v>
      </c>
    </row>
    <row r="9" spans="1:12" ht="13.5" thickBot="1">
      <c r="A9" s="4" t="s">
        <v>25</v>
      </c>
      <c r="B9" s="4"/>
      <c r="C9" s="18" t="s">
        <v>7</v>
      </c>
      <c r="D9" s="96" t="s">
        <v>26</v>
      </c>
      <c r="E9" s="96" t="s">
        <v>27</v>
      </c>
      <c r="F9" s="95" t="s">
        <v>28</v>
      </c>
      <c r="G9" s="18" t="s">
        <v>27</v>
      </c>
      <c r="H9" s="94" t="s">
        <v>8</v>
      </c>
      <c r="I9" s="95" t="s">
        <v>28</v>
      </c>
      <c r="J9" s="18" t="s">
        <v>27</v>
      </c>
      <c r="K9" s="94" t="s">
        <v>8</v>
      </c>
    </row>
    <row r="10" spans="1:12">
      <c r="A10" t="s">
        <v>30</v>
      </c>
    </row>
    <row r="11" spans="1:12">
      <c r="A11" t="s">
        <v>31</v>
      </c>
      <c r="C11" s="26">
        <f>+'Service Counts'!R10</f>
        <v>0</v>
      </c>
      <c r="D11" s="57">
        <f>+'Service Counts'!P10</f>
        <v>13.65</v>
      </c>
      <c r="E11" s="51">
        <f t="shared" ref="E11:E27" si="0">+C11*D11</f>
        <v>0</v>
      </c>
      <c r="F11" s="57">
        <f t="shared" ref="F11:F27" ca="1" si="1">+D11*(1+$H$4)</f>
        <v>16.543737650913663</v>
      </c>
      <c r="G11" s="57">
        <f t="shared" ref="G11:G27" ca="1" si="2">+C11*F11</f>
        <v>0</v>
      </c>
      <c r="H11" s="9">
        <f t="shared" ref="H11:H27" si="3">+IF(C11=0,0,(G11-E11)/E11)</f>
        <v>0</v>
      </c>
      <c r="I11" s="106">
        <v>13.65</v>
      </c>
      <c r="J11" s="63">
        <f t="shared" ref="J11:J27" si="4">+C11*I11</f>
        <v>0</v>
      </c>
      <c r="K11" s="9">
        <f t="shared" ref="K11:K27" si="5">+IF(C11=0,0,(J11-E11)/E11)</f>
        <v>0</v>
      </c>
      <c r="L11" s="57">
        <f t="shared" ref="L11:L27" si="6">+D11*(1+$L$2)</f>
        <v>13.65</v>
      </c>
    </row>
    <row r="12" spans="1:12">
      <c r="A12" t="s">
        <v>84</v>
      </c>
      <c r="C12" s="26">
        <f>+'Service Counts'!R11</f>
        <v>0</v>
      </c>
      <c r="D12" s="57">
        <f>+'Service Counts'!P11</f>
        <v>8.75</v>
      </c>
      <c r="E12" s="51">
        <f t="shared" si="0"/>
        <v>0</v>
      </c>
      <c r="F12" s="57">
        <f t="shared" ca="1" si="1"/>
        <v>10.604960032636964</v>
      </c>
      <c r="G12" s="57">
        <f t="shared" ca="1" si="2"/>
        <v>0</v>
      </c>
      <c r="H12" s="9">
        <f t="shared" si="3"/>
        <v>0</v>
      </c>
      <c r="I12" s="106">
        <v>8.75</v>
      </c>
      <c r="J12" s="63">
        <f t="shared" si="4"/>
        <v>0</v>
      </c>
      <c r="K12" s="9">
        <f t="shared" si="5"/>
        <v>0</v>
      </c>
      <c r="L12" s="57">
        <f t="shared" si="6"/>
        <v>8.75</v>
      </c>
    </row>
    <row r="13" spans="1:12">
      <c r="A13" t="s">
        <v>32</v>
      </c>
      <c r="C13" s="26">
        <f>+'Service Counts'!R12</f>
        <v>587.15</v>
      </c>
      <c r="D13" s="57">
        <f>+'Service Counts'!P12</f>
        <v>16.350000000000001</v>
      </c>
      <c r="E13" s="5">
        <f t="shared" si="0"/>
        <v>9599.9025000000001</v>
      </c>
      <c r="F13" s="57">
        <f t="shared" ca="1" si="1"/>
        <v>19.816125318127359</v>
      </c>
      <c r="G13" s="48">
        <f t="shared" ca="1" si="2"/>
        <v>11635.037980538478</v>
      </c>
      <c r="H13" s="9">
        <f t="shared" ca="1" si="3"/>
        <v>0.21199543230136744</v>
      </c>
      <c r="I13" s="106">
        <v>16.350000000000001</v>
      </c>
      <c r="J13" s="48">
        <f t="shared" si="4"/>
        <v>9599.9025000000001</v>
      </c>
      <c r="K13" s="9">
        <f t="shared" si="5"/>
        <v>0</v>
      </c>
      <c r="L13" s="57">
        <f t="shared" si="6"/>
        <v>16.350000000000001</v>
      </c>
    </row>
    <row r="14" spans="1:12">
      <c r="A14" t="s">
        <v>33</v>
      </c>
      <c r="C14" s="26">
        <f>+'Service Counts'!R13</f>
        <v>1096.1500000000001</v>
      </c>
      <c r="D14" s="57">
        <f>+'Service Counts'!P13</f>
        <v>20.55</v>
      </c>
      <c r="E14" s="5">
        <f t="shared" si="0"/>
        <v>22525.882500000003</v>
      </c>
      <c r="F14" s="57">
        <f t="shared" ca="1" si="1"/>
        <v>24.906506133793098</v>
      </c>
      <c r="G14" s="48">
        <f t="shared" ca="1" si="2"/>
        <v>27301.266698557305</v>
      </c>
      <c r="H14" s="9">
        <f t="shared" ca="1" si="3"/>
        <v>0.21199543230136714</v>
      </c>
      <c r="I14" s="106">
        <v>20.55</v>
      </c>
      <c r="J14" s="48">
        <f t="shared" si="4"/>
        <v>22525.882500000003</v>
      </c>
      <c r="K14" s="9">
        <f t="shared" si="5"/>
        <v>0</v>
      </c>
      <c r="L14" s="57">
        <f t="shared" si="6"/>
        <v>20.55</v>
      </c>
    </row>
    <row r="15" spans="1:12">
      <c r="A15" t="s">
        <v>34</v>
      </c>
      <c r="C15" s="26">
        <f>+'Service Counts'!R14</f>
        <v>296.60000000000002</v>
      </c>
      <c r="D15" s="57">
        <f>+'Service Counts'!P14</f>
        <v>24.25</v>
      </c>
      <c r="E15" s="5">
        <f t="shared" si="0"/>
        <v>7192.55</v>
      </c>
      <c r="F15" s="57">
        <f t="shared" ca="1" si="1"/>
        <v>29.390889233308158</v>
      </c>
      <c r="G15" s="48">
        <f t="shared" ca="1" si="2"/>
        <v>8717.3377465991998</v>
      </c>
      <c r="H15" s="9">
        <f t="shared" ca="1" si="3"/>
        <v>0.21199543230136733</v>
      </c>
      <c r="I15" s="106">
        <v>24.25</v>
      </c>
      <c r="J15" s="48">
        <f t="shared" si="4"/>
        <v>7192.55</v>
      </c>
      <c r="K15" s="9">
        <f t="shared" si="5"/>
        <v>0</v>
      </c>
      <c r="L15" s="57">
        <f t="shared" si="6"/>
        <v>24.25</v>
      </c>
    </row>
    <row r="16" spans="1:12">
      <c r="A16" t="s">
        <v>35</v>
      </c>
      <c r="C16" s="26">
        <f>+'Service Counts'!R15</f>
        <v>146.1</v>
      </c>
      <c r="D16" s="57">
        <f>+'Service Counts'!P15</f>
        <v>27.75</v>
      </c>
      <c r="E16" s="5">
        <f t="shared" si="0"/>
        <v>4054.2749999999996</v>
      </c>
      <c r="F16" s="57">
        <f t="shared" ca="1" si="1"/>
        <v>33.632873246362941</v>
      </c>
      <c r="G16" s="48">
        <f t="shared" ca="1" si="2"/>
        <v>4913.7627812936253</v>
      </c>
      <c r="H16" s="9">
        <f t="shared" ca="1" si="3"/>
        <v>0.21199543230136725</v>
      </c>
      <c r="I16" s="106">
        <v>27.75</v>
      </c>
      <c r="J16" s="48">
        <f t="shared" si="4"/>
        <v>4054.2749999999996</v>
      </c>
      <c r="K16" s="9">
        <f t="shared" si="5"/>
        <v>0</v>
      </c>
      <c r="L16" s="57">
        <f t="shared" si="6"/>
        <v>27.75</v>
      </c>
    </row>
    <row r="17" spans="1:12">
      <c r="A17" t="s">
        <v>36</v>
      </c>
      <c r="C17" s="26">
        <f>+'Service Counts'!R16</f>
        <v>29.5</v>
      </c>
      <c r="D17" s="57">
        <f>+'Service Counts'!P16</f>
        <v>33.25</v>
      </c>
      <c r="E17" s="5">
        <f t="shared" si="0"/>
        <v>980.875</v>
      </c>
      <c r="F17" s="57">
        <f t="shared" ca="1" si="1"/>
        <v>40.298848124020466</v>
      </c>
      <c r="G17" s="48">
        <f t="shared" ca="1" si="2"/>
        <v>1188.8160196586039</v>
      </c>
      <c r="H17" s="9">
        <f t="shared" ca="1" si="3"/>
        <v>0.21199543230136753</v>
      </c>
      <c r="I17" s="106">
        <v>33.25</v>
      </c>
      <c r="J17" s="48">
        <f t="shared" si="4"/>
        <v>980.875</v>
      </c>
      <c r="K17" s="9">
        <f t="shared" si="5"/>
        <v>0</v>
      </c>
      <c r="L17" s="57">
        <f t="shared" si="6"/>
        <v>33.25</v>
      </c>
    </row>
    <row r="18" spans="1:12">
      <c r="A18" t="s">
        <v>37</v>
      </c>
      <c r="C18" s="26">
        <f>+'Service Counts'!R17</f>
        <v>35.25</v>
      </c>
      <c r="D18" s="57">
        <f>+'Service Counts'!P17</f>
        <v>36.85</v>
      </c>
      <c r="E18" s="5">
        <f t="shared" si="0"/>
        <v>1298.9625000000001</v>
      </c>
      <c r="F18" s="57">
        <f t="shared" ca="1" si="1"/>
        <v>44.66203168030539</v>
      </c>
      <c r="G18" s="48">
        <f t="shared" ca="1" si="2"/>
        <v>1574.3366167307649</v>
      </c>
      <c r="H18" s="9">
        <f t="shared" ca="1" si="3"/>
        <v>0.2119954323013673</v>
      </c>
      <c r="I18" s="106">
        <v>36.85</v>
      </c>
      <c r="J18" s="48">
        <f t="shared" si="4"/>
        <v>1298.9625000000001</v>
      </c>
      <c r="K18" s="9">
        <f t="shared" si="5"/>
        <v>0</v>
      </c>
      <c r="L18" s="57">
        <f t="shared" si="6"/>
        <v>36.85</v>
      </c>
    </row>
    <row r="19" spans="1:12">
      <c r="A19" t="s">
        <v>40</v>
      </c>
      <c r="C19" s="26">
        <f>+'Service Counts'!R20</f>
        <v>0</v>
      </c>
      <c r="D19" s="57">
        <f>+'Service Counts'!P20</f>
        <v>0</v>
      </c>
      <c r="E19" s="5">
        <f t="shared" si="0"/>
        <v>0</v>
      </c>
      <c r="F19" s="57">
        <f t="shared" ca="1" si="1"/>
        <v>0</v>
      </c>
      <c r="G19" s="48">
        <f t="shared" ca="1" si="2"/>
        <v>0</v>
      </c>
      <c r="H19" s="9">
        <f t="shared" si="3"/>
        <v>0</v>
      </c>
      <c r="I19" s="106">
        <f>+L19</f>
        <v>0</v>
      </c>
      <c r="J19" s="48">
        <f t="shared" si="4"/>
        <v>0</v>
      </c>
      <c r="K19" s="9">
        <f t="shared" si="5"/>
        <v>0</v>
      </c>
      <c r="L19" s="57">
        <f t="shared" si="6"/>
        <v>0</v>
      </c>
    </row>
    <row r="20" spans="1:12">
      <c r="A20" t="s">
        <v>41</v>
      </c>
      <c r="C20" s="26">
        <f>+'Service Counts'!R21</f>
        <v>0</v>
      </c>
      <c r="D20" s="57">
        <f>+'Service Counts'!P21</f>
        <v>0</v>
      </c>
      <c r="E20" s="5">
        <f t="shared" si="0"/>
        <v>0</v>
      </c>
      <c r="F20" s="57">
        <f t="shared" ca="1" si="1"/>
        <v>0</v>
      </c>
      <c r="G20" s="48">
        <f t="shared" ca="1" si="2"/>
        <v>0</v>
      </c>
      <c r="H20" s="9">
        <f t="shared" si="3"/>
        <v>0</v>
      </c>
      <c r="I20" s="106">
        <f>+L20</f>
        <v>0</v>
      </c>
      <c r="J20" s="48">
        <f t="shared" si="4"/>
        <v>0</v>
      </c>
      <c r="K20" s="9">
        <f t="shared" si="5"/>
        <v>0</v>
      </c>
      <c r="L20" s="57">
        <f t="shared" si="6"/>
        <v>0</v>
      </c>
    </row>
    <row r="21" spans="1:12">
      <c r="A21" t="s">
        <v>42</v>
      </c>
      <c r="C21" s="26">
        <f>+'Service Counts'!R22</f>
        <v>0</v>
      </c>
      <c r="D21" s="57">
        <f>+'Service Counts'!P22</f>
        <v>0</v>
      </c>
      <c r="E21" s="5">
        <f t="shared" si="0"/>
        <v>0</v>
      </c>
      <c r="F21" s="57">
        <f t="shared" ca="1" si="1"/>
        <v>0</v>
      </c>
      <c r="G21" s="48">
        <f t="shared" ca="1" si="2"/>
        <v>0</v>
      </c>
      <c r="H21" s="9">
        <f t="shared" si="3"/>
        <v>0</v>
      </c>
      <c r="I21" s="106">
        <f>+L21</f>
        <v>0</v>
      </c>
      <c r="J21" s="48">
        <f t="shared" si="4"/>
        <v>0</v>
      </c>
      <c r="K21" s="9">
        <f t="shared" si="5"/>
        <v>0</v>
      </c>
      <c r="L21" s="57">
        <f t="shared" si="6"/>
        <v>0</v>
      </c>
    </row>
    <row r="22" spans="1:12">
      <c r="A22" t="s">
        <v>43</v>
      </c>
      <c r="C22" s="26">
        <f>+'Service Counts'!R26</f>
        <v>430</v>
      </c>
      <c r="D22" s="57">
        <f>+'Service Counts'!P26</f>
        <v>3.95</v>
      </c>
      <c r="E22" s="5">
        <f t="shared" si="0"/>
        <v>1698.5</v>
      </c>
      <c r="F22" s="57">
        <f t="shared" ca="1" si="1"/>
        <v>4.7873819575904006</v>
      </c>
      <c r="G22" s="48">
        <f t="shared" ca="1" si="2"/>
        <v>2058.5742417638721</v>
      </c>
      <c r="H22" s="9">
        <f t="shared" ca="1" si="3"/>
        <v>0.21199543230136716</v>
      </c>
      <c r="I22" s="106">
        <v>3.95</v>
      </c>
      <c r="J22" s="48">
        <f t="shared" si="4"/>
        <v>1698.5</v>
      </c>
      <c r="K22" s="9">
        <f t="shared" si="5"/>
        <v>0</v>
      </c>
      <c r="L22" s="57">
        <f t="shared" si="6"/>
        <v>3.95</v>
      </c>
    </row>
    <row r="23" spans="1:12">
      <c r="A23" t="s">
        <v>44</v>
      </c>
      <c r="C23" s="26">
        <f>+'Service Counts'!R27</f>
        <v>0</v>
      </c>
      <c r="D23" s="57">
        <f>+'Service Counts'!P27</f>
        <v>2.95</v>
      </c>
      <c r="E23" s="5">
        <f t="shared" si="0"/>
        <v>0</v>
      </c>
      <c r="F23" s="57">
        <f t="shared" ca="1" si="1"/>
        <v>3.5753865252890336</v>
      </c>
      <c r="G23" s="48">
        <f t="shared" ca="1" si="2"/>
        <v>0</v>
      </c>
      <c r="H23" s="9">
        <f t="shared" si="3"/>
        <v>0</v>
      </c>
      <c r="I23" s="106">
        <v>2.95</v>
      </c>
      <c r="J23" s="48">
        <f t="shared" si="4"/>
        <v>0</v>
      </c>
      <c r="K23" s="9">
        <f t="shared" si="5"/>
        <v>0</v>
      </c>
      <c r="L23" s="57">
        <f t="shared" si="6"/>
        <v>2.95</v>
      </c>
    </row>
    <row r="24" spans="1:12">
      <c r="A24" t="s">
        <v>992</v>
      </c>
      <c r="C24" s="26">
        <f>+'Service Counts'!R28</f>
        <v>0</v>
      </c>
      <c r="D24" s="57">
        <f>+'Service Counts'!P28</f>
        <v>1.65</v>
      </c>
      <c r="E24" s="5">
        <f t="shared" si="0"/>
        <v>0</v>
      </c>
      <c r="F24" s="57">
        <f t="shared" ca="1" si="1"/>
        <v>1.9997924632972559</v>
      </c>
      <c r="G24" s="48">
        <f t="shared" ca="1" si="2"/>
        <v>0</v>
      </c>
      <c r="H24" s="9">
        <f t="shared" si="3"/>
        <v>0</v>
      </c>
      <c r="I24" s="106">
        <v>1.65</v>
      </c>
      <c r="J24" s="48">
        <f t="shared" si="4"/>
        <v>0</v>
      </c>
      <c r="K24" s="9">
        <f t="shared" si="5"/>
        <v>0</v>
      </c>
      <c r="L24" s="57">
        <f t="shared" si="6"/>
        <v>1.65</v>
      </c>
    </row>
    <row r="25" spans="1:12">
      <c r="A25" t="s">
        <v>46</v>
      </c>
      <c r="C25" s="26">
        <f>+'Service Counts'!R29</f>
        <v>6.5</v>
      </c>
      <c r="D25" s="57">
        <f>+'Service Counts'!P29</f>
        <v>10.55</v>
      </c>
      <c r="E25" s="5">
        <f t="shared" si="0"/>
        <v>68.575000000000003</v>
      </c>
      <c r="F25" s="57">
        <f t="shared" ca="1" si="1"/>
        <v>12.786551810779425</v>
      </c>
      <c r="G25" s="48">
        <f t="shared" ca="1" si="2"/>
        <v>83.112586770066258</v>
      </c>
      <c r="H25" s="9">
        <f t="shared" ca="1" si="3"/>
        <v>0.21199543230136719</v>
      </c>
      <c r="I25" s="106">
        <v>10.55</v>
      </c>
      <c r="J25" s="48">
        <f t="shared" si="4"/>
        <v>68.575000000000003</v>
      </c>
      <c r="K25" s="9">
        <f t="shared" si="5"/>
        <v>0</v>
      </c>
      <c r="L25" s="57">
        <f t="shared" si="6"/>
        <v>10.55</v>
      </c>
    </row>
    <row r="26" spans="1:12">
      <c r="A26" t="s">
        <v>47</v>
      </c>
      <c r="C26" s="26">
        <f>+'Service Counts'!R31</f>
        <v>198</v>
      </c>
      <c r="D26" s="57">
        <f>+'Service Counts'!P31</f>
        <v>19.600000000000001</v>
      </c>
      <c r="E26" s="5">
        <f t="shared" si="0"/>
        <v>3880.8</v>
      </c>
      <c r="F26" s="57">
        <f t="shared" ca="1" si="1"/>
        <v>23.7551104731068</v>
      </c>
      <c r="G26" s="48">
        <f t="shared" ca="1" si="2"/>
        <v>4703.5118736751465</v>
      </c>
      <c r="H26" s="9">
        <f t="shared" ca="1" si="3"/>
        <v>0.2119954323013673</v>
      </c>
      <c r="I26" s="106">
        <v>19.600000000000001</v>
      </c>
      <c r="J26" s="48">
        <f t="shared" si="4"/>
        <v>3880.8</v>
      </c>
      <c r="K26" s="9">
        <f t="shared" si="5"/>
        <v>0</v>
      </c>
      <c r="L26" s="57">
        <f t="shared" si="6"/>
        <v>19.600000000000001</v>
      </c>
    </row>
    <row r="27" spans="1:12">
      <c r="A27" t="s">
        <v>48</v>
      </c>
      <c r="C27" s="26">
        <f>+'Service Counts'!R32</f>
        <v>0</v>
      </c>
      <c r="D27" s="57">
        <f>+'Service Counts'!P32</f>
        <v>12.2</v>
      </c>
      <c r="E27" s="38">
        <f t="shared" si="0"/>
        <v>0</v>
      </c>
      <c r="F27" s="57">
        <f t="shared" ca="1" si="1"/>
        <v>14.786344274076681</v>
      </c>
      <c r="G27" s="52">
        <f t="shared" ca="1" si="2"/>
        <v>0</v>
      </c>
      <c r="H27" s="9">
        <f t="shared" si="3"/>
        <v>0</v>
      </c>
      <c r="I27" s="106">
        <v>12.2</v>
      </c>
      <c r="J27" s="52">
        <f t="shared" si="4"/>
        <v>0</v>
      </c>
      <c r="K27" s="9">
        <f t="shared" si="5"/>
        <v>0</v>
      </c>
      <c r="L27" s="57">
        <f t="shared" si="6"/>
        <v>12.2</v>
      </c>
    </row>
    <row r="28" spans="1:12">
      <c r="C28" s="26"/>
      <c r="D28" s="57"/>
      <c r="E28" s="51">
        <f>SUM(E11:E27)</f>
        <v>51300.322500000009</v>
      </c>
      <c r="G28" s="51">
        <f ca="1">SUM(G11:G27)</f>
        <v>62175.756545587057</v>
      </c>
      <c r="I28" s="93"/>
      <c r="J28" s="51">
        <f>SUM(J11:J27)</f>
        <v>51300.322500000009</v>
      </c>
      <c r="K28" s="91">
        <f>(+J28-E28)/E28</f>
        <v>0</v>
      </c>
    </row>
    <row r="29" spans="1:12">
      <c r="A29" t="s">
        <v>49</v>
      </c>
      <c r="C29" s="26"/>
      <c r="D29" s="57"/>
      <c r="I29" s="93"/>
      <c r="J29" s="48"/>
    </row>
    <row r="30" spans="1:12">
      <c r="A30" t="s">
        <v>50</v>
      </c>
      <c r="C30" s="26">
        <f>+'Service Counts'!R35</f>
        <v>958</v>
      </c>
      <c r="D30" s="57">
        <f>+'Service Counts'!P35</f>
        <v>15.25</v>
      </c>
      <c r="E30" s="5">
        <f t="shared" ref="E30:E45" si="7">+C30*D30</f>
        <v>14609.5</v>
      </c>
      <c r="F30" s="57">
        <f t="shared" ref="F30:F45" ca="1" si="8">+D30*(1+$H$4)</f>
        <v>18.48293034259585</v>
      </c>
      <c r="G30" s="48">
        <f t="shared" ref="G30:G45" ca="1" si="9">+C30*F30</f>
        <v>17706.647268206823</v>
      </c>
      <c r="H30" s="9">
        <f t="shared" ref="H30:H45" ca="1" si="10">+IF(C30=0,0,(G30-E30)/E30)</f>
        <v>0.21199543230136714</v>
      </c>
      <c r="I30" s="106">
        <v>15.25</v>
      </c>
      <c r="J30" s="48">
        <f t="shared" ref="J30:J45" si="11">+C30*I30</f>
        <v>14609.5</v>
      </c>
      <c r="K30" s="9">
        <f t="shared" ref="K30:K45" si="12">+IF(C30=0,0,(J30-E30)/E30)</f>
        <v>0</v>
      </c>
      <c r="L30" s="57">
        <f t="shared" ref="L30:L45" si="13">+D30*(1+$L$2)</f>
        <v>15.25</v>
      </c>
    </row>
    <row r="31" spans="1:12">
      <c r="A31" s="459" t="s">
        <v>51</v>
      </c>
      <c r="C31" s="26">
        <f>+'Service Counts'!R36</f>
        <v>0</v>
      </c>
      <c r="D31" s="57">
        <f>+'Service Counts'!P36</f>
        <v>0</v>
      </c>
      <c r="E31" s="5">
        <f>+C31*D31</f>
        <v>0</v>
      </c>
      <c r="F31" s="57">
        <f ca="1">+D31*(1+$H$4)</f>
        <v>0</v>
      </c>
      <c r="G31" s="48">
        <f ca="1">+C31*F31</f>
        <v>0</v>
      </c>
      <c r="H31" s="9">
        <f t="shared" si="10"/>
        <v>0</v>
      </c>
      <c r="I31" s="106">
        <v>15.25</v>
      </c>
      <c r="J31" s="48">
        <f>+C31*I31</f>
        <v>0</v>
      </c>
      <c r="K31" s="9">
        <f>+IF(C31=0,0,(J31-E31)/E31)</f>
        <v>0</v>
      </c>
      <c r="L31" s="57">
        <f>+D31*(1+$L$2)</f>
        <v>0</v>
      </c>
    </row>
    <row r="32" spans="1:12">
      <c r="A32" t="s">
        <v>52</v>
      </c>
      <c r="C32" s="26">
        <f>+'Service Counts'!R37</f>
        <v>0</v>
      </c>
      <c r="D32" s="57">
        <f>+'Service Counts'!P37</f>
        <v>20.399999999999999</v>
      </c>
      <c r="E32" s="5">
        <f t="shared" si="7"/>
        <v>0</v>
      </c>
      <c r="F32" s="57">
        <f t="shared" ca="1" si="8"/>
        <v>24.72470681894789</v>
      </c>
      <c r="G32" s="48">
        <f t="shared" ca="1" si="9"/>
        <v>0</v>
      </c>
      <c r="H32" s="9">
        <f t="shared" si="10"/>
        <v>0</v>
      </c>
      <c r="I32" s="106">
        <v>20.399999999999999</v>
      </c>
      <c r="J32" s="48">
        <f t="shared" si="11"/>
        <v>0</v>
      </c>
      <c r="K32" s="9">
        <f t="shared" si="12"/>
        <v>0</v>
      </c>
      <c r="L32" s="57">
        <f t="shared" si="13"/>
        <v>20.399999999999999</v>
      </c>
    </row>
    <row r="33" spans="1:12">
      <c r="A33" t="s">
        <v>53</v>
      </c>
      <c r="C33" s="26">
        <f>+'Service Counts'!R38</f>
        <v>707</v>
      </c>
      <c r="D33" s="57">
        <f>+'Service Counts'!P38</f>
        <v>23.3</v>
      </c>
      <c r="E33" s="5">
        <f t="shared" si="7"/>
        <v>16473.100000000002</v>
      </c>
      <c r="F33" s="57">
        <f t="shared" ca="1" si="8"/>
        <v>28.239493572621861</v>
      </c>
      <c r="G33" s="48">
        <f t="shared" ca="1" si="9"/>
        <v>19965.321955843654</v>
      </c>
      <c r="H33" s="9">
        <f t="shared" ca="1" si="10"/>
        <v>0.21199543230136716</v>
      </c>
      <c r="I33" s="106">
        <v>23.3</v>
      </c>
      <c r="J33" s="48">
        <f t="shared" si="11"/>
        <v>16473.100000000002</v>
      </c>
      <c r="K33" s="9">
        <f t="shared" si="12"/>
        <v>0</v>
      </c>
      <c r="L33" s="57">
        <f t="shared" si="13"/>
        <v>23.3</v>
      </c>
    </row>
    <row r="34" spans="1:12">
      <c r="A34" s="459" t="s">
        <v>54</v>
      </c>
      <c r="C34" s="26">
        <f>+'Service Counts'!R39</f>
        <v>0</v>
      </c>
      <c r="D34" s="57">
        <v>0</v>
      </c>
      <c r="E34" s="5">
        <f>+C34*D34</f>
        <v>0</v>
      </c>
      <c r="F34" s="57">
        <f ca="1">+D34*(1+$H$4)</f>
        <v>0</v>
      </c>
      <c r="G34" s="48">
        <f ca="1">+C34*F34</f>
        <v>0</v>
      </c>
      <c r="H34" s="9">
        <f>+IF(C34=0,0,(G34-E34)/E34)</f>
        <v>0</v>
      </c>
      <c r="I34" s="106">
        <v>23.3</v>
      </c>
      <c r="J34" s="48">
        <f>+C34*I34</f>
        <v>0</v>
      </c>
      <c r="K34" s="9">
        <f>+IF(C34=0,0,(J34-E34)/E34)</f>
        <v>0</v>
      </c>
      <c r="L34" s="57">
        <f>+D34*(1+$L$2)</f>
        <v>0</v>
      </c>
    </row>
    <row r="35" spans="1:12">
      <c r="A35" t="s">
        <v>55</v>
      </c>
      <c r="C35" s="26">
        <f>+'Service Counts'!R40</f>
        <v>52</v>
      </c>
      <c r="D35" s="57">
        <f>+'Service Counts'!P40</f>
        <v>30.5</v>
      </c>
      <c r="E35" s="5">
        <f t="shared" si="7"/>
        <v>1586</v>
      </c>
      <c r="F35" s="57">
        <f t="shared" ca="1" si="8"/>
        <v>36.9658606851917</v>
      </c>
      <c r="G35" s="48">
        <f t="shared" ca="1" si="9"/>
        <v>1922.2247556299685</v>
      </c>
      <c r="H35" s="9">
        <f t="shared" ca="1" si="10"/>
        <v>0.21199543230136728</v>
      </c>
      <c r="I35" s="106">
        <v>30.5</v>
      </c>
      <c r="J35" s="48">
        <f t="shared" si="11"/>
        <v>1586</v>
      </c>
      <c r="K35" s="9">
        <f t="shared" si="12"/>
        <v>0</v>
      </c>
      <c r="L35" s="57">
        <f t="shared" si="13"/>
        <v>30.5</v>
      </c>
    </row>
    <row r="36" spans="1:12">
      <c r="A36" t="s">
        <v>56</v>
      </c>
      <c r="C36" s="26">
        <f>+'Service Counts'!R41</f>
        <v>609</v>
      </c>
      <c r="D36" s="57">
        <f>+'Service Counts'!P41</f>
        <v>38.950000000000003</v>
      </c>
      <c r="E36" s="5">
        <f t="shared" si="7"/>
        <v>23720.550000000003</v>
      </c>
      <c r="F36" s="57">
        <f t="shared" ca="1" si="8"/>
        <v>47.207222088138259</v>
      </c>
      <c r="G36" s="48">
        <f t="shared" ca="1" si="9"/>
        <v>28749.1982516762</v>
      </c>
      <c r="H36" s="9">
        <f t="shared" ca="1" si="10"/>
        <v>0.21199543230136722</v>
      </c>
      <c r="I36" s="106">
        <v>38.950000000000003</v>
      </c>
      <c r="J36" s="48">
        <f t="shared" si="11"/>
        <v>23720.550000000003</v>
      </c>
      <c r="K36" s="9">
        <f t="shared" si="12"/>
        <v>0</v>
      </c>
      <c r="L36" s="57">
        <f t="shared" si="13"/>
        <v>38.950000000000003</v>
      </c>
    </row>
    <row r="37" spans="1:12">
      <c r="A37" t="s">
        <v>57</v>
      </c>
      <c r="C37" s="26">
        <f>+'Service Counts'!R42</f>
        <v>182</v>
      </c>
      <c r="D37" s="57">
        <f>+'Service Counts'!P42</f>
        <v>61.6</v>
      </c>
      <c r="E37" s="5">
        <f t="shared" si="7"/>
        <v>11211.2</v>
      </c>
      <c r="F37" s="57">
        <f t="shared" ca="1" si="8"/>
        <v>74.65891862976423</v>
      </c>
      <c r="G37" s="48">
        <f t="shared" ca="1" si="9"/>
        <v>13587.92319061709</v>
      </c>
      <c r="H37" s="9">
        <f t="shared" ca="1" si="10"/>
        <v>0.2119954323013673</v>
      </c>
      <c r="I37" s="106">
        <v>61.6</v>
      </c>
      <c r="J37" s="48">
        <f t="shared" si="11"/>
        <v>11211.2</v>
      </c>
      <c r="K37" s="9">
        <f t="shared" si="12"/>
        <v>0</v>
      </c>
      <c r="L37" s="57">
        <f t="shared" si="13"/>
        <v>61.6</v>
      </c>
    </row>
    <row r="38" spans="1:12">
      <c r="A38" t="s">
        <v>58</v>
      </c>
      <c r="C38" s="26">
        <f>+'Service Counts'!R43</f>
        <v>7</v>
      </c>
      <c r="D38" s="57">
        <f>+'Service Counts'!P43</f>
        <v>8.25</v>
      </c>
      <c r="E38" s="5">
        <f t="shared" si="7"/>
        <v>57.75</v>
      </c>
      <c r="F38" s="57">
        <f t="shared" ca="1" si="8"/>
        <v>9.9989623164862795</v>
      </c>
      <c r="G38" s="48">
        <f t="shared" ca="1" si="9"/>
        <v>69.992736215403951</v>
      </c>
      <c r="H38" s="9">
        <f t="shared" ca="1" si="10"/>
        <v>0.21199543230136714</v>
      </c>
      <c r="I38" s="106">
        <v>8.25</v>
      </c>
      <c r="J38" s="48">
        <f t="shared" si="11"/>
        <v>57.75</v>
      </c>
      <c r="K38" s="9">
        <f t="shared" si="12"/>
        <v>0</v>
      </c>
      <c r="L38" s="57">
        <f t="shared" si="13"/>
        <v>8.25</v>
      </c>
    </row>
    <row r="39" spans="1:12">
      <c r="A39" t="s">
        <v>59</v>
      </c>
      <c r="C39" s="26">
        <f>+'Service Counts'!R44</f>
        <v>0</v>
      </c>
      <c r="D39" s="57">
        <f>+'Service Counts'!P44</f>
        <v>10.9</v>
      </c>
      <c r="E39" s="5">
        <f t="shared" si="7"/>
        <v>0</v>
      </c>
      <c r="F39" s="57">
        <f t="shared" ca="1" si="8"/>
        <v>13.210750212084903</v>
      </c>
      <c r="G39" s="48">
        <f t="shared" ca="1" si="9"/>
        <v>0</v>
      </c>
      <c r="H39" s="9">
        <f t="shared" si="10"/>
        <v>0</v>
      </c>
      <c r="I39" s="106">
        <v>10.9</v>
      </c>
      <c r="J39" s="48">
        <f t="shared" si="11"/>
        <v>0</v>
      </c>
      <c r="K39" s="9">
        <f t="shared" si="12"/>
        <v>0</v>
      </c>
      <c r="L39" s="57">
        <f t="shared" si="13"/>
        <v>10.9</v>
      </c>
    </row>
    <row r="40" spans="1:12">
      <c r="A40" t="s">
        <v>60</v>
      </c>
      <c r="C40" s="26">
        <f>+'Service Counts'!R45</f>
        <v>4</v>
      </c>
      <c r="D40" s="57">
        <f>+'Service Counts'!P45</f>
        <v>14.5</v>
      </c>
      <c r="E40" s="5">
        <f t="shared" si="7"/>
        <v>58</v>
      </c>
      <c r="F40" s="57">
        <f t="shared" ca="1" si="8"/>
        <v>17.573933768369827</v>
      </c>
      <c r="G40" s="48">
        <f t="shared" ca="1" si="9"/>
        <v>70.295735073479307</v>
      </c>
      <c r="H40" s="9">
        <f t="shared" ca="1" si="10"/>
        <v>0.21199543230136736</v>
      </c>
      <c r="I40" s="106">
        <v>14.5</v>
      </c>
      <c r="J40" s="48">
        <f t="shared" si="11"/>
        <v>58</v>
      </c>
      <c r="K40" s="9">
        <f t="shared" si="12"/>
        <v>0</v>
      </c>
      <c r="L40" s="57">
        <f t="shared" si="13"/>
        <v>14.5</v>
      </c>
    </row>
    <row r="41" spans="1:12">
      <c r="A41" t="s">
        <v>61</v>
      </c>
      <c r="C41" s="26">
        <f>+'Service Counts'!R46</f>
        <v>0</v>
      </c>
      <c r="D41" s="57">
        <f>+'Service Counts'!P46</f>
        <v>15.2</v>
      </c>
      <c r="E41" s="5">
        <f t="shared" si="7"/>
        <v>0</v>
      </c>
      <c r="F41" s="57">
        <f t="shared" ca="1" si="8"/>
        <v>18.422330570980783</v>
      </c>
      <c r="G41" s="48">
        <f t="shared" ca="1" si="9"/>
        <v>0</v>
      </c>
      <c r="H41" s="9">
        <f t="shared" si="10"/>
        <v>0</v>
      </c>
      <c r="I41" s="106">
        <v>15.2</v>
      </c>
      <c r="J41" s="48">
        <f t="shared" si="11"/>
        <v>0</v>
      </c>
      <c r="K41" s="9">
        <f t="shared" si="12"/>
        <v>0</v>
      </c>
      <c r="L41" s="57">
        <f t="shared" si="13"/>
        <v>15.2</v>
      </c>
    </row>
    <row r="42" spans="1:12">
      <c r="A42" t="s">
        <v>62</v>
      </c>
      <c r="C42" s="26">
        <f>+'Service Counts'!R47</f>
        <v>0</v>
      </c>
      <c r="D42" s="57">
        <f>+'Service Counts'!P47</f>
        <v>15.8</v>
      </c>
      <c r="E42" s="5">
        <f t="shared" si="7"/>
        <v>0</v>
      </c>
      <c r="F42" s="57">
        <f t="shared" ca="1" si="8"/>
        <v>19.149527830361603</v>
      </c>
      <c r="G42" s="48">
        <f t="shared" ca="1" si="9"/>
        <v>0</v>
      </c>
      <c r="H42" s="9">
        <f t="shared" si="10"/>
        <v>0</v>
      </c>
      <c r="I42" s="106">
        <v>15.8</v>
      </c>
      <c r="J42" s="48">
        <f t="shared" si="11"/>
        <v>0</v>
      </c>
      <c r="K42" s="9">
        <f t="shared" si="12"/>
        <v>0</v>
      </c>
      <c r="L42" s="57">
        <f t="shared" si="13"/>
        <v>15.8</v>
      </c>
    </row>
    <row r="43" spans="1:12">
      <c r="A43" t="s">
        <v>63</v>
      </c>
      <c r="C43" s="26">
        <f>+'Service Counts'!R48</f>
        <v>1</v>
      </c>
      <c r="D43" s="57">
        <f>+'Service Counts'!P48</f>
        <v>18.350000000000001</v>
      </c>
      <c r="E43" s="5">
        <f t="shared" si="7"/>
        <v>18.350000000000001</v>
      </c>
      <c r="F43" s="57">
        <f t="shared" ca="1" si="8"/>
        <v>22.240116182730091</v>
      </c>
      <c r="G43" s="48">
        <f t="shared" ca="1" si="9"/>
        <v>22.240116182730091</v>
      </c>
      <c r="H43" s="9">
        <f t="shared" ca="1" si="10"/>
        <v>0.21199543230136728</v>
      </c>
      <c r="I43" s="106">
        <v>18.350000000000001</v>
      </c>
      <c r="J43" s="48">
        <f t="shared" si="11"/>
        <v>18.350000000000001</v>
      </c>
      <c r="K43" s="9">
        <f t="shared" si="12"/>
        <v>0</v>
      </c>
      <c r="L43" s="57">
        <f t="shared" si="13"/>
        <v>18.350000000000001</v>
      </c>
    </row>
    <row r="44" spans="1:12">
      <c r="A44" t="s">
        <v>64</v>
      </c>
      <c r="C44" s="26">
        <f>+'Service Counts'!R49</f>
        <v>0</v>
      </c>
      <c r="D44" s="57">
        <f>+'Service Counts'!P49</f>
        <v>2.2999999999999998</v>
      </c>
      <c r="E44" s="5">
        <f t="shared" si="7"/>
        <v>0</v>
      </c>
      <c r="F44" s="57">
        <f t="shared" ca="1" si="8"/>
        <v>2.7875894942931447</v>
      </c>
      <c r="G44" s="48">
        <f t="shared" ca="1" si="9"/>
        <v>0</v>
      </c>
      <c r="H44" s="9">
        <f t="shared" si="10"/>
        <v>0</v>
      </c>
      <c r="I44" s="106">
        <v>2.2999999999999998</v>
      </c>
      <c r="J44" s="48">
        <f t="shared" si="11"/>
        <v>0</v>
      </c>
      <c r="K44" s="9">
        <f t="shared" si="12"/>
        <v>0</v>
      </c>
      <c r="L44" s="57">
        <f t="shared" si="13"/>
        <v>2.2999999999999998</v>
      </c>
    </row>
    <row r="45" spans="1:12">
      <c r="A45" t="s">
        <v>65</v>
      </c>
      <c r="C45" s="26">
        <f>+'Service Counts'!R50</f>
        <v>377</v>
      </c>
      <c r="D45" s="57">
        <f>+'Service Counts'!P50</f>
        <v>1.3</v>
      </c>
      <c r="E45" s="38">
        <f t="shared" si="7"/>
        <v>490.1</v>
      </c>
      <c r="F45" s="57">
        <f t="shared" ca="1" si="8"/>
        <v>1.5755940619917777</v>
      </c>
      <c r="G45" s="52">
        <f t="shared" ca="1" si="9"/>
        <v>593.99896137090013</v>
      </c>
      <c r="H45" s="9">
        <f t="shared" ca="1" si="10"/>
        <v>0.21199543230136728</v>
      </c>
      <c r="I45" s="106">
        <v>1.3</v>
      </c>
      <c r="J45" s="52">
        <f t="shared" si="11"/>
        <v>490.1</v>
      </c>
      <c r="K45" s="9">
        <f t="shared" si="12"/>
        <v>0</v>
      </c>
      <c r="L45" s="57">
        <f t="shared" si="13"/>
        <v>1.3</v>
      </c>
    </row>
    <row r="46" spans="1:12">
      <c r="C46" s="26"/>
      <c r="D46" s="57"/>
      <c r="E46" s="5">
        <f>SUM(E30:E45)</f>
        <v>68224.550000000017</v>
      </c>
      <c r="G46" s="5">
        <f ca="1">SUM(G30:G45)</f>
        <v>82687.842970816244</v>
      </c>
      <c r="I46" s="93"/>
      <c r="J46" s="5">
        <f>SUM(J30:J45)</f>
        <v>68224.550000000017</v>
      </c>
      <c r="K46" s="91">
        <f>(+J46-E46)/E46</f>
        <v>0</v>
      </c>
    </row>
    <row r="47" spans="1:12">
      <c r="A47" t="s">
        <v>66</v>
      </c>
      <c r="C47" s="26"/>
      <c r="D47" s="57"/>
      <c r="I47" s="93"/>
      <c r="J47" s="48"/>
    </row>
    <row r="48" spans="1:12">
      <c r="A48" t="s">
        <v>67</v>
      </c>
      <c r="C48" s="26">
        <f>+'Service Counts'!R53</f>
        <v>0</v>
      </c>
      <c r="D48" s="57">
        <f>+'Service Counts'!P53</f>
        <v>95.05</v>
      </c>
      <c r="E48" s="5">
        <f t="shared" ref="E48:E59" si="14">+C48*D48</f>
        <v>0</v>
      </c>
      <c r="F48" s="57">
        <f t="shared" ref="F48:F59" ca="1" si="15">+D48*(1+$H$4)</f>
        <v>115.20016584024496</v>
      </c>
      <c r="G48" s="48">
        <f t="shared" ref="G48:G59" ca="1" si="16">+C48*F48</f>
        <v>0</v>
      </c>
      <c r="H48" s="9">
        <f t="shared" ref="H48:H59" si="17">+IF(C48=0,0,(G48-E48)/E48)</f>
        <v>0</v>
      </c>
      <c r="I48" s="106">
        <v>95.05</v>
      </c>
      <c r="J48" s="48">
        <f t="shared" ref="J48:J59" si="18">+C48*I48</f>
        <v>0</v>
      </c>
      <c r="K48" s="9">
        <f t="shared" ref="K48:K59" si="19">+IF(C48=0,0,(J48-E48)/E48)</f>
        <v>0</v>
      </c>
      <c r="L48" s="57">
        <f t="shared" ref="L48:L59" si="20">+D48*(1+$L$2)</f>
        <v>95.05</v>
      </c>
    </row>
    <row r="49" spans="1:12">
      <c r="A49" t="s">
        <v>68</v>
      </c>
      <c r="C49" s="26">
        <f>+'Service Counts'!R54</f>
        <v>16</v>
      </c>
      <c r="D49" s="57">
        <f>+'Service Counts'!P54</f>
        <v>114.95</v>
      </c>
      <c r="E49" s="5">
        <f t="shared" si="14"/>
        <v>1839.2</v>
      </c>
      <c r="F49" s="57">
        <f t="shared" ca="1" si="15"/>
        <v>139.31887494304218</v>
      </c>
      <c r="G49" s="48">
        <f t="shared" ca="1" si="16"/>
        <v>2229.1019990886748</v>
      </c>
      <c r="H49" s="9">
        <f t="shared" ca="1" si="17"/>
        <v>0.2119954323013673</v>
      </c>
      <c r="I49" s="106">
        <v>114.95</v>
      </c>
      <c r="J49" s="48">
        <f t="shared" si="18"/>
        <v>1839.2</v>
      </c>
      <c r="K49" s="9">
        <f t="shared" si="19"/>
        <v>0</v>
      </c>
      <c r="L49" s="57">
        <f t="shared" si="20"/>
        <v>114.95</v>
      </c>
    </row>
    <row r="50" spans="1:12">
      <c r="A50" t="s">
        <v>69</v>
      </c>
      <c r="C50" s="26">
        <f>+'Service Counts'!R55</f>
        <v>100</v>
      </c>
      <c r="D50" s="57">
        <f>+'Service Counts'!P55</f>
        <v>124.95</v>
      </c>
      <c r="E50" s="5">
        <f t="shared" si="14"/>
        <v>12495</v>
      </c>
      <c r="F50" s="57">
        <f t="shared" ca="1" si="15"/>
        <v>151.43882926605585</v>
      </c>
      <c r="G50" s="48">
        <f t="shared" ca="1" si="16"/>
        <v>15143.882926605585</v>
      </c>
      <c r="H50" s="9">
        <f t="shared" ca="1" si="17"/>
        <v>0.21199543230136739</v>
      </c>
      <c r="I50" s="106">
        <v>124.95</v>
      </c>
      <c r="J50" s="48">
        <f t="shared" si="18"/>
        <v>12495</v>
      </c>
      <c r="K50" s="9">
        <f t="shared" si="19"/>
        <v>0</v>
      </c>
      <c r="L50" s="57">
        <f t="shared" si="20"/>
        <v>124.95</v>
      </c>
    </row>
    <row r="51" spans="1:12">
      <c r="A51" t="s">
        <v>70</v>
      </c>
      <c r="C51" s="26">
        <f>+'Service Counts'!R56</f>
        <v>0</v>
      </c>
      <c r="D51" s="57">
        <f>+'Service Counts'!P56</f>
        <v>3.05</v>
      </c>
      <c r="E51" s="5">
        <f t="shared" si="14"/>
        <v>0</v>
      </c>
      <c r="F51" s="57">
        <f t="shared" ca="1" si="15"/>
        <v>3.6965860685191703</v>
      </c>
      <c r="G51" s="48">
        <f t="shared" ca="1" si="16"/>
        <v>0</v>
      </c>
      <c r="H51" s="9">
        <f t="shared" si="17"/>
        <v>0</v>
      </c>
      <c r="I51" s="106">
        <v>3.05</v>
      </c>
      <c r="J51" s="48">
        <f t="shared" si="18"/>
        <v>0</v>
      </c>
      <c r="K51" s="9">
        <f t="shared" si="19"/>
        <v>0</v>
      </c>
      <c r="L51" s="57">
        <f t="shared" si="20"/>
        <v>3.05</v>
      </c>
    </row>
    <row r="52" spans="1:12">
      <c r="A52" t="s">
        <v>71</v>
      </c>
      <c r="C52" s="26">
        <f>+'Service Counts'!R57</f>
        <v>835</v>
      </c>
      <c r="D52" s="57">
        <f>+'Service Counts'!P57</f>
        <v>3.55</v>
      </c>
      <c r="E52" s="5">
        <f t="shared" si="14"/>
        <v>2964.25</v>
      </c>
      <c r="F52" s="57">
        <f t="shared" ca="1" si="15"/>
        <v>4.3025837846698538</v>
      </c>
      <c r="G52" s="48">
        <f t="shared" ca="1" si="16"/>
        <v>3592.6574601993279</v>
      </c>
      <c r="H52" s="9">
        <f t="shared" ca="1" si="17"/>
        <v>0.21199543230136728</v>
      </c>
      <c r="I52" s="106">
        <v>3.55</v>
      </c>
      <c r="J52" s="48">
        <f t="shared" si="18"/>
        <v>2964.25</v>
      </c>
      <c r="K52" s="9">
        <f t="shared" si="19"/>
        <v>0</v>
      </c>
      <c r="L52" s="57">
        <f t="shared" si="20"/>
        <v>3.55</v>
      </c>
    </row>
    <row r="53" spans="1:12">
      <c r="A53" t="s">
        <v>72</v>
      </c>
      <c r="C53" s="26">
        <f>+'Service Counts'!R58</f>
        <v>1131</v>
      </c>
      <c r="D53" s="57">
        <f>+'Service Counts'!P58</f>
        <v>4.2</v>
      </c>
      <c r="E53" s="5">
        <f t="shared" si="14"/>
        <v>4750.2</v>
      </c>
      <c r="F53" s="57">
        <f t="shared" ca="1" si="15"/>
        <v>5.0903808156657426</v>
      </c>
      <c r="G53" s="48">
        <f t="shared" ca="1" si="16"/>
        <v>5757.220702517955</v>
      </c>
      <c r="H53" s="9">
        <f t="shared" ca="1" si="17"/>
        <v>0.21199543230136736</v>
      </c>
      <c r="I53" s="106">
        <v>4.2</v>
      </c>
      <c r="J53" s="48">
        <f t="shared" si="18"/>
        <v>4750.2</v>
      </c>
      <c r="K53" s="9">
        <f t="shared" si="19"/>
        <v>0</v>
      </c>
      <c r="L53" s="57">
        <f t="shared" si="20"/>
        <v>4.2</v>
      </c>
    </row>
    <row r="54" spans="1:12">
      <c r="A54" t="s">
        <v>73</v>
      </c>
      <c r="C54" s="26">
        <f>+'Service Counts'!R59</f>
        <v>0</v>
      </c>
      <c r="D54" s="57">
        <f>+'Service Counts'!P59</f>
        <v>35</v>
      </c>
      <c r="E54" s="5">
        <f t="shared" si="14"/>
        <v>0</v>
      </c>
      <c r="F54" s="57">
        <f t="shared" ca="1" si="15"/>
        <v>42.419840130547854</v>
      </c>
      <c r="G54" s="48">
        <f t="shared" ca="1" si="16"/>
        <v>0</v>
      </c>
      <c r="H54" s="9">
        <f t="shared" si="17"/>
        <v>0</v>
      </c>
      <c r="I54" s="106">
        <v>35</v>
      </c>
      <c r="J54" s="48">
        <f t="shared" si="18"/>
        <v>0</v>
      </c>
      <c r="K54" s="9">
        <f t="shared" si="19"/>
        <v>0</v>
      </c>
      <c r="L54" s="57">
        <f t="shared" si="20"/>
        <v>35</v>
      </c>
    </row>
    <row r="55" spans="1:12">
      <c r="A55" t="s">
        <v>74</v>
      </c>
      <c r="C55" s="26">
        <f>+'Service Counts'!R60</f>
        <v>3</v>
      </c>
      <c r="D55" s="57">
        <f>+'Service Counts'!P60</f>
        <v>35</v>
      </c>
      <c r="E55" s="5">
        <f t="shared" si="14"/>
        <v>105</v>
      </c>
      <c r="F55" s="57">
        <f t="shared" ca="1" si="15"/>
        <v>42.419840130547854</v>
      </c>
      <c r="G55" s="48">
        <f t="shared" ca="1" si="16"/>
        <v>127.25952039164356</v>
      </c>
      <c r="H55" s="9">
        <f t="shared" ca="1" si="17"/>
        <v>0.21199543230136725</v>
      </c>
      <c r="I55" s="106">
        <v>35</v>
      </c>
      <c r="J55" s="48">
        <f t="shared" si="18"/>
        <v>105</v>
      </c>
      <c r="K55" s="9">
        <f t="shared" si="19"/>
        <v>0</v>
      </c>
      <c r="L55" s="57">
        <f t="shared" si="20"/>
        <v>35</v>
      </c>
    </row>
    <row r="56" spans="1:12">
      <c r="A56" t="s">
        <v>75</v>
      </c>
      <c r="C56" s="26">
        <f>+'Service Counts'!R61</f>
        <v>7</v>
      </c>
      <c r="D56" s="57">
        <f>+'Service Counts'!P61</f>
        <v>35</v>
      </c>
      <c r="E56" s="5">
        <f t="shared" si="14"/>
        <v>245</v>
      </c>
      <c r="F56" s="57">
        <f t="shared" ca="1" si="15"/>
        <v>42.419840130547854</v>
      </c>
      <c r="G56" s="48">
        <f t="shared" ca="1" si="16"/>
        <v>296.93888091383496</v>
      </c>
      <c r="H56" s="9">
        <f t="shared" ca="1" si="17"/>
        <v>0.21199543230136719</v>
      </c>
      <c r="I56" s="106">
        <v>35</v>
      </c>
      <c r="J56" s="48">
        <f t="shared" si="18"/>
        <v>245</v>
      </c>
      <c r="K56" s="9">
        <f t="shared" si="19"/>
        <v>0</v>
      </c>
      <c r="L56" s="57">
        <f t="shared" si="20"/>
        <v>35</v>
      </c>
    </row>
    <row r="57" spans="1:12">
      <c r="A57" t="s">
        <v>76</v>
      </c>
      <c r="C57" s="26">
        <f>+'Service Counts'!R62</f>
        <v>5090</v>
      </c>
      <c r="D57" s="57">
        <f>+'Service Counts'!P62</f>
        <v>2.2000000000000002</v>
      </c>
      <c r="E57" s="5">
        <f t="shared" si="14"/>
        <v>11198</v>
      </c>
      <c r="F57" s="57">
        <f t="shared" ca="1" si="15"/>
        <v>2.6663899510630085</v>
      </c>
      <c r="G57" s="48">
        <f t="shared" ca="1" si="16"/>
        <v>13571.924850910713</v>
      </c>
      <c r="H57" s="9">
        <f t="shared" ca="1" si="17"/>
        <v>0.21199543230136747</v>
      </c>
      <c r="I57" s="106">
        <v>2.2000000000000002</v>
      </c>
      <c r="J57" s="48">
        <f t="shared" si="18"/>
        <v>11198</v>
      </c>
      <c r="K57" s="9">
        <f t="shared" si="19"/>
        <v>0</v>
      </c>
      <c r="L57" s="57">
        <f t="shared" si="20"/>
        <v>2.2000000000000002</v>
      </c>
    </row>
    <row r="58" spans="1:12">
      <c r="A58" t="s">
        <v>78</v>
      </c>
      <c r="C58" s="26">
        <f>+'Service Counts'!R64</f>
        <v>0</v>
      </c>
      <c r="D58" s="57">
        <f>+'Service Counts'!P64</f>
        <v>0</v>
      </c>
      <c r="E58" s="5">
        <f t="shared" si="14"/>
        <v>0</v>
      </c>
      <c r="F58" s="57">
        <f t="shared" ca="1" si="15"/>
        <v>0</v>
      </c>
      <c r="G58" s="48">
        <f t="shared" ca="1" si="16"/>
        <v>0</v>
      </c>
      <c r="H58" s="9">
        <f t="shared" si="17"/>
        <v>0</v>
      </c>
      <c r="I58" s="106">
        <f>+L58</f>
        <v>0</v>
      </c>
      <c r="J58" s="48">
        <f t="shared" si="18"/>
        <v>0</v>
      </c>
      <c r="K58" s="9">
        <f t="shared" si="19"/>
        <v>0</v>
      </c>
      <c r="L58" s="57">
        <f t="shared" si="20"/>
        <v>0</v>
      </c>
    </row>
    <row r="59" spans="1:12">
      <c r="A59" t="s">
        <v>79</v>
      </c>
      <c r="C59" s="26">
        <f>+'Service Counts'!R65</f>
        <v>0</v>
      </c>
      <c r="D59" s="57">
        <f>+'Service Counts'!P65</f>
        <v>0</v>
      </c>
      <c r="E59" s="38">
        <f t="shared" si="14"/>
        <v>0</v>
      </c>
      <c r="F59" s="57">
        <f t="shared" ca="1" si="15"/>
        <v>0</v>
      </c>
      <c r="G59" s="52">
        <f t="shared" ca="1" si="16"/>
        <v>0</v>
      </c>
      <c r="H59" s="9">
        <f t="shared" si="17"/>
        <v>0</v>
      </c>
      <c r="I59" s="106">
        <f>+L59</f>
        <v>0</v>
      </c>
      <c r="J59" s="52">
        <f t="shared" si="18"/>
        <v>0</v>
      </c>
      <c r="K59" s="9">
        <f t="shared" si="19"/>
        <v>0</v>
      </c>
      <c r="L59" s="57">
        <f t="shared" si="20"/>
        <v>0</v>
      </c>
    </row>
    <row r="60" spans="1:12">
      <c r="C60" s="26"/>
      <c r="D60" s="57"/>
      <c r="E60" s="5">
        <f>SUM(E48:E59)</f>
        <v>33596.65</v>
      </c>
      <c r="G60" s="5">
        <f ca="1">SUM(G48:G59)</f>
        <v>40718.986340627736</v>
      </c>
      <c r="I60" s="93"/>
      <c r="J60" s="5">
        <f>SUM(J48:J59)</f>
        <v>33596.65</v>
      </c>
      <c r="K60" s="91">
        <f>(+J60-E60)/E60</f>
        <v>0</v>
      </c>
    </row>
    <row r="61" spans="1:12">
      <c r="A61" t="s">
        <v>80</v>
      </c>
      <c r="C61" s="26"/>
      <c r="D61" s="57"/>
      <c r="I61" s="93"/>
      <c r="J61" s="48"/>
    </row>
    <row r="62" spans="1:12">
      <c r="A62" t="s">
        <v>81</v>
      </c>
      <c r="C62" s="26"/>
      <c r="D62" s="57"/>
      <c r="I62" s="93"/>
      <c r="J62" s="48"/>
    </row>
    <row r="63" spans="1:12">
      <c r="A63" t="s">
        <v>82</v>
      </c>
      <c r="C63" s="26">
        <f>+'Service Counts'!R69</f>
        <v>0</v>
      </c>
      <c r="D63" s="57">
        <f>+'Service Counts'!P69</f>
        <v>129</v>
      </c>
      <c r="E63" s="5">
        <f>+C63*D63</f>
        <v>0</v>
      </c>
      <c r="F63" s="57">
        <f ca="1">+D63*(1+$H$4)</f>
        <v>156.34741076687638</v>
      </c>
      <c r="G63" s="48">
        <f ca="1">+C63*F63</f>
        <v>0</v>
      </c>
      <c r="H63" s="9">
        <f>+IF(C63=0,0,(G63-E63)/E63)</f>
        <v>0</v>
      </c>
      <c r="I63" s="106">
        <v>129</v>
      </c>
      <c r="J63" s="48">
        <f>+C63*I63</f>
        <v>0</v>
      </c>
      <c r="K63" s="9">
        <f>+IF(C63=0,0,(J63-E63)/E63)</f>
        <v>0</v>
      </c>
      <c r="L63" s="57">
        <f>+D63*(1+$L$2)</f>
        <v>129</v>
      </c>
    </row>
    <row r="64" spans="1:12">
      <c r="A64" t="s">
        <v>83</v>
      </c>
      <c r="C64" s="26">
        <f>+'Service Counts'!R70</f>
        <v>0</v>
      </c>
      <c r="D64" s="57">
        <f>+'Service Counts'!P70</f>
        <v>32</v>
      </c>
      <c r="E64" s="38">
        <f>+C64*D64</f>
        <v>0</v>
      </c>
      <c r="F64" s="57">
        <f ca="1">+D64*(1+$H$4)</f>
        <v>38.783853833643754</v>
      </c>
      <c r="G64" s="52">
        <f ca="1">+C64*F64</f>
        <v>0</v>
      </c>
      <c r="H64" s="9">
        <f>+IF(C64=0,0,(G64-E64)/E64)</f>
        <v>0</v>
      </c>
      <c r="I64" s="106">
        <v>32</v>
      </c>
      <c r="J64" s="52">
        <f>+C64*I64</f>
        <v>0</v>
      </c>
      <c r="K64" s="9">
        <f>+IF(C64=0,0,(J64-E64)/E64)</f>
        <v>0</v>
      </c>
      <c r="L64" s="57">
        <f>+D64*(1+$L$2)</f>
        <v>32</v>
      </c>
    </row>
    <row r="65" spans="1:11">
      <c r="C65" s="26"/>
      <c r="D65" s="57"/>
      <c r="E65" s="5">
        <f>SUM(E63:E64)</f>
        <v>0</v>
      </c>
      <c r="G65" s="5">
        <f ca="1">SUM(G63:G64)</f>
        <v>0</v>
      </c>
      <c r="J65" s="5">
        <f>SUM(J63:J64)</f>
        <v>0</v>
      </c>
      <c r="K65" s="91" t="e">
        <f>(+J65-E65)/E65</f>
        <v>#DIV/0!</v>
      </c>
    </row>
    <row r="66" spans="1:11">
      <c r="C66" s="26"/>
      <c r="D66" s="51"/>
    </row>
    <row r="67" spans="1:11">
      <c r="C67" s="26"/>
      <c r="D67" s="51"/>
    </row>
    <row r="68" spans="1:11">
      <c r="C68" s="26">
        <f>+'Service Counts'!R72</f>
        <v>12904.25</v>
      </c>
      <c r="D68" s="51"/>
      <c r="E68" s="57">
        <f>+E28+E46+E60+E65</f>
        <v>153121.52250000002</v>
      </c>
      <c r="G68" s="57">
        <f ca="1">+G28+G46+G60+G65</f>
        <v>185582.58585703105</v>
      </c>
      <c r="J68" s="57">
        <f>+J28+J46+J60+J65</f>
        <v>153121.52250000002</v>
      </c>
    </row>
    <row r="69" spans="1:11">
      <c r="C69" s="26"/>
      <c r="D69" s="51"/>
    </row>
    <row r="70" spans="1:11">
      <c r="A70" t="s">
        <v>85</v>
      </c>
      <c r="C70" s="26"/>
      <c r="D70" s="51"/>
      <c r="G70" s="57">
        <f ca="1">+G68-E68</f>
        <v>32461.063357031031</v>
      </c>
      <c r="J70" s="57">
        <f>+J68-E68</f>
        <v>0</v>
      </c>
      <c r="K70" s="105">
        <f>ROUND((+J70/E68),4)</f>
        <v>0</v>
      </c>
    </row>
    <row r="71" spans="1:11">
      <c r="C71" s="26"/>
      <c r="D71" s="51"/>
    </row>
    <row r="72" spans="1:11">
      <c r="C72" s="26"/>
      <c r="D72" s="51"/>
      <c r="E72" s="5"/>
      <c r="K72" s="31">
        <f>+K70</f>
        <v>0</v>
      </c>
    </row>
    <row r="73" spans="1:11">
      <c r="C73" s="26"/>
      <c r="D73" s="51"/>
      <c r="E73" s="5"/>
    </row>
    <row r="74" spans="1:11">
      <c r="C74" s="26"/>
      <c r="D74" s="51"/>
      <c r="E74" s="5"/>
    </row>
    <row r="75" spans="1:11">
      <c r="C75" s="26"/>
      <c r="D75" s="51"/>
    </row>
    <row r="76" spans="1:11">
      <c r="C76" s="26"/>
      <c r="D76" s="51"/>
      <c r="E76" s="51"/>
    </row>
    <row r="77" spans="1:11">
      <c r="C77" s="26"/>
      <c r="D77" s="51"/>
      <c r="E77" s="9"/>
    </row>
    <row r="78" spans="1:11">
      <c r="C78" s="26"/>
      <c r="D78" s="51"/>
      <c r="E78" s="9"/>
    </row>
    <row r="79" spans="1:11">
      <c r="C79" s="26"/>
      <c r="D79" s="51"/>
    </row>
    <row r="80" spans="1:11">
      <c r="D80" s="51"/>
    </row>
  </sheetData>
  <pageMargins left="0.25" right="0.25" top="0.75" bottom="0.25" header="0.5" footer="0.5"/>
  <pageSetup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fitToPage="1"/>
  </sheetPr>
  <dimension ref="A1:N80"/>
  <sheetViews>
    <sheetView topLeftCell="A46" workbookViewId="0">
      <selection activeCell="F5" sqref="F5"/>
    </sheetView>
  </sheetViews>
  <sheetFormatPr defaultRowHeight="12.75"/>
  <cols>
    <col min="2" max="2" width="11.7109375" customWidth="1"/>
    <col min="5" max="5" width="11.28515625" customWidth="1"/>
    <col min="7" max="7" width="13" customWidth="1"/>
    <col min="8" max="8" width="10.85546875" customWidth="1"/>
    <col min="10" max="10" width="11.7109375" customWidth="1"/>
  </cols>
  <sheetData>
    <row r="1" spans="1:14">
      <c r="A1" t="s">
        <v>4</v>
      </c>
      <c r="G1" t="s">
        <v>5</v>
      </c>
      <c r="J1" t="s">
        <v>6</v>
      </c>
    </row>
    <row r="2" spans="1:14">
      <c r="A2" t="s">
        <v>993</v>
      </c>
      <c r="G2" s="9">
        <f ca="1">+H2/E68</f>
        <v>-7.5136551819694974E-2</v>
      </c>
      <c r="H2" s="74">
        <f ca="1">'New LG Total Okanogan'!M21</f>
        <v>-33170.846560172766</v>
      </c>
      <c r="I2" t="s">
        <v>8</v>
      </c>
      <c r="J2" s="57">
        <f>+J70</f>
        <v>0</v>
      </c>
      <c r="K2" s="104">
        <f>+J2/E68</f>
        <v>0</v>
      </c>
      <c r="L2" s="103">
        <v>0</v>
      </c>
    </row>
    <row r="3" spans="1:14">
      <c r="A3" s="1" t="str">
        <f>+'Priceout-Douglas'!A3</f>
        <v>12 months ended June 30, 2024</v>
      </c>
      <c r="H3" s="9">
        <f ca="1">+G2</f>
        <v>-7.5136551819694974E-2</v>
      </c>
      <c r="I3" t="s">
        <v>10</v>
      </c>
    </row>
    <row r="4" spans="1:14">
      <c r="E4" s="459" t="s">
        <v>691</v>
      </c>
      <c r="F4" s="459" t="s">
        <v>12</v>
      </c>
      <c r="H4" s="9">
        <f ca="1">+G2</f>
        <v>-7.5136551819694974E-2</v>
      </c>
      <c r="I4" t="s">
        <v>13</v>
      </c>
    </row>
    <row r="6" spans="1:14" ht="13.5" thickBot="1">
      <c r="A6" s="102" t="s">
        <v>994</v>
      </c>
      <c r="B6" s="4"/>
      <c r="C6" s="4"/>
    </row>
    <row r="7" spans="1:14">
      <c r="F7" s="101"/>
      <c r="G7" s="100" t="s">
        <v>17</v>
      </c>
      <c r="H7" s="99"/>
      <c r="I7" s="101"/>
      <c r="J7" s="100" t="s">
        <v>18</v>
      </c>
      <c r="K7" s="99"/>
    </row>
    <row r="8" spans="1:14">
      <c r="C8" s="530" t="s">
        <v>19</v>
      </c>
      <c r="D8" s="530" t="s">
        <v>21</v>
      </c>
      <c r="E8" s="530" t="s">
        <v>22</v>
      </c>
      <c r="F8" s="98" t="s">
        <v>17</v>
      </c>
      <c r="G8" s="530" t="s">
        <v>22</v>
      </c>
      <c r="H8" s="97" t="s">
        <v>23</v>
      </c>
      <c r="I8" s="98" t="s">
        <v>24</v>
      </c>
      <c r="J8" s="530" t="s">
        <v>22</v>
      </c>
      <c r="K8" s="97" t="s">
        <v>23</v>
      </c>
    </row>
    <row r="9" spans="1:14" ht="13.5" thickBot="1">
      <c r="A9" s="4" t="s">
        <v>25</v>
      </c>
      <c r="B9" s="4"/>
      <c r="C9" s="18" t="s">
        <v>7</v>
      </c>
      <c r="D9" s="96" t="s">
        <v>26</v>
      </c>
      <c r="E9" s="96" t="s">
        <v>27</v>
      </c>
      <c r="F9" s="95" t="s">
        <v>28</v>
      </c>
      <c r="G9" s="18" t="s">
        <v>27</v>
      </c>
      <c r="H9" s="94" t="s">
        <v>8</v>
      </c>
      <c r="I9" s="95" t="s">
        <v>28</v>
      </c>
      <c r="J9" s="18" t="s">
        <v>27</v>
      </c>
      <c r="K9" s="94" t="s">
        <v>8</v>
      </c>
    </row>
    <row r="10" spans="1:14">
      <c r="A10" t="s">
        <v>30</v>
      </c>
    </row>
    <row r="11" spans="1:14">
      <c r="A11" t="s">
        <v>31</v>
      </c>
      <c r="C11" s="26">
        <f>+'Service Counts'!AA10</f>
        <v>0</v>
      </c>
      <c r="D11" s="57">
        <f>+'Service Counts'!Y10</f>
        <v>13.65</v>
      </c>
      <c r="E11" s="51">
        <f t="shared" ref="E11:E27" si="0">+C11*D11</f>
        <v>0</v>
      </c>
      <c r="F11" s="57">
        <f t="shared" ref="F11:F27" ca="1" si="1">+D11*(1+$H$4)</f>
        <v>12.624386067661165</v>
      </c>
      <c r="G11" s="57">
        <f t="shared" ref="G11:G27" ca="1" si="2">+C11*F11</f>
        <v>0</v>
      </c>
      <c r="H11" s="9">
        <f t="shared" ref="H11:H27" si="3">+IF(C11=0,0,(G11-E11)/E11)</f>
        <v>0</v>
      </c>
      <c r="I11" s="106">
        <v>13.65</v>
      </c>
      <c r="J11" s="63">
        <f t="shared" ref="J11:J27" si="4">+C11*I11</f>
        <v>0</v>
      </c>
      <c r="K11" s="9">
        <f t="shared" ref="K11:K27" si="5">+IF(C11=0,0,(J11-E11)/E11)</f>
        <v>0</v>
      </c>
      <c r="L11" s="57">
        <f t="shared" ref="L11:L27" si="6">+D11*(1+$L$2)</f>
        <v>13.65</v>
      </c>
    </row>
    <row r="12" spans="1:14">
      <c r="A12" t="s">
        <v>84</v>
      </c>
      <c r="C12" s="26">
        <f>+'Service Counts'!AA11</f>
        <v>9</v>
      </c>
      <c r="D12" s="57">
        <f>+'Service Counts'!Y11</f>
        <v>8.75</v>
      </c>
      <c r="E12" s="51">
        <f t="shared" si="0"/>
        <v>78.75</v>
      </c>
      <c r="F12" s="57">
        <f t="shared" ca="1" si="1"/>
        <v>8.0925551715776702</v>
      </c>
      <c r="G12" s="57">
        <f t="shared" ca="1" si="2"/>
        <v>72.832996544199034</v>
      </c>
      <c r="H12" s="9">
        <f t="shared" ca="1" si="3"/>
        <v>-7.5136551819694808E-2</v>
      </c>
      <c r="I12" s="106">
        <v>8.75</v>
      </c>
      <c r="J12" s="63">
        <f t="shared" si="4"/>
        <v>78.75</v>
      </c>
      <c r="K12" s="9">
        <f t="shared" si="5"/>
        <v>0</v>
      </c>
      <c r="L12" s="57">
        <f t="shared" si="6"/>
        <v>8.75</v>
      </c>
    </row>
    <row r="13" spans="1:14">
      <c r="A13" t="s">
        <v>32</v>
      </c>
      <c r="C13" s="26">
        <f>+'Service Counts'!AA12</f>
        <v>724.35</v>
      </c>
      <c r="D13" s="57">
        <f>+'Service Counts'!Y12</f>
        <v>16.350000000000001</v>
      </c>
      <c r="E13" s="5">
        <f t="shared" si="0"/>
        <v>11843.122500000001</v>
      </c>
      <c r="F13" s="57">
        <f t="shared" ca="1" si="1"/>
        <v>15.12151737774799</v>
      </c>
      <c r="G13" s="48">
        <f t="shared" ca="1" si="2"/>
        <v>10953.271112571758</v>
      </c>
      <c r="H13" s="9">
        <f t="shared" ca="1" si="3"/>
        <v>-7.5136551819694794E-2</v>
      </c>
      <c r="I13" s="106">
        <v>16.350000000000001</v>
      </c>
      <c r="J13" s="48">
        <f t="shared" si="4"/>
        <v>11843.122500000001</v>
      </c>
      <c r="K13" s="9">
        <f t="shared" si="5"/>
        <v>0</v>
      </c>
      <c r="L13" s="57">
        <f t="shared" si="6"/>
        <v>16.350000000000001</v>
      </c>
      <c r="N13" s="57"/>
    </row>
    <row r="14" spans="1:14">
      <c r="A14" t="s">
        <v>33</v>
      </c>
      <c r="C14" s="26">
        <f>+'Service Counts'!AA13</f>
        <v>978.87852193995377</v>
      </c>
      <c r="D14" s="57">
        <f>+'Service Counts'!Y13</f>
        <v>20.55</v>
      </c>
      <c r="E14" s="5">
        <f t="shared" si="0"/>
        <v>20115.953625866052</v>
      </c>
      <c r="F14" s="57">
        <f t="shared" ca="1" si="1"/>
        <v>19.005943860105269</v>
      </c>
      <c r="G14" s="48">
        <f t="shared" ca="1" si="2"/>
        <v>18604.510233853583</v>
      </c>
      <c r="H14" s="9">
        <f t="shared" ca="1" si="3"/>
        <v>-7.5136551819695113E-2</v>
      </c>
      <c r="I14" s="106">
        <v>20.55</v>
      </c>
      <c r="J14" s="48">
        <f t="shared" si="4"/>
        <v>20115.953625866052</v>
      </c>
      <c r="K14" s="9">
        <f t="shared" si="5"/>
        <v>0</v>
      </c>
      <c r="L14" s="57">
        <f t="shared" si="6"/>
        <v>20.55</v>
      </c>
      <c r="N14" s="57"/>
    </row>
    <row r="15" spans="1:14">
      <c r="A15" t="s">
        <v>34</v>
      </c>
      <c r="C15" s="26">
        <f>+'Service Counts'!AA14</f>
        <v>107.6</v>
      </c>
      <c r="D15" s="57">
        <f>+'Service Counts'!Y14</f>
        <v>24.25</v>
      </c>
      <c r="E15" s="5">
        <f t="shared" si="0"/>
        <v>2609.2999999999997</v>
      </c>
      <c r="F15" s="57">
        <f t="shared" ca="1" si="1"/>
        <v>22.427938618372398</v>
      </c>
      <c r="G15" s="48">
        <f t="shared" ca="1" si="2"/>
        <v>2413.2461953368697</v>
      </c>
      <c r="H15" s="9">
        <f t="shared" ca="1" si="3"/>
        <v>-7.5136551819694947E-2</v>
      </c>
      <c r="I15" s="106">
        <v>24.25</v>
      </c>
      <c r="J15" s="48">
        <f t="shared" si="4"/>
        <v>2609.2999999999997</v>
      </c>
      <c r="K15" s="9">
        <f t="shared" si="5"/>
        <v>0</v>
      </c>
      <c r="L15" s="57">
        <f t="shared" si="6"/>
        <v>24.25</v>
      </c>
      <c r="N15" s="57"/>
    </row>
    <row r="16" spans="1:14">
      <c r="A16" t="s">
        <v>35</v>
      </c>
      <c r="C16" s="26">
        <f>+'Service Counts'!AA15</f>
        <v>51.6</v>
      </c>
      <c r="D16" s="57">
        <f>+'Service Counts'!Y15</f>
        <v>27.75</v>
      </c>
      <c r="E16" s="5">
        <f t="shared" si="0"/>
        <v>1431.9</v>
      </c>
      <c r="F16" s="57">
        <f t="shared" ca="1" si="1"/>
        <v>25.664960687003465</v>
      </c>
      <c r="G16" s="48">
        <f t="shared" ca="1" si="2"/>
        <v>1324.3119714493789</v>
      </c>
      <c r="H16" s="9">
        <f t="shared" ca="1" si="3"/>
        <v>-7.5136551819694933E-2</v>
      </c>
      <c r="I16" s="106">
        <v>27.75</v>
      </c>
      <c r="J16" s="48">
        <f t="shared" si="4"/>
        <v>1431.9</v>
      </c>
      <c r="K16" s="9">
        <f t="shared" si="5"/>
        <v>0</v>
      </c>
      <c r="L16" s="57">
        <f t="shared" si="6"/>
        <v>27.75</v>
      </c>
      <c r="N16" s="57"/>
    </row>
    <row r="17" spans="1:14">
      <c r="A17" t="s">
        <v>36</v>
      </c>
      <c r="C17" s="26">
        <f>+'Service Counts'!AA16</f>
        <v>12</v>
      </c>
      <c r="D17" s="57">
        <f>+'Service Counts'!Y16</f>
        <v>33.25</v>
      </c>
      <c r="E17" s="5">
        <f t="shared" si="0"/>
        <v>399</v>
      </c>
      <c r="F17" s="57">
        <f t="shared" ca="1" si="1"/>
        <v>30.751709651995142</v>
      </c>
      <c r="G17" s="48">
        <f t="shared" ca="1" si="2"/>
        <v>369.02051582394171</v>
      </c>
      <c r="H17" s="9">
        <f t="shared" ca="1" si="3"/>
        <v>-7.5136551819694974E-2</v>
      </c>
      <c r="I17" s="106">
        <v>33.25</v>
      </c>
      <c r="J17" s="48">
        <f t="shared" si="4"/>
        <v>399</v>
      </c>
      <c r="K17" s="9">
        <f t="shared" si="5"/>
        <v>0</v>
      </c>
      <c r="L17" s="57">
        <f t="shared" si="6"/>
        <v>33.25</v>
      </c>
      <c r="N17" s="57"/>
    </row>
    <row r="18" spans="1:14">
      <c r="A18" t="s">
        <v>37</v>
      </c>
      <c r="C18" s="26">
        <f>+'Service Counts'!AA17</f>
        <v>8.4</v>
      </c>
      <c r="D18" s="57">
        <f>+'Service Counts'!Y17</f>
        <v>36.85</v>
      </c>
      <c r="E18" s="5">
        <f t="shared" si="0"/>
        <v>309.54000000000002</v>
      </c>
      <c r="F18" s="57">
        <f t="shared" ca="1" si="1"/>
        <v>34.08121806544424</v>
      </c>
      <c r="G18" s="48">
        <f t="shared" ca="1" si="2"/>
        <v>286.28223174973164</v>
      </c>
      <c r="H18" s="9">
        <f t="shared" ca="1" si="3"/>
        <v>-7.5136551819694974E-2</v>
      </c>
      <c r="I18" s="106">
        <v>36.85</v>
      </c>
      <c r="J18" s="48">
        <f t="shared" si="4"/>
        <v>309.54000000000002</v>
      </c>
      <c r="K18" s="9">
        <f t="shared" si="5"/>
        <v>0</v>
      </c>
      <c r="L18" s="57">
        <f t="shared" si="6"/>
        <v>36.85</v>
      </c>
      <c r="N18" s="57"/>
    </row>
    <row r="19" spans="1:14">
      <c r="A19" t="s">
        <v>40</v>
      </c>
      <c r="C19" s="26">
        <f>+'Service Counts'!AA20</f>
        <v>0</v>
      </c>
      <c r="D19" s="57">
        <f>+'Service Counts'!Y20</f>
        <v>0</v>
      </c>
      <c r="E19" s="5">
        <f t="shared" si="0"/>
        <v>0</v>
      </c>
      <c r="F19" s="57">
        <f t="shared" ca="1" si="1"/>
        <v>0</v>
      </c>
      <c r="G19" s="48">
        <f t="shared" ca="1" si="2"/>
        <v>0</v>
      </c>
      <c r="H19" s="9">
        <f t="shared" si="3"/>
        <v>0</v>
      </c>
      <c r="I19" s="106">
        <f>+L19</f>
        <v>0</v>
      </c>
      <c r="J19" s="48">
        <f t="shared" si="4"/>
        <v>0</v>
      </c>
      <c r="K19" s="9">
        <f t="shared" si="5"/>
        <v>0</v>
      </c>
      <c r="L19" s="57">
        <f t="shared" si="6"/>
        <v>0</v>
      </c>
    </row>
    <row r="20" spans="1:14">
      <c r="A20" t="s">
        <v>41</v>
      </c>
      <c r="C20" s="26">
        <f>+'Service Counts'!AA21</f>
        <v>0</v>
      </c>
      <c r="D20" s="57">
        <f>+'Service Counts'!Y21</f>
        <v>0</v>
      </c>
      <c r="E20" s="5">
        <f t="shared" si="0"/>
        <v>0</v>
      </c>
      <c r="F20" s="57">
        <f t="shared" ca="1" si="1"/>
        <v>0</v>
      </c>
      <c r="G20" s="48">
        <f t="shared" ca="1" si="2"/>
        <v>0</v>
      </c>
      <c r="H20" s="9">
        <f t="shared" si="3"/>
        <v>0</v>
      </c>
      <c r="I20" s="106">
        <f>+L20</f>
        <v>0</v>
      </c>
      <c r="J20" s="48">
        <f t="shared" si="4"/>
        <v>0</v>
      </c>
      <c r="K20" s="9">
        <f t="shared" si="5"/>
        <v>0</v>
      </c>
      <c r="L20" s="57">
        <f t="shared" si="6"/>
        <v>0</v>
      </c>
    </row>
    <row r="21" spans="1:14">
      <c r="A21" t="s">
        <v>42</v>
      </c>
      <c r="C21" s="26">
        <f>+'Service Counts'!AA22</f>
        <v>0</v>
      </c>
      <c r="D21" s="57">
        <f>+'Service Counts'!Y22</f>
        <v>0</v>
      </c>
      <c r="E21" s="5">
        <f t="shared" si="0"/>
        <v>0</v>
      </c>
      <c r="F21" s="57">
        <f t="shared" ca="1" si="1"/>
        <v>0</v>
      </c>
      <c r="G21" s="48">
        <f t="shared" ca="1" si="2"/>
        <v>0</v>
      </c>
      <c r="H21" s="9">
        <f t="shared" si="3"/>
        <v>0</v>
      </c>
      <c r="I21" s="106">
        <f>+L21</f>
        <v>0</v>
      </c>
      <c r="J21" s="48">
        <f t="shared" si="4"/>
        <v>0</v>
      </c>
      <c r="K21" s="9">
        <f t="shared" si="5"/>
        <v>0</v>
      </c>
      <c r="L21" s="57">
        <f t="shared" si="6"/>
        <v>0</v>
      </c>
    </row>
    <row r="22" spans="1:14">
      <c r="A22" t="s">
        <v>43</v>
      </c>
      <c r="C22" s="26">
        <f>+'Service Counts'!AA26</f>
        <v>360</v>
      </c>
      <c r="D22" s="57">
        <f>+'Service Counts'!Y26</f>
        <v>3.95</v>
      </c>
      <c r="E22" s="5">
        <f t="shared" si="0"/>
        <v>1422</v>
      </c>
      <c r="F22" s="57">
        <f t="shared" ca="1" si="1"/>
        <v>3.6532106203122052</v>
      </c>
      <c r="G22" s="48">
        <f t="shared" ca="1" si="2"/>
        <v>1315.155823312394</v>
      </c>
      <c r="H22" s="9">
        <f t="shared" ca="1" si="3"/>
        <v>-7.5136551819694808E-2</v>
      </c>
      <c r="I22" s="106">
        <v>3.95</v>
      </c>
      <c r="J22" s="48">
        <f t="shared" si="4"/>
        <v>1422</v>
      </c>
      <c r="K22" s="9">
        <f t="shared" si="5"/>
        <v>0</v>
      </c>
      <c r="L22" s="57">
        <f t="shared" si="6"/>
        <v>3.95</v>
      </c>
    </row>
    <row r="23" spans="1:14">
      <c r="A23" t="s">
        <v>44</v>
      </c>
      <c r="C23" s="26">
        <f>+'Service Counts'!AA27</f>
        <v>0</v>
      </c>
      <c r="D23" s="57">
        <f>+'Service Counts'!Y27</f>
        <v>2.95</v>
      </c>
      <c r="E23" s="5">
        <f t="shared" si="0"/>
        <v>0</v>
      </c>
      <c r="F23" s="57">
        <f t="shared" ca="1" si="1"/>
        <v>2.7283471721319001</v>
      </c>
      <c r="G23" s="48">
        <f t="shared" ca="1" si="2"/>
        <v>0</v>
      </c>
      <c r="H23" s="9">
        <f t="shared" si="3"/>
        <v>0</v>
      </c>
      <c r="I23" s="106">
        <v>2.95</v>
      </c>
      <c r="J23" s="48">
        <f t="shared" si="4"/>
        <v>0</v>
      </c>
      <c r="K23" s="9">
        <f t="shared" si="5"/>
        <v>0</v>
      </c>
      <c r="L23" s="57">
        <f t="shared" si="6"/>
        <v>2.95</v>
      </c>
    </row>
    <row r="24" spans="1:14">
      <c r="A24" t="s">
        <v>45</v>
      </c>
      <c r="C24" s="26">
        <f>+'Service Counts'!AA28</f>
        <v>0</v>
      </c>
      <c r="D24" s="57">
        <f>+'Service Counts'!Y28</f>
        <v>1.65</v>
      </c>
      <c r="E24" s="5">
        <f t="shared" si="0"/>
        <v>0</v>
      </c>
      <c r="F24" s="57">
        <f t="shared" ca="1" si="1"/>
        <v>1.5260246894975034</v>
      </c>
      <c r="G24" s="48">
        <f t="shared" ca="1" si="2"/>
        <v>0</v>
      </c>
      <c r="H24" s="9">
        <f t="shared" si="3"/>
        <v>0</v>
      </c>
      <c r="I24" s="106">
        <v>1.65</v>
      </c>
      <c r="J24" s="48">
        <f t="shared" si="4"/>
        <v>0</v>
      </c>
      <c r="K24" s="9">
        <f t="shared" si="5"/>
        <v>0</v>
      </c>
      <c r="L24" s="57">
        <f t="shared" si="6"/>
        <v>1.65</v>
      </c>
    </row>
    <row r="25" spans="1:14">
      <c r="A25" t="s">
        <v>46</v>
      </c>
      <c r="C25" s="26">
        <f>+'Service Counts'!AA29</f>
        <v>0</v>
      </c>
      <c r="D25" s="57">
        <f>+'Service Counts'!Y29</f>
        <v>10.55</v>
      </c>
      <c r="E25" s="5">
        <f t="shared" si="0"/>
        <v>0</v>
      </c>
      <c r="F25" s="57">
        <f t="shared" ca="1" si="1"/>
        <v>9.7573093783022191</v>
      </c>
      <c r="G25" s="48">
        <f t="shared" ca="1" si="2"/>
        <v>0</v>
      </c>
      <c r="H25" s="9">
        <f t="shared" si="3"/>
        <v>0</v>
      </c>
      <c r="I25" s="106">
        <v>10.55</v>
      </c>
      <c r="J25" s="48">
        <f t="shared" si="4"/>
        <v>0</v>
      </c>
      <c r="K25" s="9">
        <f t="shared" si="5"/>
        <v>0</v>
      </c>
      <c r="L25" s="57">
        <f t="shared" si="6"/>
        <v>10.55</v>
      </c>
    </row>
    <row r="26" spans="1:14">
      <c r="A26" t="s">
        <v>47</v>
      </c>
      <c r="C26" s="26">
        <f>+'Service Counts'!AA31</f>
        <v>1005.5</v>
      </c>
      <c r="D26" s="57">
        <f>+'Service Counts'!Y31</f>
        <v>19.600000000000001</v>
      </c>
      <c r="E26" s="5">
        <f t="shared" si="0"/>
        <v>19707.800000000003</v>
      </c>
      <c r="F26" s="57">
        <f t="shared" ca="1" si="1"/>
        <v>18.127323584333983</v>
      </c>
      <c r="G26" s="48">
        <f t="shared" ca="1" si="2"/>
        <v>18227.02386404782</v>
      </c>
      <c r="H26" s="9">
        <f t="shared" ca="1" si="3"/>
        <v>-7.5136551819694877E-2</v>
      </c>
      <c r="I26" s="106">
        <v>19.600000000000001</v>
      </c>
      <c r="J26" s="48">
        <f t="shared" si="4"/>
        <v>19707.800000000003</v>
      </c>
      <c r="K26" s="9">
        <f t="shared" si="5"/>
        <v>0</v>
      </c>
      <c r="L26" s="57">
        <f t="shared" si="6"/>
        <v>19.600000000000001</v>
      </c>
    </row>
    <row r="27" spans="1:14">
      <c r="A27" t="s">
        <v>48</v>
      </c>
      <c r="C27" s="26">
        <f>+'Service Counts'!AA32</f>
        <v>0</v>
      </c>
      <c r="D27" s="57">
        <f>+'Service Counts'!Y32</f>
        <v>12.2</v>
      </c>
      <c r="E27" s="38">
        <f t="shared" si="0"/>
        <v>0</v>
      </c>
      <c r="F27" s="57">
        <f t="shared" ca="1" si="1"/>
        <v>11.283334067799721</v>
      </c>
      <c r="G27" s="52">
        <f t="shared" ca="1" si="2"/>
        <v>0</v>
      </c>
      <c r="H27" s="9">
        <f t="shared" si="3"/>
        <v>0</v>
      </c>
      <c r="I27" s="106">
        <v>12.2</v>
      </c>
      <c r="J27" s="52">
        <f t="shared" si="4"/>
        <v>0</v>
      </c>
      <c r="K27" s="9">
        <f t="shared" si="5"/>
        <v>0</v>
      </c>
      <c r="L27" s="57">
        <f t="shared" si="6"/>
        <v>12.2</v>
      </c>
    </row>
    <row r="28" spans="1:14">
      <c r="C28" s="26"/>
      <c r="D28" s="57"/>
      <c r="E28" s="51">
        <f>SUM(E11:E27)</f>
        <v>57917.366125866058</v>
      </c>
      <c r="G28" s="51">
        <f ca="1">SUM(G11:G27)</f>
        <v>53565.654944689675</v>
      </c>
      <c r="I28" s="93"/>
      <c r="J28" s="51">
        <f>SUM(J11:J27)</f>
        <v>57917.366125866058</v>
      </c>
      <c r="K28" s="91">
        <f>(+J28-E28)/E28</f>
        <v>0</v>
      </c>
    </row>
    <row r="29" spans="1:14">
      <c r="A29" t="s">
        <v>49</v>
      </c>
      <c r="C29" s="26"/>
      <c r="D29" s="57"/>
      <c r="I29" s="93"/>
      <c r="J29" s="48"/>
    </row>
    <row r="30" spans="1:14">
      <c r="A30" t="s">
        <v>50</v>
      </c>
      <c r="C30" s="26">
        <f>+'Service Counts'!AA35</f>
        <v>1695</v>
      </c>
      <c r="D30" s="57">
        <f>+'Service Counts'!Y35</f>
        <v>15.25</v>
      </c>
      <c r="E30" s="5">
        <f t="shared" ref="E30:E45" si="7">+C30*D30</f>
        <v>25848.75</v>
      </c>
      <c r="F30" s="57">
        <f t="shared" ref="F30:F45" ca="1" si="8">+D30*(1+$H$4)</f>
        <v>14.104167584749652</v>
      </c>
      <c r="G30" s="48">
        <f t="shared" ref="G30:G45" ca="1" si="9">+C30*F30</f>
        <v>23906.564056150659</v>
      </c>
      <c r="H30" s="9">
        <f t="shared" ref="H30:H45" ca="1" si="10">+IF(C30=0,0,(G30-E30)/E30)</f>
        <v>-7.5136551819695002E-2</v>
      </c>
      <c r="I30" s="106">
        <v>15.25</v>
      </c>
      <c r="J30" s="48">
        <f t="shared" ref="J30:J45" si="11">+C30*I30</f>
        <v>25848.75</v>
      </c>
      <c r="K30" s="9">
        <f t="shared" ref="K30:K45" si="12">+IF(C30=0,0,(J30-E30)/E30)</f>
        <v>0</v>
      </c>
      <c r="L30" s="57">
        <f t="shared" ref="L30:L45" si="13">+D30*(1+$L$2)</f>
        <v>15.25</v>
      </c>
    </row>
    <row r="31" spans="1:14">
      <c r="A31" s="459" t="s">
        <v>51</v>
      </c>
      <c r="C31" s="26">
        <f>+'Service Counts'!AA36</f>
        <v>0</v>
      </c>
      <c r="D31" s="57">
        <f>+'Service Counts'!Y36</f>
        <v>0</v>
      </c>
      <c r="E31" s="5">
        <f>+C31*D31</f>
        <v>0</v>
      </c>
      <c r="F31" s="57">
        <f ca="1">+D31*(1+$H$4)</f>
        <v>0</v>
      </c>
      <c r="G31" s="48">
        <f ca="1">+C31*F31</f>
        <v>0</v>
      </c>
      <c r="H31" s="9">
        <f>+IF(C31=0,0,(G31-E31)/E31)</f>
        <v>0</v>
      </c>
      <c r="I31" s="106">
        <v>0</v>
      </c>
      <c r="J31" s="48">
        <f>+C31*I31</f>
        <v>0</v>
      </c>
      <c r="K31" s="9">
        <f>+IF(C31=0,0,(J31-E31)/E31)</f>
        <v>0</v>
      </c>
      <c r="L31" s="57">
        <f>+D31*(1+$L$2)</f>
        <v>0</v>
      </c>
    </row>
    <row r="32" spans="1:14">
      <c r="A32" t="s">
        <v>52</v>
      </c>
      <c r="C32" s="26">
        <f>+'Service Counts'!AA37</f>
        <v>0</v>
      </c>
      <c r="D32" s="57">
        <f>+'Service Counts'!Y37</f>
        <v>20.399999999999999</v>
      </c>
      <c r="E32" s="5">
        <f t="shared" si="7"/>
        <v>0</v>
      </c>
      <c r="F32" s="57">
        <f t="shared" ca="1" si="8"/>
        <v>18.867214342878221</v>
      </c>
      <c r="G32" s="48">
        <f t="shared" ca="1" si="9"/>
        <v>0</v>
      </c>
      <c r="H32" s="9">
        <f t="shared" si="10"/>
        <v>0</v>
      </c>
      <c r="I32" s="106">
        <v>20.399999999999999</v>
      </c>
      <c r="J32" s="48">
        <f t="shared" si="11"/>
        <v>0</v>
      </c>
      <c r="K32" s="9">
        <f t="shared" si="12"/>
        <v>0</v>
      </c>
      <c r="L32" s="57">
        <f t="shared" si="13"/>
        <v>20.399999999999999</v>
      </c>
    </row>
    <row r="33" spans="1:12">
      <c r="A33" t="s">
        <v>53</v>
      </c>
      <c r="C33" s="26">
        <f>+'Service Counts'!AA38</f>
        <v>2199</v>
      </c>
      <c r="D33" s="57">
        <f>+'Service Counts'!Y38</f>
        <v>23.3</v>
      </c>
      <c r="E33" s="5">
        <f t="shared" si="7"/>
        <v>51236.700000000004</v>
      </c>
      <c r="F33" s="57">
        <f t="shared" ca="1" si="8"/>
        <v>21.549318342601108</v>
      </c>
      <c r="G33" s="48">
        <f t="shared" ca="1" si="9"/>
        <v>47386.95103537984</v>
      </c>
      <c r="H33" s="9">
        <f t="shared" ca="1" si="10"/>
        <v>-7.5136551819694961E-2</v>
      </c>
      <c r="I33" s="106">
        <v>23.3</v>
      </c>
      <c r="J33" s="48">
        <f t="shared" si="11"/>
        <v>51236.700000000004</v>
      </c>
      <c r="K33" s="9">
        <f t="shared" si="12"/>
        <v>0</v>
      </c>
      <c r="L33" s="57">
        <f t="shared" si="13"/>
        <v>23.3</v>
      </c>
    </row>
    <row r="34" spans="1:12">
      <c r="A34" s="459" t="s">
        <v>54</v>
      </c>
      <c r="C34" s="26">
        <f>+'Service Counts'!AA39</f>
        <v>0</v>
      </c>
      <c r="D34" s="57">
        <f>+'Service Counts'!Y39</f>
        <v>0</v>
      </c>
      <c r="E34" s="5">
        <f>+C34*D34</f>
        <v>0</v>
      </c>
      <c r="F34" s="57">
        <f ca="1">+D34*(1+$H$4)</f>
        <v>0</v>
      </c>
      <c r="G34" s="48">
        <f ca="1">+C34*F34</f>
        <v>0</v>
      </c>
      <c r="H34" s="9">
        <f>+IF(C34=0,0,(G34-E34)/E34)</f>
        <v>0</v>
      </c>
      <c r="I34" s="106">
        <v>0</v>
      </c>
      <c r="J34" s="48">
        <f>+C34*I34</f>
        <v>0</v>
      </c>
      <c r="K34" s="9">
        <f>+IF(C34=0,0,(J34-E34)/E34)</f>
        <v>0</v>
      </c>
      <c r="L34" s="57">
        <f>+D34*(1+$L$2)</f>
        <v>0</v>
      </c>
    </row>
    <row r="35" spans="1:12">
      <c r="A35" t="s">
        <v>55</v>
      </c>
      <c r="C35" s="26">
        <f>+'Service Counts'!AA40</f>
        <v>0</v>
      </c>
      <c r="D35" s="57">
        <f>+'Service Counts'!Y40</f>
        <v>30.5</v>
      </c>
      <c r="E35" s="5">
        <f t="shared" si="7"/>
        <v>0</v>
      </c>
      <c r="F35" s="57">
        <f t="shared" ca="1" si="8"/>
        <v>28.208335169499303</v>
      </c>
      <c r="G35" s="48">
        <f t="shared" ca="1" si="9"/>
        <v>0</v>
      </c>
      <c r="H35" s="9">
        <f t="shared" si="10"/>
        <v>0</v>
      </c>
      <c r="I35" s="106">
        <v>30.5</v>
      </c>
      <c r="J35" s="48">
        <f t="shared" si="11"/>
        <v>0</v>
      </c>
      <c r="K35" s="9">
        <f t="shared" si="12"/>
        <v>0</v>
      </c>
      <c r="L35" s="57">
        <f t="shared" si="13"/>
        <v>30.5</v>
      </c>
    </row>
    <row r="36" spans="1:12">
      <c r="A36" t="s">
        <v>56</v>
      </c>
      <c r="C36" s="26">
        <f>+'Service Counts'!AA41</f>
        <v>850</v>
      </c>
      <c r="D36" s="57">
        <f>+'Service Counts'!Y41</f>
        <v>38.950000000000003</v>
      </c>
      <c r="E36" s="5">
        <f t="shared" si="7"/>
        <v>33107.5</v>
      </c>
      <c r="F36" s="57">
        <f t="shared" ca="1" si="8"/>
        <v>36.023431306622882</v>
      </c>
      <c r="G36" s="48">
        <f t="shared" ca="1" si="9"/>
        <v>30619.916610629451</v>
      </c>
      <c r="H36" s="9">
        <f t="shared" ca="1" si="10"/>
        <v>-7.5136551819694919E-2</v>
      </c>
      <c r="I36" s="106">
        <v>38.950000000000003</v>
      </c>
      <c r="J36" s="48">
        <f t="shared" si="11"/>
        <v>33107.5</v>
      </c>
      <c r="K36" s="9">
        <f t="shared" si="12"/>
        <v>0</v>
      </c>
      <c r="L36" s="57">
        <f t="shared" si="13"/>
        <v>38.950000000000003</v>
      </c>
    </row>
    <row r="37" spans="1:12">
      <c r="A37" t="s">
        <v>57</v>
      </c>
      <c r="C37" s="26">
        <f>+'Service Counts'!AA42</f>
        <v>2523</v>
      </c>
      <c r="D37" s="57">
        <f>+'Service Counts'!Y42</f>
        <v>61.6</v>
      </c>
      <c r="E37" s="5">
        <f t="shared" si="7"/>
        <v>155416.80000000002</v>
      </c>
      <c r="F37" s="57">
        <f t="shared" ca="1" si="8"/>
        <v>56.971588407906793</v>
      </c>
      <c r="G37" s="48">
        <f t="shared" ca="1" si="9"/>
        <v>143739.31755314884</v>
      </c>
      <c r="H37" s="9">
        <f t="shared" ca="1" si="10"/>
        <v>-7.513655181969503E-2</v>
      </c>
      <c r="I37" s="106">
        <v>61.6</v>
      </c>
      <c r="J37" s="48">
        <f t="shared" si="11"/>
        <v>155416.80000000002</v>
      </c>
      <c r="K37" s="9">
        <f t="shared" si="12"/>
        <v>0</v>
      </c>
      <c r="L37" s="57">
        <f t="shared" si="13"/>
        <v>61.6</v>
      </c>
    </row>
    <row r="38" spans="1:12">
      <c r="A38" t="s">
        <v>58</v>
      </c>
      <c r="C38" s="26">
        <f>+'Service Counts'!AA43</f>
        <v>6</v>
      </c>
      <c r="D38" s="57">
        <f>+'Service Counts'!Y43</f>
        <v>8.25</v>
      </c>
      <c r="E38" s="5">
        <f t="shared" si="7"/>
        <v>49.5</v>
      </c>
      <c r="F38" s="57">
        <f t="shared" ca="1" si="8"/>
        <v>7.6301234474875166</v>
      </c>
      <c r="G38" s="48">
        <f t="shared" ca="1" si="9"/>
        <v>45.7807406849251</v>
      </c>
      <c r="H38" s="9">
        <f t="shared" ca="1" si="10"/>
        <v>-7.5136551819694961E-2</v>
      </c>
      <c r="I38" s="106">
        <v>8.25</v>
      </c>
      <c r="J38" s="48">
        <f t="shared" si="11"/>
        <v>49.5</v>
      </c>
      <c r="K38" s="9">
        <f t="shared" si="12"/>
        <v>0</v>
      </c>
      <c r="L38" s="57">
        <f t="shared" si="13"/>
        <v>8.25</v>
      </c>
    </row>
    <row r="39" spans="1:12">
      <c r="A39" t="s">
        <v>59</v>
      </c>
      <c r="C39" s="26">
        <f>+'Service Counts'!AA44</f>
        <v>0</v>
      </c>
      <c r="D39" s="57">
        <f>+'Service Counts'!Y44</f>
        <v>10.9</v>
      </c>
      <c r="E39" s="5">
        <f t="shared" si="7"/>
        <v>0</v>
      </c>
      <c r="F39" s="57">
        <f t="shared" ca="1" si="8"/>
        <v>10.081011585165326</v>
      </c>
      <c r="G39" s="48">
        <f t="shared" ca="1" si="9"/>
        <v>0</v>
      </c>
      <c r="H39" s="9">
        <f t="shared" si="10"/>
        <v>0</v>
      </c>
      <c r="I39" s="106">
        <v>11.75</v>
      </c>
      <c r="J39" s="48">
        <f t="shared" si="11"/>
        <v>0</v>
      </c>
      <c r="K39" s="9">
        <f t="shared" si="12"/>
        <v>0</v>
      </c>
      <c r="L39" s="57">
        <f t="shared" si="13"/>
        <v>10.9</v>
      </c>
    </row>
    <row r="40" spans="1:12">
      <c r="A40" t="s">
        <v>60</v>
      </c>
      <c r="C40" s="26">
        <f>+'Service Counts'!AA45</f>
        <v>6</v>
      </c>
      <c r="D40" s="57">
        <f>+'Service Counts'!Y45</f>
        <v>14.5</v>
      </c>
      <c r="E40" s="5">
        <f t="shared" si="7"/>
        <v>87</v>
      </c>
      <c r="F40" s="57">
        <f t="shared" ca="1" si="8"/>
        <v>13.410519998614424</v>
      </c>
      <c r="G40" s="48">
        <f t="shared" ca="1" si="9"/>
        <v>80.46311999168654</v>
      </c>
      <c r="H40" s="9">
        <f t="shared" ca="1" si="10"/>
        <v>-7.5136551819694947E-2</v>
      </c>
      <c r="I40" s="106">
        <v>14.5</v>
      </c>
      <c r="J40" s="48">
        <f t="shared" si="11"/>
        <v>87</v>
      </c>
      <c r="K40" s="9">
        <f t="shared" si="12"/>
        <v>0</v>
      </c>
      <c r="L40" s="57">
        <f t="shared" si="13"/>
        <v>14.5</v>
      </c>
    </row>
    <row r="41" spans="1:12">
      <c r="A41" t="s">
        <v>61</v>
      </c>
      <c r="C41" s="26">
        <f>+'Service Counts'!AA46</f>
        <v>0</v>
      </c>
      <c r="D41" s="57">
        <f>+'Service Counts'!Y46</f>
        <v>15.2</v>
      </c>
      <c r="E41" s="5">
        <f t="shared" si="7"/>
        <v>0</v>
      </c>
      <c r="F41" s="57">
        <f t="shared" ca="1" si="8"/>
        <v>14.057924412340636</v>
      </c>
      <c r="G41" s="48">
        <f t="shared" ca="1" si="9"/>
        <v>0</v>
      </c>
      <c r="H41" s="9">
        <f t="shared" si="10"/>
        <v>0</v>
      </c>
      <c r="I41" s="106">
        <v>16.350000000000001</v>
      </c>
      <c r="J41" s="48">
        <f t="shared" si="11"/>
        <v>0</v>
      </c>
      <c r="K41" s="9">
        <f t="shared" si="12"/>
        <v>0</v>
      </c>
      <c r="L41" s="57">
        <f t="shared" si="13"/>
        <v>15.2</v>
      </c>
    </row>
    <row r="42" spans="1:12">
      <c r="A42" t="s">
        <v>62</v>
      </c>
      <c r="C42" s="26">
        <f>+'Service Counts'!AA47</f>
        <v>0</v>
      </c>
      <c r="D42" s="57">
        <f>+'Service Counts'!Y47</f>
        <v>15.8</v>
      </c>
      <c r="E42" s="5">
        <f t="shared" si="7"/>
        <v>0</v>
      </c>
      <c r="F42" s="57">
        <f t="shared" ca="1" si="8"/>
        <v>14.612842481248821</v>
      </c>
      <c r="G42" s="48">
        <f t="shared" ca="1" si="9"/>
        <v>0</v>
      </c>
      <c r="H42" s="9">
        <f t="shared" si="10"/>
        <v>0</v>
      </c>
      <c r="I42" s="106">
        <v>15.8</v>
      </c>
      <c r="J42" s="48">
        <f t="shared" si="11"/>
        <v>0</v>
      </c>
      <c r="K42" s="9">
        <f t="shared" si="12"/>
        <v>0</v>
      </c>
      <c r="L42" s="57">
        <f t="shared" si="13"/>
        <v>15.8</v>
      </c>
    </row>
    <row r="43" spans="1:12">
      <c r="A43" t="s">
        <v>63</v>
      </c>
      <c r="C43" s="26">
        <f>+'Service Counts'!AA48</f>
        <v>3</v>
      </c>
      <c r="D43" s="57">
        <f>+'Service Counts'!Y48</f>
        <v>18.350000000000001</v>
      </c>
      <c r="E43" s="5">
        <f t="shared" si="7"/>
        <v>55.050000000000004</v>
      </c>
      <c r="F43" s="57">
        <f t="shared" ca="1" si="8"/>
        <v>16.971244274108599</v>
      </c>
      <c r="G43" s="48">
        <f t="shared" ca="1" si="9"/>
        <v>50.913732822325798</v>
      </c>
      <c r="H43" s="9">
        <f t="shared" ca="1" si="10"/>
        <v>-7.5136551819694933E-2</v>
      </c>
      <c r="I43" s="106">
        <v>18.350000000000001</v>
      </c>
      <c r="J43" s="48">
        <f t="shared" si="11"/>
        <v>55.050000000000004</v>
      </c>
      <c r="K43" s="9">
        <f t="shared" si="12"/>
        <v>0</v>
      </c>
      <c r="L43" s="57">
        <f t="shared" si="13"/>
        <v>18.350000000000001</v>
      </c>
    </row>
    <row r="44" spans="1:12">
      <c r="A44" t="s">
        <v>64</v>
      </c>
      <c r="C44" s="26">
        <f>+'Service Counts'!AA49</f>
        <v>0</v>
      </c>
      <c r="D44" s="57">
        <f>+'Service Counts'!Y49</f>
        <v>2.2999999999999998</v>
      </c>
      <c r="E44" s="5">
        <f t="shared" si="7"/>
        <v>0</v>
      </c>
      <c r="F44" s="57">
        <f t="shared" ca="1" si="8"/>
        <v>2.1271859308147016</v>
      </c>
      <c r="G44" s="48">
        <f t="shared" ca="1" si="9"/>
        <v>0</v>
      </c>
      <c r="H44" s="9">
        <f t="shared" si="10"/>
        <v>0</v>
      </c>
      <c r="I44" s="106">
        <v>2.2999999999999998</v>
      </c>
      <c r="J44" s="48">
        <f t="shared" si="11"/>
        <v>0</v>
      </c>
      <c r="K44" s="9">
        <f t="shared" si="12"/>
        <v>0</v>
      </c>
      <c r="L44" s="57">
        <f t="shared" si="13"/>
        <v>2.2999999999999998</v>
      </c>
    </row>
    <row r="45" spans="1:12">
      <c r="A45" t="s">
        <v>65</v>
      </c>
      <c r="C45" s="26">
        <f>+'Service Counts'!AA50</f>
        <v>382</v>
      </c>
      <c r="D45" s="57">
        <f>+'Service Counts'!Y50</f>
        <v>1.3</v>
      </c>
      <c r="E45" s="38">
        <f t="shared" si="7"/>
        <v>496.6</v>
      </c>
      <c r="F45" s="57">
        <f t="shared" ca="1" si="8"/>
        <v>1.2023224826343966</v>
      </c>
      <c r="G45" s="52">
        <f t="shared" ca="1" si="9"/>
        <v>459.28718836633948</v>
      </c>
      <c r="H45" s="9">
        <f t="shared" ca="1" si="10"/>
        <v>-7.5136551819695016E-2</v>
      </c>
      <c r="I45" s="106">
        <v>1.3</v>
      </c>
      <c r="J45" s="52">
        <f t="shared" si="11"/>
        <v>496.6</v>
      </c>
      <c r="K45" s="9">
        <f t="shared" si="12"/>
        <v>0</v>
      </c>
      <c r="L45" s="57">
        <f t="shared" si="13"/>
        <v>1.3</v>
      </c>
    </row>
    <row r="46" spans="1:12">
      <c r="C46" s="26"/>
      <c r="D46" s="57"/>
      <c r="E46" s="5">
        <f>SUM(E30:E45)</f>
        <v>266297.89999999997</v>
      </c>
      <c r="G46" s="5">
        <f ca="1">SUM(G30:G45)</f>
        <v>246289.19403717405</v>
      </c>
      <c r="I46" s="93"/>
      <c r="J46" s="5">
        <f>SUM(J30:J45)</f>
        <v>266297.89999999997</v>
      </c>
      <c r="K46" s="91">
        <f>(+J46-E46)/E46</f>
        <v>0</v>
      </c>
    </row>
    <row r="47" spans="1:12">
      <c r="A47" t="s">
        <v>66</v>
      </c>
      <c r="C47" s="26"/>
      <c r="D47" s="57"/>
      <c r="I47" s="93"/>
      <c r="J47" s="48"/>
    </row>
    <row r="48" spans="1:12">
      <c r="A48" t="s">
        <v>67</v>
      </c>
      <c r="C48" s="26">
        <f>+'Service Counts'!AA53</f>
        <v>0</v>
      </c>
      <c r="D48" s="57">
        <f>+'Service Counts'!Y53</f>
        <v>95.05</v>
      </c>
      <c r="E48" s="5">
        <f t="shared" ref="E48:E59" si="14">+C48*D48</f>
        <v>0</v>
      </c>
      <c r="F48" s="57">
        <f t="shared" ref="F48:F59" ca="1" si="15">+D48*(1+$H$4)</f>
        <v>87.908270749537991</v>
      </c>
      <c r="G48" s="48">
        <f t="shared" ref="G48:G59" ca="1" si="16">+C48*F48</f>
        <v>0</v>
      </c>
      <c r="H48" s="9">
        <f t="shared" ref="H48:H59" si="17">+IF(C48=0,0,(G48-E48)/E48)</f>
        <v>0</v>
      </c>
      <c r="I48" s="106">
        <v>95.05</v>
      </c>
      <c r="J48" s="48">
        <f t="shared" ref="J48:J59" si="18">+C48*I48</f>
        <v>0</v>
      </c>
      <c r="K48" s="9">
        <f t="shared" ref="K48:K59" si="19">+IF(C48=0,0,(J48-E48)/E48)</f>
        <v>0</v>
      </c>
      <c r="L48" s="57">
        <f t="shared" ref="L48:L59" si="20">+D48*(1+$L$2)</f>
        <v>95.05</v>
      </c>
    </row>
    <row r="49" spans="1:12">
      <c r="A49" t="s">
        <v>68</v>
      </c>
      <c r="C49" s="26">
        <f>+'Service Counts'!AA54</f>
        <v>16</v>
      </c>
      <c r="D49" s="57">
        <f>+'Service Counts'!Y54</f>
        <v>114.95</v>
      </c>
      <c r="E49" s="5">
        <f t="shared" si="14"/>
        <v>1839.2</v>
      </c>
      <c r="F49" s="57">
        <f t="shared" ca="1" si="15"/>
        <v>106.31305336832607</v>
      </c>
      <c r="G49" s="48">
        <f t="shared" ca="1" si="16"/>
        <v>1701.0088538932171</v>
      </c>
      <c r="H49" s="9">
        <f t="shared" ca="1" si="17"/>
        <v>-7.5136551819694961E-2</v>
      </c>
      <c r="I49" s="106">
        <v>114.95</v>
      </c>
      <c r="J49" s="48">
        <f t="shared" si="18"/>
        <v>1839.2</v>
      </c>
      <c r="K49" s="9">
        <f t="shared" si="19"/>
        <v>0</v>
      </c>
      <c r="L49" s="57">
        <f t="shared" si="20"/>
        <v>114.95</v>
      </c>
    </row>
    <row r="50" spans="1:12">
      <c r="A50" t="s">
        <v>69</v>
      </c>
      <c r="C50" s="26">
        <f>+'Service Counts'!AA55</f>
        <v>577</v>
      </c>
      <c r="D50" s="57">
        <f>+'Service Counts'!Y55</f>
        <v>124.95</v>
      </c>
      <c r="E50" s="5">
        <f t="shared" si="14"/>
        <v>72096.150000000009</v>
      </c>
      <c r="F50" s="57">
        <f t="shared" ca="1" si="15"/>
        <v>115.56168785012912</v>
      </c>
      <c r="G50" s="48">
        <f t="shared" ca="1" si="16"/>
        <v>66679.093889524505</v>
      </c>
      <c r="H50" s="9">
        <f t="shared" ca="1" si="17"/>
        <v>-7.5136551819694988E-2</v>
      </c>
      <c r="I50" s="106">
        <v>124.95</v>
      </c>
      <c r="J50" s="48">
        <f t="shared" si="18"/>
        <v>72096.150000000009</v>
      </c>
      <c r="K50" s="9">
        <f t="shared" si="19"/>
        <v>0</v>
      </c>
      <c r="L50" s="57">
        <f t="shared" si="20"/>
        <v>124.95</v>
      </c>
    </row>
    <row r="51" spans="1:12">
      <c r="A51" t="s">
        <v>70</v>
      </c>
      <c r="C51" s="26">
        <f>+'Service Counts'!AA56</f>
        <v>0</v>
      </c>
      <c r="D51" s="57">
        <f>+'Service Counts'!Y56</f>
        <v>3.05</v>
      </c>
      <c r="E51" s="5">
        <f t="shared" si="14"/>
        <v>0</v>
      </c>
      <c r="F51" s="57">
        <f t="shared" ca="1" si="15"/>
        <v>2.8208335169499303</v>
      </c>
      <c r="G51" s="48">
        <f t="shared" ca="1" si="16"/>
        <v>0</v>
      </c>
      <c r="H51" s="9">
        <f t="shared" si="17"/>
        <v>0</v>
      </c>
      <c r="I51" s="106">
        <v>3.05</v>
      </c>
      <c r="J51" s="48">
        <f t="shared" si="18"/>
        <v>0</v>
      </c>
      <c r="K51" s="9">
        <f t="shared" si="19"/>
        <v>0</v>
      </c>
      <c r="L51" s="57">
        <f t="shared" si="20"/>
        <v>3.05</v>
      </c>
    </row>
    <row r="52" spans="1:12">
      <c r="A52" t="s">
        <v>71</v>
      </c>
      <c r="C52" s="26">
        <f>+'Service Counts'!AA57</f>
        <v>757</v>
      </c>
      <c r="D52" s="57">
        <f>+'Service Counts'!Y57</f>
        <v>3.55</v>
      </c>
      <c r="E52" s="5">
        <f t="shared" si="14"/>
        <v>2687.35</v>
      </c>
      <c r="F52" s="57">
        <f t="shared" ca="1" si="15"/>
        <v>3.2832652410400827</v>
      </c>
      <c r="G52" s="48">
        <f t="shared" ca="1" si="16"/>
        <v>2485.4317874673425</v>
      </c>
      <c r="H52" s="9">
        <f t="shared" ca="1" si="17"/>
        <v>-7.513655181969503E-2</v>
      </c>
      <c r="I52" s="106">
        <v>3.55</v>
      </c>
      <c r="J52" s="48">
        <f t="shared" si="18"/>
        <v>2687.35</v>
      </c>
      <c r="K52" s="9">
        <f t="shared" si="19"/>
        <v>0</v>
      </c>
      <c r="L52" s="57">
        <f t="shared" si="20"/>
        <v>3.55</v>
      </c>
    </row>
    <row r="53" spans="1:12">
      <c r="A53" t="s">
        <v>72</v>
      </c>
      <c r="C53" s="26">
        <f>+'Service Counts'!AA58</f>
        <v>3406</v>
      </c>
      <c r="D53" s="57">
        <f>+'Service Counts'!Y58</f>
        <v>4.2</v>
      </c>
      <c r="E53" s="5">
        <f t="shared" si="14"/>
        <v>14305.2</v>
      </c>
      <c r="F53" s="57">
        <f t="shared" ca="1" si="15"/>
        <v>3.8844264823572816</v>
      </c>
      <c r="G53" s="48">
        <f t="shared" ca="1" si="16"/>
        <v>13230.356598908902</v>
      </c>
      <c r="H53" s="9">
        <f t="shared" ca="1" si="17"/>
        <v>-7.5136551819694836E-2</v>
      </c>
      <c r="I53" s="106">
        <v>4.2</v>
      </c>
      <c r="J53" s="48">
        <f t="shared" si="18"/>
        <v>14305.2</v>
      </c>
      <c r="K53" s="9">
        <f t="shared" si="19"/>
        <v>0</v>
      </c>
      <c r="L53" s="57">
        <f t="shared" si="20"/>
        <v>4.2</v>
      </c>
    </row>
    <row r="54" spans="1:12">
      <c r="A54" t="s">
        <v>73</v>
      </c>
      <c r="C54" s="26">
        <f>+'Service Counts'!AA59</f>
        <v>0</v>
      </c>
      <c r="D54" s="57">
        <f>+'Service Counts'!Y59</f>
        <v>35</v>
      </c>
      <c r="E54" s="5">
        <f t="shared" si="14"/>
        <v>0</v>
      </c>
      <c r="F54" s="57">
        <f t="shared" ca="1" si="15"/>
        <v>32.370220686310681</v>
      </c>
      <c r="G54" s="48">
        <f t="shared" ca="1" si="16"/>
        <v>0</v>
      </c>
      <c r="H54" s="9">
        <f t="shared" si="17"/>
        <v>0</v>
      </c>
      <c r="I54" s="106">
        <v>35</v>
      </c>
      <c r="J54" s="48">
        <f t="shared" si="18"/>
        <v>0</v>
      </c>
      <c r="K54" s="9">
        <f t="shared" si="19"/>
        <v>0</v>
      </c>
      <c r="L54" s="57">
        <f t="shared" si="20"/>
        <v>35</v>
      </c>
    </row>
    <row r="55" spans="1:12">
      <c r="A55" t="s">
        <v>74</v>
      </c>
      <c r="C55" s="26">
        <f>+'Service Counts'!AA60</f>
        <v>5</v>
      </c>
      <c r="D55" s="57">
        <f>+'Service Counts'!Y60</f>
        <v>35</v>
      </c>
      <c r="E55" s="5">
        <f t="shared" si="14"/>
        <v>175</v>
      </c>
      <c r="F55" s="57">
        <f t="shared" ca="1" si="15"/>
        <v>32.370220686310681</v>
      </c>
      <c r="G55" s="48">
        <f t="shared" ca="1" si="16"/>
        <v>161.85110343155341</v>
      </c>
      <c r="H55" s="9">
        <f t="shared" ca="1" si="17"/>
        <v>-7.5136551819694794E-2</v>
      </c>
      <c r="I55" s="106">
        <v>35</v>
      </c>
      <c r="J55" s="48">
        <f t="shared" si="18"/>
        <v>175</v>
      </c>
      <c r="K55" s="9">
        <f t="shared" si="19"/>
        <v>0</v>
      </c>
      <c r="L55" s="57">
        <f t="shared" si="20"/>
        <v>35</v>
      </c>
    </row>
    <row r="56" spans="1:12">
      <c r="A56" t="s">
        <v>75</v>
      </c>
      <c r="C56" s="26">
        <f>+'Service Counts'!AA61</f>
        <v>10</v>
      </c>
      <c r="D56" s="57">
        <f>+'Service Counts'!Y61</f>
        <v>35</v>
      </c>
      <c r="E56" s="5">
        <f t="shared" si="14"/>
        <v>350</v>
      </c>
      <c r="F56" s="57">
        <f t="shared" ca="1" si="15"/>
        <v>32.370220686310681</v>
      </c>
      <c r="G56" s="48">
        <f t="shared" ca="1" si="16"/>
        <v>323.70220686310682</v>
      </c>
      <c r="H56" s="9">
        <f t="shared" ca="1" si="17"/>
        <v>-7.5136551819694794E-2</v>
      </c>
      <c r="I56" s="106">
        <v>35</v>
      </c>
      <c r="J56" s="48">
        <f t="shared" si="18"/>
        <v>350</v>
      </c>
      <c r="K56" s="9">
        <f t="shared" si="19"/>
        <v>0</v>
      </c>
      <c r="L56" s="57">
        <f t="shared" si="20"/>
        <v>35</v>
      </c>
    </row>
    <row r="57" spans="1:12">
      <c r="A57" t="s">
        <v>76</v>
      </c>
      <c r="C57" s="26">
        <f>+'Service Counts'!AA62</f>
        <v>11730</v>
      </c>
      <c r="D57" s="57">
        <f>+'Service Counts'!Y62</f>
        <v>2.2000000000000002</v>
      </c>
      <c r="E57" s="5">
        <f t="shared" si="14"/>
        <v>25806.000000000004</v>
      </c>
      <c r="F57" s="57">
        <f t="shared" ca="1" si="15"/>
        <v>2.0346995859966714</v>
      </c>
      <c r="G57" s="48">
        <f t="shared" ca="1" si="16"/>
        <v>23867.026143740957</v>
      </c>
      <c r="H57" s="9">
        <f t="shared" ca="1" si="17"/>
        <v>-7.5136551819694877E-2</v>
      </c>
      <c r="I57" s="106">
        <v>2.2000000000000002</v>
      </c>
      <c r="J57" s="48">
        <f t="shared" si="18"/>
        <v>25806.000000000004</v>
      </c>
      <c r="K57" s="9">
        <f t="shared" si="19"/>
        <v>0</v>
      </c>
      <c r="L57" s="57">
        <f t="shared" si="20"/>
        <v>2.2000000000000002</v>
      </c>
    </row>
    <row r="58" spans="1:12">
      <c r="A58" t="s">
        <v>78</v>
      </c>
      <c r="C58" s="26">
        <f>+'Service Counts'!AA64</f>
        <v>0</v>
      </c>
      <c r="D58" s="57">
        <f>+'Service Counts'!Y64</f>
        <v>0</v>
      </c>
      <c r="E58" s="5">
        <f t="shared" si="14"/>
        <v>0</v>
      </c>
      <c r="F58" s="57">
        <f t="shared" ca="1" si="15"/>
        <v>0</v>
      </c>
      <c r="G58" s="48">
        <f t="shared" ca="1" si="16"/>
        <v>0</v>
      </c>
      <c r="H58" s="9">
        <f t="shared" si="17"/>
        <v>0</v>
      </c>
      <c r="I58" s="106">
        <f>+L58</f>
        <v>0</v>
      </c>
      <c r="J58" s="48">
        <f t="shared" si="18"/>
        <v>0</v>
      </c>
      <c r="K58" s="9">
        <f t="shared" si="19"/>
        <v>0</v>
      </c>
      <c r="L58" s="57">
        <f t="shared" si="20"/>
        <v>0</v>
      </c>
    </row>
    <row r="59" spans="1:12">
      <c r="A59" t="s">
        <v>79</v>
      </c>
      <c r="C59" s="26">
        <f>+'Service Counts'!AA65</f>
        <v>0</v>
      </c>
      <c r="D59" s="57">
        <f>+'Service Counts'!Y65</f>
        <v>0</v>
      </c>
      <c r="E59" s="38">
        <f t="shared" si="14"/>
        <v>0</v>
      </c>
      <c r="F59" s="57">
        <f t="shared" ca="1" si="15"/>
        <v>0</v>
      </c>
      <c r="G59" s="52">
        <f t="shared" ca="1" si="16"/>
        <v>0</v>
      </c>
      <c r="H59" s="9">
        <f t="shared" si="17"/>
        <v>0</v>
      </c>
      <c r="I59" s="106">
        <f>+L59</f>
        <v>0</v>
      </c>
      <c r="J59" s="52">
        <f t="shared" si="18"/>
        <v>0</v>
      </c>
      <c r="K59" s="9">
        <f t="shared" si="19"/>
        <v>0</v>
      </c>
      <c r="L59" s="57">
        <f t="shared" si="20"/>
        <v>0</v>
      </c>
    </row>
    <row r="60" spans="1:12">
      <c r="C60" s="26"/>
      <c r="D60" s="57"/>
      <c r="E60" s="5">
        <f>SUM(E48:E59)</f>
        <v>117258.90000000001</v>
      </c>
      <c r="G60" s="5">
        <f ca="1">SUM(G48:G59)</f>
        <v>108448.47058382959</v>
      </c>
      <c r="I60" s="93"/>
      <c r="J60" s="5">
        <f>SUM(J48:J59)</f>
        <v>117258.90000000001</v>
      </c>
      <c r="K60" s="91">
        <f>(+J60-E60)/E60</f>
        <v>0</v>
      </c>
    </row>
    <row r="61" spans="1:12">
      <c r="A61" t="s">
        <v>80</v>
      </c>
      <c r="C61" s="26"/>
      <c r="D61" s="57"/>
      <c r="I61" s="93"/>
      <c r="J61" s="48"/>
    </row>
    <row r="62" spans="1:12">
      <c r="A62" t="s">
        <v>81</v>
      </c>
      <c r="C62" s="26"/>
      <c r="D62" s="57"/>
      <c r="I62" s="93"/>
      <c r="J62" s="48"/>
    </row>
    <row r="63" spans="1:12">
      <c r="A63" t="s">
        <v>82</v>
      </c>
      <c r="C63" s="26">
        <f>+'Service Counts'!AA69</f>
        <v>0</v>
      </c>
      <c r="D63" s="57">
        <f>+'Service Counts'!Y69</f>
        <v>129</v>
      </c>
      <c r="E63" s="5">
        <f>+C63*D63</f>
        <v>0</v>
      </c>
      <c r="F63" s="57">
        <f ca="1">+D63*(1+$H$4)</f>
        <v>119.30738481525935</v>
      </c>
      <c r="G63" s="48">
        <f ca="1">+C63*F63</f>
        <v>0</v>
      </c>
      <c r="H63" s="9">
        <f>+IF(C63=0,0,(G63-E63)/E63)</f>
        <v>0</v>
      </c>
      <c r="I63" s="106">
        <v>129</v>
      </c>
      <c r="J63" s="48">
        <f>+C63*I63</f>
        <v>0</v>
      </c>
      <c r="K63" s="9">
        <f>+IF(C63=0,0,(J63-E63)/E63)</f>
        <v>0</v>
      </c>
      <c r="L63" s="57">
        <f>+D63*(1+$L$2)</f>
        <v>129</v>
      </c>
    </row>
    <row r="64" spans="1:12">
      <c r="A64" t="s">
        <v>83</v>
      </c>
      <c r="C64" s="26">
        <f>+'Service Counts'!AA70</f>
        <v>0</v>
      </c>
      <c r="D64" s="57">
        <f>+'Service Counts'!Y70</f>
        <v>32</v>
      </c>
      <c r="E64" s="38">
        <f>+C64*D64</f>
        <v>0</v>
      </c>
      <c r="F64" s="57">
        <f ca="1">+D64*(1+$H$4)</f>
        <v>29.595630341769763</v>
      </c>
      <c r="G64" s="52">
        <f ca="1">+C64*F64</f>
        <v>0</v>
      </c>
      <c r="H64" s="9">
        <f>+IF(C64=0,0,(G64-E64)/E64)</f>
        <v>0</v>
      </c>
      <c r="I64" s="106">
        <v>32</v>
      </c>
      <c r="J64" s="52">
        <f>+C64*I64</f>
        <v>0</v>
      </c>
      <c r="K64" s="9">
        <f>+IF(C64=0,0,(J64-E64)/E64)</f>
        <v>0</v>
      </c>
      <c r="L64" s="57">
        <f>+D64*(1+$L$2)</f>
        <v>32</v>
      </c>
    </row>
    <row r="65" spans="1:11">
      <c r="C65" s="26"/>
      <c r="D65" s="57"/>
      <c r="E65" s="5">
        <f>SUM(E63:E64)</f>
        <v>0</v>
      </c>
      <c r="G65" s="5">
        <f ca="1">SUM(G63:G64)</f>
        <v>0</v>
      </c>
      <c r="J65" s="5">
        <f>SUM(J63:J64)</f>
        <v>0</v>
      </c>
      <c r="K65" s="91" t="e">
        <f>(+J65-E65)/E65</f>
        <v>#DIV/0!</v>
      </c>
    </row>
    <row r="66" spans="1:11">
      <c r="C66" s="26"/>
      <c r="D66" s="51"/>
    </row>
    <row r="67" spans="1:11">
      <c r="C67" s="26"/>
      <c r="D67" s="51"/>
    </row>
    <row r="68" spans="1:11">
      <c r="C68" s="26">
        <f>+'Service Counts'!AA72</f>
        <v>27422.328521939955</v>
      </c>
      <c r="D68" s="51"/>
      <c r="E68" s="57">
        <f>+E28+E46+E60+E65</f>
        <v>441474.16612586606</v>
      </c>
      <c r="G68" s="57">
        <f ca="1">+G28+G46+G60+G65</f>
        <v>408303.31956569327</v>
      </c>
      <c r="J68" s="57">
        <f>+J28+J46+J60+J65</f>
        <v>441474.16612586606</v>
      </c>
    </row>
    <row r="69" spans="1:11">
      <c r="C69" s="26"/>
      <c r="D69" s="51"/>
    </row>
    <row r="70" spans="1:11">
      <c r="A70" t="s">
        <v>85</v>
      </c>
      <c r="C70" s="26"/>
      <c r="D70" s="51"/>
      <c r="G70" s="57">
        <f ca="1">+G68-E68</f>
        <v>-33170.846560172795</v>
      </c>
      <c r="J70" s="57">
        <f>+J68-E68</f>
        <v>0</v>
      </c>
      <c r="K70" s="105">
        <f>ROUND((+J70/E68),4)</f>
        <v>0</v>
      </c>
    </row>
    <row r="71" spans="1:11">
      <c r="C71" s="26"/>
      <c r="D71" s="51"/>
    </row>
    <row r="72" spans="1:11">
      <c r="C72" s="26"/>
      <c r="D72" s="51"/>
      <c r="E72" s="5"/>
      <c r="K72" s="31">
        <f>+K70</f>
        <v>0</v>
      </c>
    </row>
    <row r="73" spans="1:11">
      <c r="C73" s="26"/>
      <c r="D73" s="51"/>
      <c r="E73" s="5"/>
    </row>
    <row r="74" spans="1:11">
      <c r="C74" s="26"/>
      <c r="D74" s="51"/>
      <c r="E74" s="5"/>
    </row>
    <row r="75" spans="1:11">
      <c r="C75" s="26"/>
      <c r="D75" s="51"/>
    </row>
    <row r="76" spans="1:11">
      <c r="C76" s="26"/>
      <c r="D76" s="51"/>
      <c r="E76" s="51"/>
    </row>
    <row r="77" spans="1:11">
      <c r="C77" s="26"/>
      <c r="D77" s="51"/>
      <c r="E77" s="9"/>
    </row>
    <row r="78" spans="1:11">
      <c r="C78" s="26"/>
      <c r="D78" s="51"/>
      <c r="E78" s="9"/>
    </row>
    <row r="79" spans="1:11">
      <c r="C79" s="26"/>
      <c r="D79" s="51"/>
    </row>
    <row r="80" spans="1:11">
      <c r="D80" s="51"/>
    </row>
  </sheetData>
  <pageMargins left="0.25" right="0.25" top="0.5" bottom="0.25" header="0.5" footer="0.5"/>
  <pageSetup scale="7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Q106"/>
  <sheetViews>
    <sheetView topLeftCell="A73" workbookViewId="0">
      <selection activeCell="C16" sqref="C16"/>
    </sheetView>
  </sheetViews>
  <sheetFormatPr defaultRowHeight="12.75"/>
  <cols>
    <col min="1" max="1" width="5.42578125" customWidth="1"/>
    <col min="2" max="2" width="29" bestFit="1" customWidth="1"/>
    <col min="3" max="3" width="14.140625" customWidth="1"/>
    <col min="4" max="4" width="3.5703125" customWidth="1"/>
    <col min="5" max="5" width="7.42578125" customWidth="1"/>
    <col min="6" max="6" width="12.28515625" customWidth="1"/>
    <col min="7" max="7" width="3.28515625" customWidth="1"/>
    <col min="8" max="8" width="9.140625" customWidth="1"/>
    <col min="9" max="9" width="11.140625" customWidth="1"/>
    <col min="10" max="10" width="3.42578125" customWidth="1"/>
    <col min="11" max="11" width="9.140625" customWidth="1"/>
    <col min="12" max="12" width="11.140625" customWidth="1"/>
    <col min="13" max="13" width="4.28515625" customWidth="1"/>
    <col min="14" max="14" width="12.5703125" customWidth="1"/>
    <col min="15" max="15" width="9.140625" customWidth="1"/>
    <col min="16" max="16" width="9.7109375" customWidth="1"/>
    <col min="17" max="17" width="9.140625" customWidth="1"/>
  </cols>
  <sheetData>
    <row r="1" spans="1:16">
      <c r="A1" t="s">
        <v>4</v>
      </c>
    </row>
    <row r="3" spans="1:16">
      <c r="A3" t="s">
        <v>748</v>
      </c>
      <c r="F3" s="459" t="s">
        <v>11</v>
      </c>
      <c r="G3" s="459" t="s">
        <v>12</v>
      </c>
    </row>
    <row r="5" spans="1:16">
      <c r="A5" s="458" t="s">
        <v>1420</v>
      </c>
    </row>
    <row r="6" spans="1:16">
      <c r="A6" s="1"/>
      <c r="E6" s="790" t="s">
        <v>222</v>
      </c>
      <c r="F6" s="790"/>
      <c r="H6" s="790" t="s">
        <v>223</v>
      </c>
      <c r="I6" s="790"/>
      <c r="K6" s="790" t="s">
        <v>224</v>
      </c>
      <c r="L6" s="790"/>
    </row>
    <row r="7" spans="1:16">
      <c r="C7" s="530" t="s">
        <v>116</v>
      </c>
      <c r="E7" s="790" t="s">
        <v>376</v>
      </c>
      <c r="F7" s="790"/>
      <c r="H7" s="790" t="s">
        <v>376</v>
      </c>
      <c r="I7" s="790"/>
      <c r="K7" s="790" t="s">
        <v>376</v>
      </c>
      <c r="L7" s="790"/>
      <c r="N7" s="530" t="s">
        <v>27</v>
      </c>
      <c r="O7" s="530" t="s">
        <v>27</v>
      </c>
    </row>
    <row r="8" spans="1:16" ht="13.5" thickBot="1">
      <c r="C8" s="2" t="s">
        <v>228</v>
      </c>
      <c r="D8" s="2"/>
      <c r="E8" s="2" t="s">
        <v>392</v>
      </c>
      <c r="F8" s="2" t="s">
        <v>174</v>
      </c>
      <c r="G8" s="2"/>
      <c r="H8" s="2" t="s">
        <v>392</v>
      </c>
      <c r="I8" s="2" t="s">
        <v>174</v>
      </c>
      <c r="J8" s="2"/>
      <c r="K8" s="2" t="s">
        <v>392</v>
      </c>
      <c r="L8" s="2" t="s">
        <v>174</v>
      </c>
      <c r="M8" s="2"/>
      <c r="N8" s="2" t="s">
        <v>174</v>
      </c>
      <c r="O8" s="2" t="s">
        <v>392</v>
      </c>
    </row>
    <row r="9" spans="1:16" ht="13.5" thickTop="1"/>
    <row r="10" spans="1:16">
      <c r="A10" t="s">
        <v>230</v>
      </c>
    </row>
    <row r="11" spans="1:16">
      <c r="A11">
        <v>3100</v>
      </c>
      <c r="B11" t="s">
        <v>231</v>
      </c>
      <c r="C11" s="5">
        <f>+'Results of Operations Regulated'!C11</f>
        <v>2122236.2999999998</v>
      </c>
      <c r="E11" s="531">
        <f>+'Overhead Allocation'!$L$35</f>
        <v>0.78948540953421964</v>
      </c>
      <c r="F11" s="5">
        <f t="shared" ref="F11:F19" si="0">+C11*E11</f>
        <v>1675474.5944338869</v>
      </c>
      <c r="H11" s="10">
        <f>+'Overhead Allocation'!$L$36</f>
        <v>5.6703749322138557E-2</v>
      </c>
      <c r="I11" s="5">
        <f t="shared" ref="I11:I19" si="1">+C11*H11</f>
        <v>120338.75515754282</v>
      </c>
      <c r="K11" s="10">
        <f>+'Overhead Allocation'!L37</f>
        <v>0.15381084114364182</v>
      </c>
      <c r="L11" s="5">
        <f t="shared" ref="L11:L19" si="2">+C11*K11</f>
        <v>326422.95040857018</v>
      </c>
      <c r="M11" s="5"/>
      <c r="N11" s="5">
        <f t="shared" ref="N11:N19" si="3">+F11+I11+L11</f>
        <v>2122236.2999999998</v>
      </c>
      <c r="O11" s="10">
        <f t="shared" ref="O11:O19" si="4">+E11+H11+K11</f>
        <v>1</v>
      </c>
      <c r="P11" t="str">
        <f t="shared" ref="P11:P19" si="5">IF(O11&lt;&gt;1,"ERR"," ")</f>
        <v xml:space="preserve"> </v>
      </c>
    </row>
    <row r="12" spans="1:16">
      <c r="A12">
        <v>3112</v>
      </c>
      <c r="B12" t="s">
        <v>232</v>
      </c>
      <c r="C12" s="5">
        <f>+'Results of Operations Regulated'!C12</f>
        <v>0</v>
      </c>
      <c r="E12" s="14"/>
      <c r="F12" s="5">
        <f t="shared" si="0"/>
        <v>0</v>
      </c>
      <c r="H12" s="14"/>
      <c r="I12" s="5">
        <f t="shared" si="1"/>
        <v>0</v>
      </c>
      <c r="K12" s="10"/>
      <c r="L12" s="5">
        <f t="shared" si="2"/>
        <v>0</v>
      </c>
      <c r="M12" s="5"/>
      <c r="N12" s="5">
        <f t="shared" si="3"/>
        <v>0</v>
      </c>
      <c r="O12" s="10">
        <f t="shared" si="4"/>
        <v>0</v>
      </c>
      <c r="P12" t="str">
        <f t="shared" si="5"/>
        <v>ERR</v>
      </c>
    </row>
    <row r="13" spans="1:16">
      <c r="A13">
        <v>3114</v>
      </c>
      <c r="B13" t="s">
        <v>233</v>
      </c>
      <c r="C13" s="5">
        <f>+'Results of Operations Regulated'!C13</f>
        <v>0</v>
      </c>
      <c r="E13" s="14"/>
      <c r="F13" s="5">
        <f t="shared" si="0"/>
        <v>0</v>
      </c>
      <c r="H13" s="10"/>
      <c r="I13" s="5">
        <f t="shared" si="1"/>
        <v>0</v>
      </c>
      <c r="K13" s="14"/>
      <c r="L13" s="5">
        <f t="shared" si="2"/>
        <v>0</v>
      </c>
      <c r="M13" s="5"/>
      <c r="N13" s="5">
        <f t="shared" si="3"/>
        <v>0</v>
      </c>
      <c r="O13" s="10">
        <f t="shared" si="4"/>
        <v>0</v>
      </c>
      <c r="P13" t="str">
        <f t="shared" si="5"/>
        <v>ERR</v>
      </c>
    </row>
    <row r="14" spans="1:16">
      <c r="A14">
        <v>3300</v>
      </c>
      <c r="B14" t="s">
        <v>234</v>
      </c>
      <c r="C14" s="5">
        <f>+'Results of Operations Regulated'!C14</f>
        <v>275552.33999999997</v>
      </c>
      <c r="E14" s="531">
        <f>+'Drop Box Allocation'!$I$10</f>
        <v>0.45145590645894634</v>
      </c>
      <c r="F14" s="5">
        <f t="shared" si="0"/>
        <v>124399.73143158376</v>
      </c>
      <c r="H14" s="10">
        <f>+'Drop Box Allocation'!$I$11</f>
        <v>0.12216483861724702</v>
      </c>
      <c r="I14" s="5">
        <f t="shared" si="1"/>
        <v>33662.807146704778</v>
      </c>
      <c r="K14" s="10">
        <f>+'Drop Box Allocation'!I12</f>
        <v>0.42637925492380657</v>
      </c>
      <c r="L14" s="5">
        <f t="shared" si="2"/>
        <v>117489.80142171141</v>
      </c>
      <c r="M14" s="5"/>
      <c r="N14" s="5">
        <f t="shared" si="3"/>
        <v>275552.33999999997</v>
      </c>
      <c r="O14" s="10">
        <f t="shared" si="4"/>
        <v>0.99999999999999989</v>
      </c>
      <c r="P14" t="str">
        <f t="shared" si="5"/>
        <v xml:space="preserve"> </v>
      </c>
    </row>
    <row r="15" spans="1:16">
      <c r="A15">
        <v>3310</v>
      </c>
      <c r="B15" t="s">
        <v>235</v>
      </c>
      <c r="C15" s="5">
        <f>+'Results of Operations Regulated'!C15</f>
        <v>466537.93999999994</v>
      </c>
      <c r="E15" s="531">
        <f>+'Drop Box Allocation'!$D$35</f>
        <v>0.71424053213482164</v>
      </c>
      <c r="F15" s="5">
        <f t="shared" si="0"/>
        <v>333220.30652668345</v>
      </c>
      <c r="H15" s="10">
        <f>+'Drop Box Allocation'!$D$36</f>
        <v>5.0336572372640172E-2</v>
      </c>
      <c r="I15" s="5">
        <f t="shared" si="1"/>
        <v>23483.920781392455</v>
      </c>
      <c r="K15" s="10">
        <f>+'Drop Box Allocation'!D37</f>
        <v>0.2354228954925382</v>
      </c>
      <c r="L15" s="5">
        <f t="shared" si="2"/>
        <v>109833.71269192404</v>
      </c>
      <c r="M15" s="5"/>
      <c r="N15" s="5">
        <f t="shared" si="3"/>
        <v>466537.93999999994</v>
      </c>
      <c r="O15" s="10">
        <f t="shared" si="4"/>
        <v>1</v>
      </c>
      <c r="P15" t="str">
        <f t="shared" si="5"/>
        <v xml:space="preserve"> </v>
      </c>
    </row>
    <row r="16" spans="1:16">
      <c r="A16" s="120">
        <v>3510</v>
      </c>
      <c r="B16" s="120" t="s">
        <v>236</v>
      </c>
      <c r="C16" s="121">
        <f>+'Results of Operations Regulated'!C16</f>
        <v>0</v>
      </c>
      <c r="D16" s="120"/>
      <c r="E16" s="71">
        <v>1</v>
      </c>
      <c r="F16" s="121">
        <f t="shared" si="0"/>
        <v>0</v>
      </c>
      <c r="G16" s="120"/>
      <c r="H16" s="71">
        <v>0</v>
      </c>
      <c r="I16" s="121">
        <f t="shared" si="1"/>
        <v>0</v>
      </c>
      <c r="J16" s="120"/>
      <c r="K16" s="71">
        <f>+'Drop Box Allocation'!D38</f>
        <v>0</v>
      </c>
      <c r="L16" s="121">
        <f t="shared" si="2"/>
        <v>0</v>
      </c>
      <c r="M16" s="121"/>
      <c r="N16" s="121">
        <f t="shared" si="3"/>
        <v>0</v>
      </c>
      <c r="O16" s="10">
        <f t="shared" si="4"/>
        <v>1</v>
      </c>
      <c r="P16" t="str">
        <f t="shared" si="5"/>
        <v xml:space="preserve"> </v>
      </c>
    </row>
    <row r="17" spans="1:17">
      <c r="A17" s="120">
        <v>3550</v>
      </c>
      <c r="B17" s="120" t="s">
        <v>237</v>
      </c>
      <c r="C17" s="121">
        <f>+'Results of Operations Regulated'!C17</f>
        <v>0</v>
      </c>
      <c r="D17" s="120"/>
      <c r="E17" s="71">
        <v>1</v>
      </c>
      <c r="F17" s="121">
        <f t="shared" si="0"/>
        <v>0</v>
      </c>
      <c r="G17" s="120"/>
      <c r="H17" s="71">
        <f>+'Drop Box Allocation'!$D$38</f>
        <v>0</v>
      </c>
      <c r="I17" s="121">
        <f t="shared" si="1"/>
        <v>0</v>
      </c>
      <c r="J17" s="120"/>
      <c r="K17" s="71">
        <v>0</v>
      </c>
      <c r="L17" s="121">
        <f t="shared" si="2"/>
        <v>0</v>
      </c>
      <c r="M17" s="121"/>
      <c r="N17" s="121">
        <f t="shared" si="3"/>
        <v>0</v>
      </c>
      <c r="O17" s="10">
        <f t="shared" si="4"/>
        <v>1</v>
      </c>
      <c r="P17" t="str">
        <f t="shared" si="5"/>
        <v xml:space="preserve"> </v>
      </c>
    </row>
    <row r="18" spans="1:17">
      <c r="A18" s="120">
        <v>3400</v>
      </c>
      <c r="B18" s="120" t="s">
        <v>238</v>
      </c>
      <c r="C18" s="121">
        <f>+'Results of Operations Regulated'!C18</f>
        <v>0</v>
      </c>
      <c r="D18" s="120"/>
      <c r="E18" s="71">
        <v>1</v>
      </c>
      <c r="F18" s="121">
        <f t="shared" si="0"/>
        <v>0</v>
      </c>
      <c r="G18" s="120"/>
      <c r="H18" s="71"/>
      <c r="I18" s="121">
        <f t="shared" si="1"/>
        <v>0</v>
      </c>
      <c r="J18" s="120"/>
      <c r="K18" s="71"/>
      <c r="L18" s="121">
        <f t="shared" si="2"/>
        <v>0</v>
      </c>
      <c r="M18" s="121"/>
      <c r="N18" s="121">
        <f t="shared" si="3"/>
        <v>0</v>
      </c>
      <c r="O18" s="10">
        <f t="shared" si="4"/>
        <v>1</v>
      </c>
      <c r="P18" t="str">
        <f t="shared" si="5"/>
        <v xml:space="preserve"> </v>
      </c>
    </row>
    <row r="19" spans="1:17" ht="13.5" thickBot="1">
      <c r="A19">
        <v>3500</v>
      </c>
      <c r="B19" t="s">
        <v>239</v>
      </c>
      <c r="C19" s="6">
        <f>+'Results of Operations Regulated'!C19</f>
        <v>0</v>
      </c>
      <c r="D19" s="4"/>
      <c r="E19" s="23">
        <v>1</v>
      </c>
      <c r="F19" s="6">
        <f t="shared" si="0"/>
        <v>0</v>
      </c>
      <c r="G19" s="4"/>
      <c r="H19" s="11"/>
      <c r="I19" s="6">
        <f t="shared" si="1"/>
        <v>0</v>
      </c>
      <c r="J19" s="4"/>
      <c r="K19" s="11"/>
      <c r="L19" s="6">
        <f t="shared" si="2"/>
        <v>0</v>
      </c>
      <c r="M19" s="6"/>
      <c r="N19" s="6">
        <f t="shared" si="3"/>
        <v>0</v>
      </c>
      <c r="O19" s="11">
        <f t="shared" si="4"/>
        <v>1</v>
      </c>
      <c r="P19" t="str">
        <f t="shared" si="5"/>
        <v xml:space="preserve"> </v>
      </c>
    </row>
    <row r="20" spans="1:17">
      <c r="C20" s="5"/>
      <c r="E20" s="10"/>
      <c r="H20" s="10"/>
      <c r="K20" s="10"/>
      <c r="O20" s="10"/>
    </row>
    <row r="21" spans="1:17" ht="13.5" thickBot="1">
      <c r="B21" t="s">
        <v>240</v>
      </c>
      <c r="C21" s="6">
        <f>SUM(C11:C19)</f>
        <v>2864326.5799999996</v>
      </c>
      <c r="D21" s="4"/>
      <c r="E21" s="11">
        <f>+F21/C21</f>
        <v>0.74471069300769266</v>
      </c>
      <c r="F21" s="6">
        <f>SUM(F11:F19)</f>
        <v>2133094.6323921541</v>
      </c>
      <c r="G21" s="4"/>
      <c r="H21" s="11">
        <f>+I21/C21</f>
        <v>6.1964122500877704E-2</v>
      </c>
      <c r="I21" s="6">
        <f>SUM(I11:I19)</f>
        <v>177485.48308564007</v>
      </c>
      <c r="J21" s="4"/>
      <c r="K21" s="11">
        <f>+L21/C21</f>
        <v>0.19332518449142966</v>
      </c>
      <c r="L21" s="6">
        <f>SUM(L11:L19)</f>
        <v>553746.46452220564</v>
      </c>
      <c r="M21" s="4"/>
      <c r="N21" s="6">
        <f>SUM(N11:N19)</f>
        <v>2864326.5799999996</v>
      </c>
      <c r="O21" s="11">
        <f>+E21+H21+K21</f>
        <v>1</v>
      </c>
    </row>
    <row r="22" spans="1:17">
      <c r="C22" s="5"/>
      <c r="E22" s="10"/>
      <c r="H22" s="10"/>
      <c r="K22" s="10"/>
      <c r="O22" s="10"/>
    </row>
    <row r="23" spans="1:17">
      <c r="A23" t="s">
        <v>241</v>
      </c>
      <c r="C23" s="5"/>
      <c r="E23" s="10"/>
      <c r="H23" s="10"/>
      <c r="K23" s="10"/>
      <c r="O23" s="10"/>
    </row>
    <row r="24" spans="1:17">
      <c r="A24" t="s">
        <v>242</v>
      </c>
      <c r="C24" s="5"/>
      <c r="E24" s="10"/>
      <c r="H24" s="10"/>
      <c r="K24" s="10"/>
      <c r="O24" s="10"/>
    </row>
    <row r="25" spans="1:17">
      <c r="A25">
        <v>4116</v>
      </c>
      <c r="B25" t="s">
        <v>243</v>
      </c>
      <c r="C25" s="5">
        <f>+'Results of Operations Regulated'!C25</f>
        <v>107985.47407732035</v>
      </c>
      <c r="E25" s="531">
        <f>+'Hours &amp; Miles by County'!$D$25</f>
        <v>0.77784734558373858</v>
      </c>
      <c r="F25" s="5">
        <f t="shared" ref="F25:F38" si="6">+C25*E25</f>
        <v>83996.214372645249</v>
      </c>
      <c r="H25" s="10">
        <f>+'Hours &amp; Miles by County'!$E$25</f>
        <v>7.1729261513471892E-2</v>
      </c>
      <c r="I25" s="5">
        <f t="shared" ref="I25:I38" si="7">+C25*H25</f>
        <v>7745.7183097483512</v>
      </c>
      <c r="K25" s="10">
        <f>+'Hours &amp; Miles by County'!F25</f>
        <v>0.15042339290278953</v>
      </c>
      <c r="L25" s="5">
        <f t="shared" ref="L25:L38" si="8">+C25*K25</f>
        <v>16243.541394926753</v>
      </c>
      <c r="N25" s="5">
        <f t="shared" ref="N25:N38" si="9">+F25+I25+L25</f>
        <v>107985.47407732035</v>
      </c>
      <c r="O25" s="10">
        <f t="shared" ref="O25:O38" si="10">+E25+H25+K25</f>
        <v>1</v>
      </c>
      <c r="P25" t="str">
        <f t="shared" ref="P25:P38" si="11">IF(O25&lt;&gt;1,"ERR"," ")</f>
        <v xml:space="preserve"> </v>
      </c>
    </row>
    <row r="26" spans="1:17">
      <c r="A26">
        <v>4117</v>
      </c>
      <c r="B26" t="s">
        <v>245</v>
      </c>
      <c r="C26" s="5">
        <f>+'Results of Operations Regulated'!C26</f>
        <v>1875.4300000000003</v>
      </c>
      <c r="E26" s="531">
        <f>+$E$25</f>
        <v>0.77784734558373858</v>
      </c>
      <c r="F26" s="5">
        <f t="shared" si="6"/>
        <v>1458.7982473281111</v>
      </c>
      <c r="H26" s="10">
        <f>+'Hours &amp; Miles by County'!$E$25</f>
        <v>7.1729261513471892E-2</v>
      </c>
      <c r="I26" s="5">
        <f t="shared" si="7"/>
        <v>134.52320892021061</v>
      </c>
      <c r="K26" s="10">
        <f>+K25</f>
        <v>0.15042339290278953</v>
      </c>
      <c r="L26" s="5">
        <f t="shared" si="8"/>
        <v>282.10854375167861</v>
      </c>
      <c r="N26" s="5">
        <f t="shared" si="9"/>
        <v>1875.4300000000003</v>
      </c>
      <c r="O26" s="10">
        <f t="shared" si="10"/>
        <v>1</v>
      </c>
      <c r="P26" t="str">
        <f t="shared" si="11"/>
        <v xml:space="preserve"> </v>
      </c>
    </row>
    <row r="27" spans="1:17">
      <c r="A27">
        <v>4118</v>
      </c>
      <c r="B27" t="s">
        <v>246</v>
      </c>
      <c r="C27" s="5">
        <f>+'Results of Operations Regulated'!C27</f>
        <v>8899.3868552412641</v>
      </c>
      <c r="E27" s="531">
        <f>ROUND(+'Container Count by County'!$K$22,3)</f>
        <v>0.82</v>
      </c>
      <c r="F27" s="5">
        <f t="shared" si="6"/>
        <v>7297.4972212978364</v>
      </c>
      <c r="H27" s="531">
        <f>ROUND(+'Container Count by County'!$K$24,3)</f>
        <v>0.05</v>
      </c>
      <c r="I27" s="5">
        <f t="shared" si="7"/>
        <v>444.96934276206321</v>
      </c>
      <c r="K27" s="24">
        <f>ROUND(+'Container Count by County'!K26,3)</f>
        <v>0.13</v>
      </c>
      <c r="L27" s="5">
        <f t="shared" si="8"/>
        <v>1156.9202911813643</v>
      </c>
      <c r="N27" s="5">
        <f t="shared" si="9"/>
        <v>8899.3868552412641</v>
      </c>
      <c r="O27" s="10">
        <f t="shared" si="10"/>
        <v>1</v>
      </c>
      <c r="P27" t="str">
        <f t="shared" si="11"/>
        <v xml:space="preserve"> </v>
      </c>
    </row>
    <row r="28" spans="1:17">
      <c r="A28" s="285">
        <v>4120</v>
      </c>
      <c r="B28" s="285" t="s">
        <v>247</v>
      </c>
      <c r="C28" s="463">
        <f>+'Results of Operations Regulated'!C28</f>
        <v>0</v>
      </c>
      <c r="D28" s="285"/>
      <c r="E28" s="538">
        <f>+$E$27</f>
        <v>0.82</v>
      </c>
      <c r="F28" s="463">
        <f t="shared" si="6"/>
        <v>0</v>
      </c>
      <c r="G28" s="285"/>
      <c r="H28" s="538">
        <f>ROUND(+'Container Count by County'!$K$24,3)</f>
        <v>0.05</v>
      </c>
      <c r="I28" s="463">
        <f t="shared" si="7"/>
        <v>0</v>
      </c>
      <c r="J28" s="285"/>
      <c r="K28" s="521">
        <f>+K27</f>
        <v>0.13</v>
      </c>
      <c r="L28" s="463">
        <f t="shared" si="8"/>
        <v>0</v>
      </c>
      <c r="M28" s="285"/>
      <c r="N28" s="463">
        <f t="shared" si="9"/>
        <v>0</v>
      </c>
      <c r="O28" s="517">
        <f t="shared" si="10"/>
        <v>1</v>
      </c>
      <c r="P28" s="285" t="str">
        <f t="shared" si="11"/>
        <v xml:space="preserve"> </v>
      </c>
      <c r="Q28" s="285"/>
    </row>
    <row r="29" spans="1:17">
      <c r="A29" s="518">
        <v>4122</v>
      </c>
      <c r="B29" s="518" t="s">
        <v>248</v>
      </c>
      <c r="C29" s="519">
        <f>+'Results of Operations Regulated'!C29</f>
        <v>0</v>
      </c>
      <c r="D29" s="518"/>
      <c r="E29" s="520">
        <f>+$E$28</f>
        <v>0.82</v>
      </c>
      <c r="F29" s="519">
        <f t="shared" si="6"/>
        <v>0</v>
      </c>
      <c r="G29" s="518"/>
      <c r="H29" s="520">
        <f>ROUND(+'Container Count by County'!$K$24,3)</f>
        <v>0.05</v>
      </c>
      <c r="I29" s="519">
        <f t="shared" si="7"/>
        <v>0</v>
      </c>
      <c r="J29" s="518"/>
      <c r="K29" s="520">
        <f>+K28</f>
        <v>0.13</v>
      </c>
      <c r="L29" s="519">
        <f t="shared" si="8"/>
        <v>0</v>
      </c>
      <c r="M29" s="518"/>
      <c r="N29" s="519">
        <f t="shared" si="9"/>
        <v>0</v>
      </c>
      <c r="O29" s="520">
        <f t="shared" si="10"/>
        <v>1</v>
      </c>
      <c r="P29" s="518" t="str">
        <f t="shared" si="11"/>
        <v xml:space="preserve"> </v>
      </c>
      <c r="Q29" s="285"/>
    </row>
    <row r="30" spans="1:17">
      <c r="A30" s="285">
        <v>4132</v>
      </c>
      <c r="B30" s="285" t="s">
        <v>249</v>
      </c>
      <c r="C30" s="463">
        <f>+'Results of Operations Regulated'!C30</f>
        <v>60980.099203726248</v>
      </c>
      <c r="D30" s="285"/>
      <c r="E30" s="517">
        <f>+$E$25</f>
        <v>0.77784734558373858</v>
      </c>
      <c r="F30" s="463">
        <f t="shared" si="6"/>
        <v>47433.208299051512</v>
      </c>
      <c r="G30" s="285"/>
      <c r="H30" s="517">
        <f>+'Hours &amp; Miles by County'!$E$25</f>
        <v>7.1729261513471892E-2</v>
      </c>
      <c r="I30" s="463">
        <f t="shared" si="7"/>
        <v>4374.0574829015395</v>
      </c>
      <c r="J30" s="285"/>
      <c r="K30" s="517">
        <f>+K25</f>
        <v>0.15042339290278953</v>
      </c>
      <c r="L30" s="463">
        <f t="shared" si="8"/>
        <v>9172.8334217731954</v>
      </c>
      <c r="M30" s="285"/>
      <c r="N30" s="463">
        <f t="shared" si="9"/>
        <v>60980.099203726248</v>
      </c>
      <c r="O30" s="517">
        <f t="shared" si="10"/>
        <v>1</v>
      </c>
      <c r="P30" s="285" t="str">
        <f t="shared" si="11"/>
        <v xml:space="preserve"> </v>
      </c>
      <c r="Q30" s="285"/>
    </row>
    <row r="31" spans="1:17">
      <c r="A31">
        <v>4133</v>
      </c>
      <c r="B31" t="s">
        <v>250</v>
      </c>
      <c r="C31" s="5">
        <f>+'Results of Operations Regulated'!C31</f>
        <v>13243.509999999998</v>
      </c>
      <c r="E31" s="10">
        <f>+$E$25</f>
        <v>0.77784734558373858</v>
      </c>
      <c r="F31" s="5">
        <f t="shared" si="6"/>
        <v>10301.429099711697</v>
      </c>
      <c r="H31" s="10">
        <f>+'Hours &amp; Miles by County'!$E$25</f>
        <v>7.1729261513471892E-2</v>
      </c>
      <c r="I31" s="5">
        <f t="shared" si="7"/>
        <v>949.94719214628003</v>
      </c>
      <c r="K31" s="10">
        <f>+K25</f>
        <v>0.15042339290278953</v>
      </c>
      <c r="L31" s="5">
        <f t="shared" si="8"/>
        <v>1992.133708142022</v>
      </c>
      <c r="N31" s="5">
        <f t="shared" si="9"/>
        <v>13243.51</v>
      </c>
      <c r="O31" s="10">
        <f t="shared" si="10"/>
        <v>1</v>
      </c>
      <c r="P31" t="str">
        <f t="shared" si="11"/>
        <v xml:space="preserve"> </v>
      </c>
    </row>
    <row r="32" spans="1:17">
      <c r="A32">
        <v>4134</v>
      </c>
      <c r="B32" t="s">
        <v>251</v>
      </c>
      <c r="C32" s="5">
        <f>+'Results of Operations Regulated'!C32</f>
        <v>12266.924916805325</v>
      </c>
      <c r="E32" s="10">
        <f>+$E$27</f>
        <v>0.82</v>
      </c>
      <c r="F32" s="5">
        <f t="shared" si="6"/>
        <v>10058.878431780366</v>
      </c>
      <c r="H32" s="531">
        <f>ROUND(+'Container Count by County'!$K$24,3)</f>
        <v>0.05</v>
      </c>
      <c r="I32" s="5">
        <f t="shared" si="7"/>
        <v>613.34624584026631</v>
      </c>
      <c r="K32" s="10">
        <f>+K27</f>
        <v>0.13</v>
      </c>
      <c r="L32" s="5">
        <f t="shared" si="8"/>
        <v>1594.7002391846922</v>
      </c>
      <c r="N32" s="5">
        <f t="shared" si="9"/>
        <v>12266.924916805325</v>
      </c>
      <c r="O32" s="10">
        <f t="shared" si="10"/>
        <v>1</v>
      </c>
      <c r="P32" t="str">
        <f t="shared" si="11"/>
        <v xml:space="preserve"> </v>
      </c>
    </row>
    <row r="33" spans="1:17">
      <c r="A33">
        <v>4136</v>
      </c>
      <c r="B33" t="s">
        <v>252</v>
      </c>
      <c r="C33" s="5">
        <f>+'Results of Operations Regulated'!C33</f>
        <v>37.83</v>
      </c>
      <c r="E33" s="10">
        <f>+$E$27</f>
        <v>0.82</v>
      </c>
      <c r="F33" s="5">
        <f t="shared" si="6"/>
        <v>31.020599999999998</v>
      </c>
      <c r="H33" s="531">
        <f>ROUND(+'Container Count by County'!$K$24,3)</f>
        <v>0.05</v>
      </c>
      <c r="I33" s="5">
        <f t="shared" si="7"/>
        <v>1.8915</v>
      </c>
      <c r="K33" s="10">
        <f>+K27</f>
        <v>0.13</v>
      </c>
      <c r="L33" s="5">
        <f t="shared" si="8"/>
        <v>4.9179000000000004</v>
      </c>
      <c r="N33" s="5">
        <f t="shared" si="9"/>
        <v>37.83</v>
      </c>
      <c r="O33" s="10">
        <f t="shared" si="10"/>
        <v>1</v>
      </c>
      <c r="P33" t="str">
        <f t="shared" si="11"/>
        <v xml:space="preserve"> </v>
      </c>
    </row>
    <row r="34" spans="1:17">
      <c r="A34" s="120">
        <v>4138</v>
      </c>
      <c r="B34" s="120" t="s">
        <v>253</v>
      </c>
      <c r="C34" s="121">
        <f>+'Results of Operations Regulated'!C34</f>
        <v>0</v>
      </c>
      <c r="D34" s="120"/>
      <c r="E34" s="71">
        <f>+$E$28</f>
        <v>0.82</v>
      </c>
      <c r="F34" s="121">
        <f t="shared" si="6"/>
        <v>0</v>
      </c>
      <c r="G34" s="120"/>
      <c r="H34" s="71">
        <f>ROUND(+'Container Count by County'!$K$24,3)</f>
        <v>0.05</v>
      </c>
      <c r="I34" s="121">
        <f t="shared" si="7"/>
        <v>0</v>
      </c>
      <c r="J34" s="120"/>
      <c r="K34" s="71">
        <f>+K28</f>
        <v>0.13</v>
      </c>
      <c r="L34" s="121">
        <f t="shared" si="8"/>
        <v>0</v>
      </c>
      <c r="M34" s="120"/>
      <c r="N34" s="121">
        <f t="shared" si="9"/>
        <v>0</v>
      </c>
      <c r="O34" s="71">
        <f t="shared" si="10"/>
        <v>1</v>
      </c>
      <c r="P34" s="120" t="str">
        <f t="shared" si="11"/>
        <v xml:space="preserve"> </v>
      </c>
    </row>
    <row r="35" spans="1:17">
      <c r="A35">
        <v>4160</v>
      </c>
      <c r="B35" t="s">
        <v>254</v>
      </c>
      <c r="C35" s="5">
        <f>+'Results of Operations Regulated'!C35</f>
        <v>18151.884985541339</v>
      </c>
      <c r="E35" s="531">
        <f>+'Hours &amp; Miles by County'!$D$68</f>
        <v>0.68919433283992393</v>
      </c>
      <c r="F35" s="5">
        <f t="shared" si="6"/>
        <v>12510.176262397195</v>
      </c>
      <c r="H35" s="531">
        <f>+'Hours &amp; Miles by County'!$E$68</f>
        <v>8.8151124268696687E-2</v>
      </c>
      <c r="I35" s="5">
        <f t="shared" si="7"/>
        <v>1600.1090690715441</v>
      </c>
      <c r="K35" s="531">
        <f>+'Hours &amp; Miles by County'!F68</f>
        <v>0.22265454289137943</v>
      </c>
      <c r="L35" s="5">
        <f t="shared" si="8"/>
        <v>4041.5996540726005</v>
      </c>
      <c r="N35" s="5">
        <f t="shared" si="9"/>
        <v>18151.884985541339</v>
      </c>
      <c r="O35" s="10">
        <f t="shared" si="10"/>
        <v>1</v>
      </c>
      <c r="P35" t="str">
        <f t="shared" si="11"/>
        <v xml:space="preserve"> </v>
      </c>
    </row>
    <row r="36" spans="1:17">
      <c r="A36" s="285">
        <v>4162</v>
      </c>
      <c r="B36" s="285" t="s">
        <v>256</v>
      </c>
      <c r="C36" s="463">
        <f>+'Results of Operations Regulated'!C36</f>
        <v>0</v>
      </c>
      <c r="D36" s="285"/>
      <c r="E36" s="538">
        <f>+$E$35</f>
        <v>0.68919433283992393</v>
      </c>
      <c r="F36" s="463">
        <f t="shared" si="6"/>
        <v>0</v>
      </c>
      <c r="G36" s="285"/>
      <c r="H36" s="538">
        <f>+'Hours &amp; Miles by County'!$E$68</f>
        <v>8.8151124268696687E-2</v>
      </c>
      <c r="I36" s="463">
        <f t="shared" si="7"/>
        <v>0</v>
      </c>
      <c r="J36" s="285"/>
      <c r="K36" s="538">
        <f>+K35</f>
        <v>0.22265454289137943</v>
      </c>
      <c r="L36" s="463">
        <f t="shared" si="8"/>
        <v>0</v>
      </c>
      <c r="M36" s="285"/>
      <c r="N36" s="463">
        <f t="shared" si="9"/>
        <v>0</v>
      </c>
      <c r="O36" s="517">
        <f t="shared" si="10"/>
        <v>1</v>
      </c>
      <c r="P36" s="285" t="str">
        <f t="shared" si="11"/>
        <v xml:space="preserve"> </v>
      </c>
      <c r="Q36" s="285"/>
    </row>
    <row r="37" spans="1:17">
      <c r="A37" s="518">
        <v>4164</v>
      </c>
      <c r="B37" s="518" t="s">
        <v>257</v>
      </c>
      <c r="C37" s="519">
        <f>+'Results of Operations Regulated'!C37</f>
        <v>0</v>
      </c>
      <c r="D37" s="518"/>
      <c r="E37" s="520">
        <f>+$E$35</f>
        <v>0.68919433283992393</v>
      </c>
      <c r="F37" s="519">
        <f>+C37*E37</f>
        <v>0</v>
      </c>
      <c r="G37" s="518"/>
      <c r="H37" s="520">
        <f>+'Hours &amp; Miles by County'!$E$68</f>
        <v>8.8151124268696687E-2</v>
      </c>
      <c r="I37" s="519">
        <f>+C37*H37</f>
        <v>0</v>
      </c>
      <c r="J37" s="518"/>
      <c r="K37" s="520">
        <f>+K36</f>
        <v>0.22265454289137943</v>
      </c>
      <c r="L37" s="519">
        <f>+C37*K37</f>
        <v>0</v>
      </c>
      <c r="M37" s="518"/>
      <c r="N37" s="519">
        <f>+F37+I37+L37</f>
        <v>0</v>
      </c>
      <c r="O37" s="520">
        <f>+E37+H37+K37</f>
        <v>1</v>
      </c>
      <c r="P37" s="285" t="str">
        <f>IF(O37&lt;&gt;1,"ERR"," ")</f>
        <v xml:space="preserve"> </v>
      </c>
      <c r="Q37" s="285"/>
    </row>
    <row r="38" spans="1:17">
      <c r="A38">
        <v>4180</v>
      </c>
      <c r="B38" t="s">
        <v>258</v>
      </c>
      <c r="C38" s="5">
        <f>+'Results of Operations Regulated'!C38</f>
        <v>12769.953277658082</v>
      </c>
      <c r="E38" s="10">
        <f>+$E$25</f>
        <v>0.77784734558373858</v>
      </c>
      <c r="F38" s="5">
        <f t="shared" si="6"/>
        <v>9933.0742602547016</v>
      </c>
      <c r="H38" s="10">
        <f>+'Hours &amp; Miles by County'!$E$25</f>
        <v>7.1729261513471892E-2</v>
      </c>
      <c r="I38" s="5">
        <f t="shared" si="7"/>
        <v>915.97931816795415</v>
      </c>
      <c r="K38" s="10">
        <f>+K25</f>
        <v>0.15042339290278953</v>
      </c>
      <c r="L38" s="5">
        <f t="shared" si="8"/>
        <v>1920.8996992354266</v>
      </c>
      <c r="N38" s="5">
        <f t="shared" si="9"/>
        <v>12769.953277658082</v>
      </c>
      <c r="O38" s="10">
        <f t="shared" si="10"/>
        <v>1</v>
      </c>
      <c r="P38" t="str">
        <f t="shared" si="11"/>
        <v xml:space="preserve"> </v>
      </c>
    </row>
    <row r="39" spans="1:17">
      <c r="A39" t="s">
        <v>259</v>
      </c>
      <c r="C39" s="5"/>
      <c r="E39" s="10"/>
      <c r="F39" s="5"/>
      <c r="H39" s="10"/>
      <c r="I39" s="5"/>
      <c r="K39" s="10"/>
      <c r="L39" s="5"/>
      <c r="N39" s="5"/>
      <c r="O39" s="10"/>
    </row>
    <row r="40" spans="1:17">
      <c r="A40">
        <v>4210</v>
      </c>
      <c r="B40" t="s">
        <v>260</v>
      </c>
      <c r="C40" s="5">
        <f>+'Results of Operations Regulated'!C40</f>
        <v>0</v>
      </c>
      <c r="E40" s="10">
        <f>+$E$25</f>
        <v>0.77784734558373858</v>
      </c>
      <c r="F40" s="5">
        <f t="shared" ref="F40:F49" si="12">+C40*E40</f>
        <v>0</v>
      </c>
      <c r="H40" s="10">
        <f>+'Hours &amp; Miles by County'!$E$25</f>
        <v>7.1729261513471892E-2</v>
      </c>
      <c r="I40" s="5">
        <f t="shared" ref="I40:I49" si="13">+C40*H40</f>
        <v>0</v>
      </c>
      <c r="K40" s="10">
        <f>+K25</f>
        <v>0.15042339290278953</v>
      </c>
      <c r="L40" s="5">
        <f t="shared" ref="L40:L49" si="14">+C40*K40</f>
        <v>0</v>
      </c>
      <c r="N40" s="5">
        <f t="shared" ref="N40:N49" si="15">+F40+I40+L40</f>
        <v>0</v>
      </c>
      <c r="O40" s="10">
        <f t="shared" ref="O40:O49" si="16">+E40+H40+K40</f>
        <v>1</v>
      </c>
      <c r="P40" t="str">
        <f t="shared" ref="P40:P49" si="17">IF(O40&lt;&gt;1,"ERR"," ")</f>
        <v xml:space="preserve"> </v>
      </c>
    </row>
    <row r="41" spans="1:17">
      <c r="A41" s="285">
        <v>4213</v>
      </c>
      <c r="B41" s="285" t="s">
        <v>261</v>
      </c>
      <c r="C41" s="463">
        <f>+'Results of Operations Regulated'!C41</f>
        <v>318929.60365172644</v>
      </c>
      <c r="D41" s="285"/>
      <c r="E41" s="517">
        <f>+$E$25</f>
        <v>0.77784734558373858</v>
      </c>
      <c r="F41" s="463">
        <f t="shared" si="12"/>
        <v>248078.54562856923</v>
      </c>
      <c r="G41" s="285"/>
      <c r="H41" s="517">
        <f>+'Hours &amp; Miles by County'!$E$25</f>
        <v>7.1729261513471892E-2</v>
      </c>
      <c r="I41" s="463">
        <f t="shared" si="13"/>
        <v>22876.584944722625</v>
      </c>
      <c r="J41" s="285"/>
      <c r="K41" s="517">
        <f>+K25</f>
        <v>0.15042339290278953</v>
      </c>
      <c r="L41" s="463">
        <f t="shared" si="14"/>
        <v>47974.473078434581</v>
      </c>
      <c r="M41" s="285"/>
      <c r="N41" s="463">
        <f t="shared" si="15"/>
        <v>318929.60365172644</v>
      </c>
      <c r="O41" s="517">
        <f t="shared" si="16"/>
        <v>1</v>
      </c>
      <c r="P41" s="285" t="str">
        <f t="shared" si="17"/>
        <v xml:space="preserve"> </v>
      </c>
      <c r="Q41" s="285"/>
    </row>
    <row r="42" spans="1:17">
      <c r="A42">
        <v>4215</v>
      </c>
      <c r="B42" t="s">
        <v>262</v>
      </c>
      <c r="C42" s="5">
        <f>+'Results of Operations Regulated'!C42</f>
        <v>54742.020000000004</v>
      </c>
      <c r="E42" s="531">
        <f>+$E$14</f>
        <v>0.45145590645894634</v>
      </c>
      <c r="F42" s="5">
        <f t="shared" si="12"/>
        <v>24713.608260493773</v>
      </c>
      <c r="H42" s="10">
        <f>+'Drop Box Allocation'!$I$11</f>
        <v>0.12216483861724702</v>
      </c>
      <c r="I42" s="5">
        <f t="shared" si="13"/>
        <v>6687.5500388821092</v>
      </c>
      <c r="K42" s="531">
        <f>+K14</f>
        <v>0.42637925492380657</v>
      </c>
      <c r="L42" s="5">
        <f t="shared" si="14"/>
        <v>23340.861700624118</v>
      </c>
      <c r="N42" s="5">
        <f t="shared" si="15"/>
        <v>54742.020000000004</v>
      </c>
      <c r="O42" s="10">
        <f t="shared" si="16"/>
        <v>0.99999999999999989</v>
      </c>
      <c r="P42" t="str">
        <f t="shared" si="17"/>
        <v xml:space="preserve"> </v>
      </c>
    </row>
    <row r="43" spans="1:17">
      <c r="A43">
        <v>4217</v>
      </c>
      <c r="B43" t="s">
        <v>264</v>
      </c>
      <c r="C43" s="5">
        <f>+'Results of Operations Regulated'!C43</f>
        <v>19114.629865717739</v>
      </c>
      <c r="E43" s="531">
        <f>+$E$25</f>
        <v>0.77784734558373858</v>
      </c>
      <c r="F43" s="5">
        <f t="shared" si="12"/>
        <v>14868.264102864197</v>
      </c>
      <c r="H43" s="10">
        <f>+'Hours &amp; Miles by County'!$E$25</f>
        <v>7.1729261513471892E-2</v>
      </c>
      <c r="I43" s="5">
        <f t="shared" si="13"/>
        <v>1371.078284371288</v>
      </c>
      <c r="K43" s="531">
        <f>+K40</f>
        <v>0.15042339290278953</v>
      </c>
      <c r="L43" s="5">
        <f t="shared" si="14"/>
        <v>2875.2874784822548</v>
      </c>
      <c r="N43" s="5">
        <f t="shared" si="15"/>
        <v>19114.629865717739</v>
      </c>
      <c r="O43" s="10">
        <f t="shared" si="16"/>
        <v>1</v>
      </c>
      <c r="P43" t="str">
        <f t="shared" si="17"/>
        <v xml:space="preserve"> </v>
      </c>
    </row>
    <row r="44" spans="1:17">
      <c r="A44" s="120">
        <v>4222</v>
      </c>
      <c r="B44" s="120" t="s">
        <v>265</v>
      </c>
      <c r="C44" s="121">
        <f>+'Results of Operations Regulated'!C44</f>
        <v>0</v>
      </c>
      <c r="D44" s="120"/>
      <c r="E44" s="71">
        <f>+$E$26</f>
        <v>0.77784734558373858</v>
      </c>
      <c r="F44" s="121">
        <f t="shared" si="12"/>
        <v>0</v>
      </c>
      <c r="G44" s="120"/>
      <c r="H44" s="71">
        <f>+'Hours &amp; Miles by County'!$E$25</f>
        <v>7.1729261513471892E-2</v>
      </c>
      <c r="I44" s="121">
        <f t="shared" si="13"/>
        <v>0</v>
      </c>
      <c r="J44" s="120"/>
      <c r="K44" s="71">
        <f>+K41</f>
        <v>0.15042339290278953</v>
      </c>
      <c r="L44" s="121">
        <f t="shared" si="14"/>
        <v>0</v>
      </c>
      <c r="M44" s="120"/>
      <c r="N44" s="121">
        <f t="shared" si="15"/>
        <v>0</v>
      </c>
      <c r="O44" s="71">
        <f t="shared" si="16"/>
        <v>1</v>
      </c>
      <c r="P44" s="120" t="str">
        <f t="shared" si="17"/>
        <v xml:space="preserve"> </v>
      </c>
    </row>
    <row r="45" spans="1:17">
      <c r="A45">
        <v>4240</v>
      </c>
      <c r="B45" t="s">
        <v>266</v>
      </c>
      <c r="C45" s="5">
        <f>+'Results of Operations Regulated'!C45</f>
        <v>87760.758213382462</v>
      </c>
      <c r="E45" s="10">
        <f>+$E$25</f>
        <v>0.77784734558373858</v>
      </c>
      <c r="F45" s="5">
        <f t="shared" si="12"/>
        <v>68264.472822695825</v>
      </c>
      <c r="H45" s="10">
        <f>+'Hours &amp; Miles by County'!$E$25</f>
        <v>7.1729261513471892E-2</v>
      </c>
      <c r="I45" s="5">
        <f t="shared" si="13"/>
        <v>6295.0143765082867</v>
      </c>
      <c r="K45" s="10">
        <f>+K25</f>
        <v>0.15042339290278953</v>
      </c>
      <c r="L45" s="5">
        <f t="shared" si="14"/>
        <v>13201.271014178343</v>
      </c>
      <c r="N45" s="5">
        <f t="shared" si="15"/>
        <v>87760.758213382462</v>
      </c>
      <c r="O45" s="10">
        <f t="shared" si="16"/>
        <v>1</v>
      </c>
      <c r="P45" t="str">
        <f t="shared" si="17"/>
        <v xml:space="preserve"> </v>
      </c>
    </row>
    <row r="46" spans="1:17">
      <c r="A46">
        <v>4242</v>
      </c>
      <c r="B46" t="s">
        <v>267</v>
      </c>
      <c r="C46" s="5">
        <f>+'Results of Operations Regulated'!C46</f>
        <v>25731.398991948474</v>
      </c>
      <c r="E46" s="10">
        <f>+$E$26</f>
        <v>0.77784734558373858</v>
      </c>
      <c r="F46" s="5">
        <f t="shared" si="12"/>
        <v>20015.100404043205</v>
      </c>
      <c r="H46" s="10">
        <f>+'Hours &amp; Miles by County'!$E$25</f>
        <v>7.1729261513471892E-2</v>
      </c>
      <c r="I46" s="5">
        <f t="shared" si="13"/>
        <v>1845.6942474009591</v>
      </c>
      <c r="K46" s="10">
        <f>+K25</f>
        <v>0.15042339290278953</v>
      </c>
      <c r="L46" s="5">
        <f t="shared" si="14"/>
        <v>3870.6043405043079</v>
      </c>
      <c r="N46" s="5">
        <f t="shared" si="15"/>
        <v>25731.398991948474</v>
      </c>
      <c r="O46" s="10">
        <f t="shared" si="16"/>
        <v>1</v>
      </c>
      <c r="P46" t="str">
        <f t="shared" si="17"/>
        <v xml:space="preserve"> </v>
      </c>
    </row>
    <row r="47" spans="1:17">
      <c r="A47" s="120">
        <v>4244</v>
      </c>
      <c r="B47" s="120" t="s">
        <v>268</v>
      </c>
      <c r="C47" s="121">
        <f>+'Results of Operations Regulated'!C47</f>
        <v>0</v>
      </c>
      <c r="D47" s="120"/>
      <c r="E47" s="71">
        <f>+$E$27</f>
        <v>0.82</v>
      </c>
      <c r="F47" s="121">
        <f t="shared" si="12"/>
        <v>0</v>
      </c>
      <c r="G47" s="120"/>
      <c r="H47" s="71">
        <f>ROUND(+'Container Count by County'!$K$24,3)</f>
        <v>0.05</v>
      </c>
      <c r="I47" s="121">
        <f t="shared" si="13"/>
        <v>0</v>
      </c>
      <c r="J47" s="120"/>
      <c r="K47" s="71">
        <f>+K27</f>
        <v>0.13</v>
      </c>
      <c r="L47" s="121">
        <f t="shared" si="14"/>
        <v>0</v>
      </c>
      <c r="M47" s="120"/>
      <c r="N47" s="121">
        <f t="shared" si="15"/>
        <v>0</v>
      </c>
      <c r="O47" s="71">
        <f t="shared" si="16"/>
        <v>1</v>
      </c>
      <c r="P47" s="120" t="str">
        <f t="shared" si="17"/>
        <v xml:space="preserve"> </v>
      </c>
    </row>
    <row r="48" spans="1:17">
      <c r="A48" s="285">
        <v>4280</v>
      </c>
      <c r="B48" s="285" t="s">
        <v>269</v>
      </c>
      <c r="C48" s="463">
        <f>+'Results of Operations Regulated'!C48</f>
        <v>4349.3604723524541</v>
      </c>
      <c r="D48" s="285"/>
      <c r="E48" s="517">
        <f>+$E$25</f>
        <v>0.77784734558373858</v>
      </c>
      <c r="F48" s="463">
        <f t="shared" si="12"/>
        <v>3383.138498406192</v>
      </c>
      <c r="G48" s="285"/>
      <c r="H48" s="517">
        <f>+'Hours &amp; Miles by County'!$E$25</f>
        <v>7.1729261513471892E-2</v>
      </c>
      <c r="I48" s="463">
        <f t="shared" si="13"/>
        <v>311.97641473772683</v>
      </c>
      <c r="J48" s="285"/>
      <c r="K48" s="517">
        <f>+K25</f>
        <v>0.15042339290278953</v>
      </c>
      <c r="L48" s="463">
        <f t="shared" si="14"/>
        <v>654.2455592085355</v>
      </c>
      <c r="M48" s="285"/>
      <c r="N48" s="463">
        <f t="shared" si="15"/>
        <v>4349.3604723524541</v>
      </c>
      <c r="O48" s="517">
        <f t="shared" si="16"/>
        <v>1</v>
      </c>
      <c r="P48" s="285" t="str">
        <f t="shared" si="17"/>
        <v xml:space="preserve"> </v>
      </c>
      <c r="Q48" s="285"/>
    </row>
    <row r="49" spans="1:17">
      <c r="A49" s="120">
        <v>4282</v>
      </c>
      <c r="B49" s="120" t="s">
        <v>270</v>
      </c>
      <c r="C49" s="121">
        <f>+'Results of Operations Regulated'!C49</f>
        <v>0</v>
      </c>
      <c r="D49" s="120"/>
      <c r="E49" s="71">
        <f>+$E$26</f>
        <v>0.77784734558373858</v>
      </c>
      <c r="F49" s="121">
        <f t="shared" si="12"/>
        <v>0</v>
      </c>
      <c r="G49" s="120"/>
      <c r="H49" s="71">
        <f>+'Hours &amp; Miles by County'!$E$25</f>
        <v>7.1729261513471892E-2</v>
      </c>
      <c r="I49" s="121">
        <f t="shared" si="13"/>
        <v>0</v>
      </c>
      <c r="J49" s="120"/>
      <c r="K49" s="71">
        <f>+K26</f>
        <v>0.15042339290278953</v>
      </c>
      <c r="L49" s="121">
        <f t="shared" si="14"/>
        <v>0</v>
      </c>
      <c r="M49" s="120"/>
      <c r="N49" s="121">
        <f t="shared" si="15"/>
        <v>0</v>
      </c>
      <c r="O49" s="71">
        <f t="shared" si="16"/>
        <v>1</v>
      </c>
      <c r="P49" s="120" t="str">
        <f t="shared" si="17"/>
        <v xml:space="preserve"> </v>
      </c>
    </row>
    <row r="50" spans="1:17">
      <c r="A50" t="s">
        <v>271</v>
      </c>
      <c r="C50" s="5"/>
      <c r="E50" s="10"/>
      <c r="F50" s="5"/>
      <c r="H50" s="10"/>
      <c r="I50" s="5"/>
      <c r="K50" s="10"/>
      <c r="L50" s="5"/>
      <c r="N50" s="5"/>
      <c r="O50" s="10"/>
    </row>
    <row r="51" spans="1:17">
      <c r="A51">
        <v>4360</v>
      </c>
      <c r="B51" t="s">
        <v>272</v>
      </c>
      <c r="C51" s="5">
        <f>+'Results of Operations Regulated'!C51</f>
        <v>438756.17167657125</v>
      </c>
      <c r="E51" s="531">
        <f>+'Monthly Data-Disposal Fees'!$L$52</f>
        <v>0.9865717375630858</v>
      </c>
      <c r="F51" s="5">
        <f>+C51*E51</f>
        <v>432864.43865748245</v>
      </c>
      <c r="H51" s="531">
        <f>+'Monthly Data-Disposal Fees'!$N$52</f>
        <v>5.4073540014418914E-4</v>
      </c>
      <c r="I51" s="5">
        <f>+C51*H51</f>
        <v>237.25099405726331</v>
      </c>
      <c r="K51" s="531">
        <f>+'Monthly Data-Disposal Fees'!$M$52</f>
        <v>1.2887527036770006E-2</v>
      </c>
      <c r="L51" s="5">
        <f>+C51*K51</f>
        <v>5654.4820250315142</v>
      </c>
      <c r="N51" s="5">
        <f>+F51+I51+L51</f>
        <v>438756.17167657125</v>
      </c>
      <c r="O51" s="10">
        <f>+E51+H51+K51</f>
        <v>1</v>
      </c>
      <c r="P51" t="str">
        <f>IF(O51&lt;&gt;1,"ERR"," ")</f>
        <v xml:space="preserve"> </v>
      </c>
    </row>
    <row r="52" spans="1:17">
      <c r="A52">
        <v>4361</v>
      </c>
      <c r="B52" t="s">
        <v>273</v>
      </c>
      <c r="C52" s="5">
        <f>+'Results of Operations Regulated'!C52</f>
        <v>333898.95999999996</v>
      </c>
      <c r="E52" s="531">
        <f>+'Drop Box Allocation'!$D$20</f>
        <v>1</v>
      </c>
      <c r="F52" s="5">
        <f>+C52*E52</f>
        <v>333898.95999999996</v>
      </c>
      <c r="H52" s="531">
        <f>+'Drop Box Allocation'!$D$21</f>
        <v>0</v>
      </c>
      <c r="I52" s="5">
        <f>+C52*H52</f>
        <v>0</v>
      </c>
      <c r="K52" s="531">
        <f>+'Drop Box Allocation'!D22</f>
        <v>0</v>
      </c>
      <c r="L52" s="5">
        <f>+C52*K52</f>
        <v>0</v>
      </c>
      <c r="N52" s="5">
        <f>+F52+I52+L52</f>
        <v>333898.95999999996</v>
      </c>
      <c r="O52" s="10">
        <f>+E52+H52+K52</f>
        <v>1</v>
      </c>
      <c r="P52" t="str">
        <f>IF(O52&lt;&gt;1,"ERR"," ")</f>
        <v xml:space="preserve"> </v>
      </c>
    </row>
    <row r="53" spans="1:17">
      <c r="A53">
        <v>4362</v>
      </c>
      <c r="B53" t="s">
        <v>274</v>
      </c>
      <c r="C53" s="5">
        <f>+'Results of Operations Regulated'!C53</f>
        <v>116474.65497745844</v>
      </c>
      <c r="E53" s="531">
        <f>+'Monthly Data-Disposal Fees'!$L$29</f>
        <v>0</v>
      </c>
      <c r="F53" s="5">
        <f>+C53*E53</f>
        <v>0</v>
      </c>
      <c r="H53" s="531">
        <f>+'Monthly Data-Disposal Fees'!$N$29</f>
        <v>0.27952502145495972</v>
      </c>
      <c r="I53" s="5">
        <f>+C53*H53</f>
        <v>32557.580431533101</v>
      </c>
      <c r="K53" s="531">
        <f>+'Monthly Data-Disposal Fees'!$M$29</f>
        <v>0.72047497854504028</v>
      </c>
      <c r="L53" s="5">
        <f>+C53*K53</f>
        <v>83917.074545925338</v>
      </c>
      <c r="N53" s="5">
        <f>+F53+I53+L53</f>
        <v>116474.65497745844</v>
      </c>
      <c r="O53" s="10">
        <f>+E53+H53+K53</f>
        <v>1</v>
      </c>
      <c r="P53" t="str">
        <f>IF(O53&lt;&gt;1,"ERR"," ")</f>
        <v xml:space="preserve"> </v>
      </c>
    </row>
    <row r="54" spans="1:17">
      <c r="A54">
        <v>4363</v>
      </c>
      <c r="B54" t="s">
        <v>275</v>
      </c>
      <c r="C54" s="5">
        <f>+'Results of Operations Regulated'!C54</f>
        <v>132638.97999999998</v>
      </c>
      <c r="E54" s="531">
        <f>+'Drop Box Allocation'!$D$27</f>
        <v>0</v>
      </c>
      <c r="F54" s="5">
        <f>+C54*E54</f>
        <v>0</v>
      </c>
      <c r="H54" s="531">
        <f>+'Drop Box Allocation'!$D$28</f>
        <v>0.17615014735535908</v>
      </c>
      <c r="I54" s="5">
        <f>+C54*H54</f>
        <v>23364.375872064524</v>
      </c>
      <c r="K54" s="531">
        <f>+'Drop Box Allocation'!D29</f>
        <v>0.82384985264464083</v>
      </c>
      <c r="L54" s="5">
        <f>+C54*K54</f>
        <v>109274.60412793545</v>
      </c>
      <c r="N54" s="5">
        <f>+F54+I54+L54</f>
        <v>132638.97999999998</v>
      </c>
      <c r="O54" s="10">
        <f>+E54+H54+K54</f>
        <v>0.99999999999999989</v>
      </c>
      <c r="P54" t="str">
        <f>IF(O54&lt;&gt;1,"ERR"," ")</f>
        <v xml:space="preserve"> </v>
      </c>
    </row>
    <row r="55" spans="1:17">
      <c r="A55" s="120">
        <v>4380</v>
      </c>
      <c r="B55" s="120" t="s">
        <v>276</v>
      </c>
      <c r="C55" s="121">
        <f>+'Results of Operations Regulated'!C55</f>
        <v>0</v>
      </c>
      <c r="D55" s="120"/>
      <c r="E55" s="71">
        <f>+'Drop Box Allocation'!$D$28</f>
        <v>0.17615014735535908</v>
      </c>
      <c r="F55" s="121">
        <f>+C55*E55</f>
        <v>0</v>
      </c>
      <c r="G55" s="120"/>
      <c r="H55" s="71">
        <f>+'Drop Box Allocation'!$D$29</f>
        <v>0.82384985264464083</v>
      </c>
      <c r="I55" s="121">
        <f>+C55*H55</f>
        <v>0</v>
      </c>
      <c r="J55" s="120"/>
      <c r="K55" s="71">
        <f>+'Drop Box Allocation'!D30</f>
        <v>0</v>
      </c>
      <c r="L55" s="121">
        <f>+C55*K55</f>
        <v>0</v>
      </c>
      <c r="M55" s="120"/>
      <c r="N55" s="121">
        <f>+F55+I55+L55</f>
        <v>0</v>
      </c>
      <c r="O55" s="71">
        <f>+E55+H55+K55</f>
        <v>0.99999999999999989</v>
      </c>
      <c r="P55" s="120" t="str">
        <f>IF(O55&lt;&gt;1,"ERR"," ")</f>
        <v xml:space="preserve"> </v>
      </c>
      <c r="Q55" s="120"/>
    </row>
    <row r="56" spans="1:17">
      <c r="A56" t="s">
        <v>277</v>
      </c>
      <c r="C56" s="5"/>
      <c r="E56" s="10"/>
      <c r="F56" s="5"/>
      <c r="H56" s="10"/>
      <c r="I56" s="5"/>
      <c r="K56" s="10"/>
      <c r="L56" s="5"/>
      <c r="N56" s="5"/>
      <c r="O56" s="10"/>
    </row>
    <row r="57" spans="1:17">
      <c r="A57">
        <v>4430</v>
      </c>
      <c r="B57" t="s">
        <v>278</v>
      </c>
      <c r="C57" s="5">
        <f>+'Results of Operations Regulated'!C57</f>
        <v>0</v>
      </c>
      <c r="E57" s="10">
        <v>1</v>
      </c>
      <c r="F57" s="5">
        <f>+C57*E57</f>
        <v>0</v>
      </c>
      <c r="H57" s="10">
        <v>0</v>
      </c>
      <c r="I57" s="5">
        <f>+C57*H57</f>
        <v>0</v>
      </c>
      <c r="K57" s="10">
        <v>0</v>
      </c>
      <c r="L57" s="5">
        <f>+C57*K57</f>
        <v>0</v>
      </c>
      <c r="N57" s="5">
        <f>+F57+I57+L57</f>
        <v>0</v>
      </c>
      <c r="O57" s="10">
        <f>+E57+H57+K57</f>
        <v>1</v>
      </c>
      <c r="P57" t="str">
        <f>IF(O57&lt;&gt;1,"ERR"," ")</f>
        <v xml:space="preserve"> </v>
      </c>
    </row>
    <row r="58" spans="1:17">
      <c r="A58">
        <v>4450</v>
      </c>
      <c r="B58" t="s">
        <v>279</v>
      </c>
      <c r="C58" s="5">
        <f>+'Results of Operations Regulated'!C58</f>
        <v>1995</v>
      </c>
      <c r="E58" s="14">
        <v>1</v>
      </c>
      <c r="F58" s="5">
        <f>+C58*E58</f>
        <v>1995</v>
      </c>
      <c r="H58" s="14">
        <v>0</v>
      </c>
      <c r="I58" s="5">
        <f>+C58*H58</f>
        <v>0</v>
      </c>
      <c r="K58" s="14">
        <v>0</v>
      </c>
      <c r="L58" s="5">
        <f>+C58*K58</f>
        <v>0</v>
      </c>
      <c r="N58" s="5">
        <f>+F58+I58+L58</f>
        <v>1995</v>
      </c>
      <c r="O58" s="10">
        <f>+E58+H58+K58</f>
        <v>1</v>
      </c>
      <c r="P58" t="str">
        <f>IF(O58&lt;&gt;1,"ERR"," ")</f>
        <v xml:space="preserve"> </v>
      </c>
    </row>
    <row r="59" spans="1:17">
      <c r="A59" t="s">
        <v>280</v>
      </c>
      <c r="C59" s="5"/>
      <c r="E59" s="10"/>
      <c r="F59" s="5"/>
      <c r="H59" s="10"/>
      <c r="I59" s="5"/>
      <c r="K59" s="10"/>
      <c r="L59" s="5"/>
      <c r="N59" s="5"/>
      <c r="O59" s="10"/>
    </row>
    <row r="60" spans="1:17">
      <c r="A60" s="285">
        <v>4530</v>
      </c>
      <c r="B60" s="285" t="s">
        <v>281</v>
      </c>
      <c r="C60" s="463">
        <f>+'Results of Operations Regulated'!C60</f>
        <v>78582.469133823906</v>
      </c>
      <c r="D60" s="285"/>
      <c r="E60" s="517">
        <f>+$E$25</f>
        <v>0.77784734558373858</v>
      </c>
      <c r="F60" s="463">
        <f>+C60*E60</f>
        <v>61125.165025160997</v>
      </c>
      <c r="G60" s="285"/>
      <c r="H60" s="517">
        <f>+'Hours &amp; Miles by County'!$E$25</f>
        <v>7.1729261513471892E-2</v>
      </c>
      <c r="I60" s="463">
        <f>+C60*H60</f>
        <v>5636.6624788743884</v>
      </c>
      <c r="J60" s="285"/>
      <c r="K60" s="517">
        <f>+K25</f>
        <v>0.15042339290278953</v>
      </c>
      <c r="L60" s="463">
        <f>+C60*K60</f>
        <v>11820.641629788524</v>
      </c>
      <c r="M60" s="285"/>
      <c r="N60" s="463">
        <f>+F60+I60+L60</f>
        <v>78582.469133823921</v>
      </c>
      <c r="O60" s="517">
        <f>+E60+H60+K60</f>
        <v>1</v>
      </c>
      <c r="P60" s="285" t="str">
        <f>IF(O60&lt;&gt;1,"ERR"," ")</f>
        <v xml:space="preserve"> </v>
      </c>
      <c r="Q60" s="285"/>
    </row>
    <row r="61" spans="1:17">
      <c r="A61" s="285">
        <v>4540</v>
      </c>
      <c r="B61" s="285" t="s">
        <v>282</v>
      </c>
      <c r="C61" s="463">
        <f>+'Results of Operations Regulated'!C61</f>
        <v>20747.468827861889</v>
      </c>
      <c r="D61" s="285"/>
      <c r="E61" s="517">
        <f>+$E$25</f>
        <v>0.77784734558373858</v>
      </c>
      <c r="F61" s="463">
        <f>+C61*E61</f>
        <v>16138.36355533373</v>
      </c>
      <c r="G61" s="285"/>
      <c r="H61" s="517">
        <f>+'Hours &amp; Miles by County'!$E$25</f>
        <v>7.1729261513471892E-2</v>
      </c>
      <c r="I61" s="463">
        <f>+C61*H61</f>
        <v>1488.2006172963115</v>
      </c>
      <c r="J61" s="285"/>
      <c r="K61" s="517">
        <f>+K25</f>
        <v>0.15042339290278953</v>
      </c>
      <c r="L61" s="463">
        <f>+C61*K61</f>
        <v>3120.9046552318468</v>
      </c>
      <c r="M61" s="285"/>
      <c r="N61" s="463">
        <f>+F61+I61+L61</f>
        <v>20747.468827861889</v>
      </c>
      <c r="O61" s="517">
        <f>+E61+H61+K61</f>
        <v>1</v>
      </c>
      <c r="P61" s="285" t="str">
        <f>IF(O61&lt;&gt;1,"ERR"," ")</f>
        <v xml:space="preserve"> </v>
      </c>
      <c r="Q61" s="285"/>
    </row>
    <row r="62" spans="1:17">
      <c r="A62">
        <v>4580</v>
      </c>
      <c r="B62" t="s">
        <v>283</v>
      </c>
      <c r="C62" s="5">
        <f>+'Results of Operations Regulated'!C62</f>
        <v>0</v>
      </c>
      <c r="E62" s="10">
        <f>+$E$25</f>
        <v>0.77784734558373858</v>
      </c>
      <c r="F62" s="5">
        <f>+C62*E62</f>
        <v>0</v>
      </c>
      <c r="H62" s="10">
        <f>+'Hours &amp; Miles by County'!$E$25</f>
        <v>7.1729261513471892E-2</v>
      </c>
      <c r="I62" s="5">
        <f>+C62*H62</f>
        <v>0</v>
      </c>
      <c r="K62" s="10">
        <f>+K25</f>
        <v>0.15042339290278953</v>
      </c>
      <c r="L62" s="5">
        <f>+C62*K62</f>
        <v>0</v>
      </c>
      <c r="N62" s="5">
        <f>+F62+I62+L62</f>
        <v>0</v>
      </c>
      <c r="O62" s="10">
        <f>+E62+H62+K62</f>
        <v>1</v>
      </c>
      <c r="P62" t="str">
        <f>IF(O62&lt;&gt;1,"ERR"," ")</f>
        <v xml:space="preserve"> </v>
      </c>
    </row>
    <row r="63" spans="1:17">
      <c r="A63" t="s">
        <v>284</v>
      </c>
      <c r="C63" s="5"/>
      <c r="E63" s="10"/>
      <c r="F63" s="5"/>
      <c r="H63" s="10"/>
      <c r="I63" s="5"/>
      <c r="K63" s="10"/>
      <c r="L63" s="5"/>
      <c r="N63" s="5"/>
      <c r="O63" s="10"/>
    </row>
    <row r="64" spans="1:17">
      <c r="A64">
        <v>4611</v>
      </c>
      <c r="B64" t="s">
        <v>285</v>
      </c>
      <c r="C64" s="5">
        <f>+'Results of Operations Regulated'!C64</f>
        <v>63674.283922664821</v>
      </c>
      <c r="E64" s="531">
        <f>+'Overhead Allocation'!$E$20</f>
        <v>0.75639681556584915</v>
      </c>
      <c r="F64" s="5">
        <f t="shared" ref="F64:F83" si="18">+C64*E64</f>
        <v>48163.025592539416</v>
      </c>
      <c r="H64" s="531">
        <f>+'Overhead Allocation'!$F$20</f>
        <v>7.69546006661945E-2</v>
      </c>
      <c r="I64" s="5">
        <f t="shared" ref="I64:I83" si="19">+C64*H64</f>
        <v>4900.0290919745603</v>
      </c>
      <c r="K64" s="531">
        <f>+'Overhead Allocation'!G20</f>
        <v>0.1666485837679563</v>
      </c>
      <c r="L64" s="5">
        <f t="shared" ref="L64:L83" si="20">+C64*K64</f>
        <v>10611.229238150841</v>
      </c>
      <c r="N64" s="5">
        <f t="shared" ref="N64:N83" si="21">+F64+I64+L64</f>
        <v>63674.283922664821</v>
      </c>
      <c r="O64" s="10">
        <f t="shared" ref="O64:O83" si="22">+E64+H64+K64</f>
        <v>1</v>
      </c>
      <c r="P64" t="str">
        <f t="shared" ref="P64:P83" si="23">IF(O64&lt;&gt;1,"ERR"," ")</f>
        <v xml:space="preserve"> </v>
      </c>
    </row>
    <row r="65" spans="1:17">
      <c r="A65">
        <v>4612</v>
      </c>
      <c r="B65" t="s">
        <v>286</v>
      </c>
      <c r="C65" s="5">
        <f>+'Results of Operations Regulated'!C65</f>
        <v>43234.356362584826</v>
      </c>
      <c r="E65" s="531">
        <f>+'Overhead Allocation'!$E$20</f>
        <v>0.75639681556584915</v>
      </c>
      <c r="F65" s="5">
        <f t="shared" si="18"/>
        <v>32702.329475698272</v>
      </c>
      <c r="H65" s="531">
        <f>+'Overhead Allocation'!$F$20</f>
        <v>7.69546006661945E-2</v>
      </c>
      <c r="I65" s="5">
        <f t="shared" si="19"/>
        <v>3327.0826289426604</v>
      </c>
      <c r="K65" s="531">
        <f>+K64</f>
        <v>0.1666485837679563</v>
      </c>
      <c r="L65" s="5">
        <f t="shared" si="20"/>
        <v>7204.9442579438919</v>
      </c>
      <c r="N65" s="5">
        <f t="shared" si="21"/>
        <v>43234.356362584826</v>
      </c>
      <c r="O65" s="10">
        <f t="shared" si="22"/>
        <v>1</v>
      </c>
      <c r="P65" t="str">
        <f t="shared" si="23"/>
        <v xml:space="preserve"> </v>
      </c>
    </row>
    <row r="66" spans="1:17">
      <c r="A66">
        <v>4613</v>
      </c>
      <c r="B66" t="s">
        <v>287</v>
      </c>
      <c r="C66" s="5">
        <f>+'Results of Operations Regulated'!C66</f>
        <v>103245.44857743409</v>
      </c>
      <c r="E66" s="531">
        <f>+'Overhead Allocation'!$E$20</f>
        <v>0.75639681556584915</v>
      </c>
      <c r="F66" s="5">
        <f t="shared" si="18"/>
        <v>78094.528525638772</v>
      </c>
      <c r="H66" s="531">
        <f>+'Overhead Allocation'!$F$20</f>
        <v>7.69546006661945E-2</v>
      </c>
      <c r="I66" s="5">
        <f t="shared" si="19"/>
        <v>7945.2122658785593</v>
      </c>
      <c r="K66" s="10">
        <f t="shared" ref="K66:K77" si="24">+$K$64</f>
        <v>0.1666485837679563</v>
      </c>
      <c r="L66" s="5">
        <f t="shared" si="20"/>
        <v>17205.707785916748</v>
      </c>
      <c r="N66" s="5">
        <f t="shared" si="21"/>
        <v>103245.44857743409</v>
      </c>
      <c r="O66" s="10">
        <f t="shared" si="22"/>
        <v>1</v>
      </c>
      <c r="P66" t="str">
        <f t="shared" si="23"/>
        <v xml:space="preserve"> </v>
      </c>
    </row>
    <row r="67" spans="1:17">
      <c r="A67" s="285">
        <v>4620</v>
      </c>
      <c r="B67" s="285" t="s">
        <v>288</v>
      </c>
      <c r="C67" s="463">
        <f>+'Results of Operations Regulated'!C67</f>
        <v>38715.932545803094</v>
      </c>
      <c r="D67" s="285"/>
      <c r="E67" s="538">
        <f>+'Overhead Allocation'!$E$20</f>
        <v>0.75639681556584915</v>
      </c>
      <c r="F67" s="463">
        <f t="shared" si="18"/>
        <v>29284.60808930768</v>
      </c>
      <c r="G67" s="285"/>
      <c r="H67" s="538">
        <f>+'Overhead Allocation'!$F$20</f>
        <v>7.69546006661945E-2</v>
      </c>
      <c r="I67" s="463">
        <f t="shared" si="19"/>
        <v>2979.3691284816</v>
      </c>
      <c r="J67" s="285"/>
      <c r="K67" s="517">
        <f t="shared" si="24"/>
        <v>0.1666485837679563</v>
      </c>
      <c r="L67" s="463">
        <f t="shared" si="20"/>
        <v>6451.9553280138125</v>
      </c>
      <c r="M67" s="285"/>
      <c r="N67" s="463">
        <f t="shared" si="21"/>
        <v>38715.932545803094</v>
      </c>
      <c r="O67" s="517">
        <f t="shared" si="22"/>
        <v>1</v>
      </c>
      <c r="P67" s="285" t="str">
        <f t="shared" si="23"/>
        <v xml:space="preserve"> </v>
      </c>
      <c r="Q67" s="285"/>
    </row>
    <row r="68" spans="1:17">
      <c r="A68">
        <v>4622</v>
      </c>
      <c r="B68" t="s">
        <v>289</v>
      </c>
      <c r="C68" s="5">
        <f>+'Results of Operations Regulated'!C68</f>
        <v>0</v>
      </c>
      <c r="E68" s="531">
        <f>+'Overhead Allocation'!$E$20</f>
        <v>0.75639681556584915</v>
      </c>
      <c r="F68" s="5">
        <f t="shared" si="18"/>
        <v>0</v>
      </c>
      <c r="H68" s="531">
        <f>+'Overhead Allocation'!$F$20</f>
        <v>7.69546006661945E-2</v>
      </c>
      <c r="I68" s="5">
        <f t="shared" si="19"/>
        <v>0</v>
      </c>
      <c r="K68" s="10">
        <f t="shared" si="24"/>
        <v>0.1666485837679563</v>
      </c>
      <c r="L68" s="5">
        <f t="shared" si="20"/>
        <v>0</v>
      </c>
      <c r="N68" s="5">
        <f t="shared" si="21"/>
        <v>0</v>
      </c>
      <c r="O68" s="10">
        <f t="shared" si="22"/>
        <v>1</v>
      </c>
      <c r="P68" t="str">
        <f t="shared" si="23"/>
        <v xml:space="preserve"> </v>
      </c>
    </row>
    <row r="69" spans="1:17">
      <c r="A69">
        <v>4624</v>
      </c>
      <c r="B69" t="s">
        <v>290</v>
      </c>
      <c r="C69" s="5">
        <f>+'Results of Operations Regulated'!C69</f>
        <v>227.03830574675601</v>
      </c>
      <c r="E69" s="531">
        <f>+'Overhead Allocation'!$E$20</f>
        <v>0.75639681556584915</v>
      </c>
      <c r="F69" s="5">
        <f t="shared" si="18"/>
        <v>171.73105147831188</v>
      </c>
      <c r="H69" s="531">
        <f>+'Overhead Allocation'!$F$20</f>
        <v>7.69546006661945E-2</v>
      </c>
      <c r="I69" s="5">
        <f t="shared" si="19"/>
        <v>17.471642154670981</v>
      </c>
      <c r="K69" s="10">
        <f t="shared" si="24"/>
        <v>0.1666485837679563</v>
      </c>
      <c r="L69" s="5">
        <f t="shared" si="20"/>
        <v>37.835612113773145</v>
      </c>
      <c r="N69" s="5">
        <f t="shared" si="21"/>
        <v>227.03830574675601</v>
      </c>
      <c r="O69" s="10">
        <f t="shared" si="22"/>
        <v>1</v>
      </c>
      <c r="P69" t="str">
        <f t="shared" si="23"/>
        <v xml:space="preserve"> </v>
      </c>
    </row>
    <row r="70" spans="1:17">
      <c r="A70" s="285">
        <v>4625</v>
      </c>
      <c r="B70" s="285" t="s">
        <v>291</v>
      </c>
      <c r="C70" s="463">
        <f>+'Results of Operations Regulated'!C70</f>
        <v>2310.1012686703034</v>
      </c>
      <c r="D70" s="285"/>
      <c r="E70" s="538">
        <f>+'Overhead Allocation'!$E$20</f>
        <v>0.75639681556584915</v>
      </c>
      <c r="F70" s="463">
        <f t="shared" si="18"/>
        <v>1747.3532432568456</v>
      </c>
      <c r="G70" s="285"/>
      <c r="H70" s="538">
        <f>+'Overhead Allocation'!$F$20</f>
        <v>7.69546006661945E-2</v>
      </c>
      <c r="I70" s="463">
        <f t="shared" si="19"/>
        <v>177.77292062899249</v>
      </c>
      <c r="J70" s="285"/>
      <c r="K70" s="517">
        <f t="shared" si="24"/>
        <v>0.1666485837679563</v>
      </c>
      <c r="L70" s="463">
        <f t="shared" si="20"/>
        <v>384.9751047844652</v>
      </c>
      <c r="M70" s="285"/>
      <c r="N70" s="463">
        <f t="shared" si="21"/>
        <v>2310.1012686703034</v>
      </c>
      <c r="O70" s="517">
        <f t="shared" si="22"/>
        <v>1</v>
      </c>
      <c r="P70" s="285" t="str">
        <f t="shared" si="23"/>
        <v xml:space="preserve"> </v>
      </c>
      <c r="Q70" s="285"/>
    </row>
    <row r="71" spans="1:17">
      <c r="A71" s="522">
        <v>4627</v>
      </c>
      <c r="B71" s="522" t="s">
        <v>292</v>
      </c>
      <c r="C71" s="523">
        <f>+'Results of Operations Regulated'!C71</f>
        <v>872.91680284752852</v>
      </c>
      <c r="D71" s="522"/>
      <c r="E71" s="539">
        <f>+'Overhead Allocation'!$E$20</f>
        <v>0.75639681556584915</v>
      </c>
      <c r="F71" s="523">
        <f t="shared" si="18"/>
        <v>660.27148992779269</v>
      </c>
      <c r="G71" s="522"/>
      <c r="H71" s="539">
        <f>+'Overhead Allocation'!$F$20</f>
        <v>7.69546006661945E-2</v>
      </c>
      <c r="I71" s="523">
        <f t="shared" si="19"/>
        <v>67.174963977942795</v>
      </c>
      <c r="J71" s="522"/>
      <c r="K71" s="524">
        <f t="shared" si="24"/>
        <v>0.1666485837679563</v>
      </c>
      <c r="L71" s="523">
        <f t="shared" si="20"/>
        <v>145.47034894179296</v>
      </c>
      <c r="M71" s="522"/>
      <c r="N71" s="523">
        <f t="shared" si="21"/>
        <v>872.9168028475284</v>
      </c>
      <c r="O71" s="524">
        <f t="shared" si="22"/>
        <v>1</v>
      </c>
      <c r="P71" s="522" t="str">
        <f t="shared" si="23"/>
        <v xml:space="preserve"> </v>
      </c>
      <c r="Q71" s="522"/>
    </row>
    <row r="72" spans="1:17">
      <c r="A72" s="522">
        <v>4628</v>
      </c>
      <c r="B72" s="522" t="s">
        <v>292</v>
      </c>
      <c r="C72" s="523">
        <f>+'Results of Operations Regulated'!C72</f>
        <v>24930.481440964511</v>
      </c>
      <c r="D72" s="522"/>
      <c r="E72" s="539">
        <f>+'Overhead Allocation'!$E$20</f>
        <v>0.75639681556584915</v>
      </c>
      <c r="F72" s="523">
        <f>+C72*E72</f>
        <v>18857.336772469058</v>
      </c>
      <c r="G72" s="522"/>
      <c r="H72" s="539">
        <f>+'Overhead Allocation'!$F$20</f>
        <v>7.69546006661945E-2</v>
      </c>
      <c r="I72" s="523">
        <f>+C72*H72</f>
        <v>1918.5152437053973</v>
      </c>
      <c r="J72" s="522"/>
      <c r="K72" s="524">
        <f t="shared" si="24"/>
        <v>0.1666485837679563</v>
      </c>
      <c r="L72" s="523">
        <f>+C72*K72</f>
        <v>4154.6294247900541</v>
      </c>
      <c r="M72" s="522"/>
      <c r="N72" s="523">
        <f>+F72+I72+L72</f>
        <v>24930.481440964511</v>
      </c>
      <c r="O72" s="524">
        <f>+E72+H72+K72</f>
        <v>1</v>
      </c>
      <c r="P72" s="522" t="str">
        <f>IF(O72&lt;&gt;1,"ERR"," ")</f>
        <v xml:space="preserve"> </v>
      </c>
      <c r="Q72" s="522"/>
    </row>
    <row r="73" spans="1:17">
      <c r="A73">
        <v>4630</v>
      </c>
      <c r="B73" t="s">
        <v>294</v>
      </c>
      <c r="C73" s="5">
        <f>+'Results of Operations Regulated'!C73</f>
        <v>1454.0713539650994</v>
      </c>
      <c r="E73" s="531">
        <f>+'Overhead Allocation'!$E$20</f>
        <v>0.75639681556584915</v>
      </c>
      <c r="F73" s="5">
        <f t="shared" si="18"/>
        <v>1099.8549417447239</v>
      </c>
      <c r="H73" s="531">
        <f>+'Overhead Allocation'!$F$20</f>
        <v>7.69546006661945E-2</v>
      </c>
      <c r="I73" s="5">
        <f t="shared" si="19"/>
        <v>111.89748038453698</v>
      </c>
      <c r="K73" s="10">
        <f t="shared" si="24"/>
        <v>0.1666485837679563</v>
      </c>
      <c r="L73" s="5">
        <f t="shared" si="20"/>
        <v>242.3189318358385</v>
      </c>
      <c r="N73" s="5">
        <f t="shared" si="21"/>
        <v>1454.0713539650992</v>
      </c>
      <c r="O73" s="10">
        <f t="shared" si="22"/>
        <v>1</v>
      </c>
      <c r="P73" t="str">
        <f t="shared" si="23"/>
        <v xml:space="preserve"> </v>
      </c>
    </row>
    <row r="74" spans="1:17">
      <c r="A74">
        <v>4640</v>
      </c>
      <c r="B74" t="s">
        <v>295</v>
      </c>
      <c r="C74" s="5">
        <f>+'Results of Operations Regulated'!C74</f>
        <v>12496.66484168989</v>
      </c>
      <c r="E74" s="531">
        <f>+'Overhead Allocation'!$E$20</f>
        <v>0.75639681556584915</v>
      </c>
      <c r="F74" s="5">
        <f t="shared" si="18"/>
        <v>9452.4374914479395</v>
      </c>
      <c r="H74" s="531">
        <f>+'Overhead Allocation'!$F$20</f>
        <v>7.69546006661945E-2</v>
      </c>
      <c r="I74" s="5">
        <f t="shared" si="19"/>
        <v>961.67585255151823</v>
      </c>
      <c r="K74" s="10">
        <f t="shared" si="24"/>
        <v>0.1666485837679563</v>
      </c>
      <c r="L74" s="5">
        <f t="shared" si="20"/>
        <v>2082.5514976904319</v>
      </c>
      <c r="N74" s="5">
        <f t="shared" si="21"/>
        <v>12496.66484168989</v>
      </c>
      <c r="O74" s="10">
        <f t="shared" si="22"/>
        <v>1</v>
      </c>
      <c r="P74" t="str">
        <f t="shared" si="23"/>
        <v xml:space="preserve"> </v>
      </c>
    </row>
    <row r="75" spans="1:17">
      <c r="A75">
        <v>4642</v>
      </c>
      <c r="B75" t="s">
        <v>296</v>
      </c>
      <c r="C75" s="5">
        <f>+'Results of Operations Regulated'!C75</f>
        <v>0</v>
      </c>
      <c r="E75" s="531">
        <f>+'Overhead Allocation'!$E$20</f>
        <v>0.75639681556584915</v>
      </c>
      <c r="F75" s="5">
        <f>+C75*E75</f>
        <v>0</v>
      </c>
      <c r="H75" s="531">
        <f>+'Overhead Allocation'!$F$20</f>
        <v>7.69546006661945E-2</v>
      </c>
      <c r="I75" s="5">
        <f>+C75*H75</f>
        <v>0</v>
      </c>
      <c r="K75" s="10">
        <f t="shared" si="24"/>
        <v>0.1666485837679563</v>
      </c>
      <c r="L75" s="5">
        <f>+C75*K75</f>
        <v>0</v>
      </c>
      <c r="N75" s="5">
        <f>+F75+I75+L75</f>
        <v>0</v>
      </c>
      <c r="O75" s="10">
        <f>+E75+H75+K75</f>
        <v>1</v>
      </c>
      <c r="P75" t="str">
        <f>IF(O75&lt;&gt;1,"ERR"," ")</f>
        <v xml:space="preserve"> </v>
      </c>
    </row>
    <row r="76" spans="1:17">
      <c r="A76">
        <v>4650</v>
      </c>
      <c r="B76" t="s">
        <v>297</v>
      </c>
      <c r="C76" s="5">
        <f>+'Results of Operations Regulated'!C76</f>
        <v>74147.596085858444</v>
      </c>
      <c r="E76" s="531">
        <f>+'Overhead Allocation'!$E$20</f>
        <v>0.75639681556584915</v>
      </c>
      <c r="F76" s="5">
        <f t="shared" si="18"/>
        <v>56085.005561206148</v>
      </c>
      <c r="H76" s="531">
        <f>+'Overhead Allocation'!$F$20</f>
        <v>7.69546006661945E-2</v>
      </c>
      <c r="I76" s="5">
        <f t="shared" si="19"/>
        <v>5705.9986471455231</v>
      </c>
      <c r="K76" s="10">
        <f t="shared" si="24"/>
        <v>0.1666485837679563</v>
      </c>
      <c r="L76" s="5">
        <f t="shared" si="20"/>
        <v>12356.591877506769</v>
      </c>
      <c r="N76" s="5">
        <f t="shared" si="21"/>
        <v>74147.596085858444</v>
      </c>
      <c r="O76" s="10">
        <f t="shared" si="22"/>
        <v>1</v>
      </c>
      <c r="P76" t="str">
        <f t="shared" si="23"/>
        <v xml:space="preserve"> </v>
      </c>
    </row>
    <row r="77" spans="1:17">
      <c r="A77">
        <v>4652</v>
      </c>
      <c r="B77" t="s">
        <v>298</v>
      </c>
      <c r="C77" s="5">
        <f>+'Results of Operations Regulated'!C77</f>
        <v>10146.641999569641</v>
      </c>
      <c r="E77" s="531">
        <f>+'Overhead Allocation'!$E$20</f>
        <v>0.75639681556584915</v>
      </c>
      <c r="F77" s="5">
        <f t="shared" si="18"/>
        <v>7674.8876971611771</v>
      </c>
      <c r="H77" s="531">
        <f>+'Overhead Allocation'!$F$20</f>
        <v>7.69546006661945E-2</v>
      </c>
      <c r="I77" s="5">
        <f t="shared" si="19"/>
        <v>780.83078317971899</v>
      </c>
      <c r="K77" s="10">
        <f t="shared" si="24"/>
        <v>0.1666485837679563</v>
      </c>
      <c r="L77" s="5">
        <f t="shared" si="20"/>
        <v>1690.9235192287449</v>
      </c>
      <c r="N77" s="5">
        <f t="shared" si="21"/>
        <v>10146.641999569641</v>
      </c>
      <c r="O77" s="10">
        <f t="shared" si="22"/>
        <v>1</v>
      </c>
      <c r="P77" t="str">
        <f t="shared" si="23"/>
        <v xml:space="preserve"> </v>
      </c>
    </row>
    <row r="78" spans="1:17">
      <c r="A78">
        <v>4660</v>
      </c>
      <c r="B78" t="s">
        <v>299</v>
      </c>
      <c r="C78" s="5">
        <f>+'Results of Operations Regulated'!C78</f>
        <v>0</v>
      </c>
      <c r="E78" s="531">
        <f>$E$21</f>
        <v>0.74471069300769266</v>
      </c>
      <c r="F78" s="514">
        <f t="shared" si="18"/>
        <v>0</v>
      </c>
      <c r="G78" s="459"/>
      <c r="H78" s="531">
        <f>$H$21</f>
        <v>6.1964122500877704E-2</v>
      </c>
      <c r="I78" s="514">
        <f t="shared" si="19"/>
        <v>0</v>
      </c>
      <c r="J78" s="459"/>
      <c r="K78" s="531">
        <f>$K$21</f>
        <v>0.19332518449142966</v>
      </c>
      <c r="L78" s="514">
        <f t="shared" si="20"/>
        <v>0</v>
      </c>
      <c r="N78" s="5">
        <f t="shared" si="21"/>
        <v>0</v>
      </c>
      <c r="O78" s="10">
        <f t="shared" si="22"/>
        <v>1</v>
      </c>
      <c r="P78" t="str">
        <f t="shared" si="23"/>
        <v xml:space="preserve"> </v>
      </c>
    </row>
    <row r="79" spans="1:17">
      <c r="A79">
        <v>4670</v>
      </c>
      <c r="B79" t="s">
        <v>300</v>
      </c>
      <c r="C79" s="5">
        <f>+'Results of Operations Regulated'!C79</f>
        <v>0</v>
      </c>
      <c r="E79" s="531">
        <f>$E$21</f>
        <v>0.74471069300769266</v>
      </c>
      <c r="F79" s="514">
        <f t="shared" si="18"/>
        <v>0</v>
      </c>
      <c r="G79" s="459"/>
      <c r="H79" s="531">
        <f>$H$21</f>
        <v>6.1964122500877704E-2</v>
      </c>
      <c r="I79" s="514">
        <f t="shared" si="19"/>
        <v>0</v>
      </c>
      <c r="J79" s="459"/>
      <c r="K79" s="531">
        <f>$K$21</f>
        <v>0.19332518449142966</v>
      </c>
      <c r="L79" s="514">
        <f t="shared" si="20"/>
        <v>0</v>
      </c>
      <c r="N79" s="5">
        <f t="shared" si="21"/>
        <v>0</v>
      </c>
      <c r="O79" s="10">
        <f t="shared" si="22"/>
        <v>1</v>
      </c>
      <c r="P79" t="str">
        <f t="shared" si="23"/>
        <v xml:space="preserve"> </v>
      </c>
    </row>
    <row r="80" spans="1:17">
      <c r="A80">
        <v>4680</v>
      </c>
      <c r="B80" t="s">
        <v>301</v>
      </c>
      <c r="C80" s="5">
        <f>+'Results of Operations Regulated'!C80</f>
        <v>13407.575412844433</v>
      </c>
      <c r="E80" s="531">
        <f>+$E$21</f>
        <v>0.74471069300769266</v>
      </c>
      <c r="F80" s="5">
        <f t="shared" si="18"/>
        <v>9984.7647772522796</v>
      </c>
      <c r="H80" s="531">
        <f>+H21</f>
        <v>6.1964122500877704E-2</v>
      </c>
      <c r="I80" s="5">
        <f t="shared" si="19"/>
        <v>830.7886453212484</v>
      </c>
      <c r="K80" s="531">
        <f>+K21</f>
        <v>0.19332518449142966</v>
      </c>
      <c r="L80" s="5">
        <f t="shared" si="20"/>
        <v>2592.0219902709064</v>
      </c>
      <c r="N80" s="5">
        <f t="shared" si="21"/>
        <v>13407.575412844435</v>
      </c>
      <c r="O80" s="10">
        <f t="shared" si="22"/>
        <v>1</v>
      </c>
      <c r="P80" t="str">
        <f t="shared" si="23"/>
        <v xml:space="preserve"> </v>
      </c>
    </row>
    <row r="81" spans="1:17">
      <c r="A81">
        <v>4692</v>
      </c>
      <c r="B81" t="s">
        <v>302</v>
      </c>
      <c r="C81" s="5">
        <f>+'Results of Operations Regulated'!C81</f>
        <v>11064.963334916565</v>
      </c>
      <c r="E81" s="10">
        <f>+$E$64</f>
        <v>0.75639681556584915</v>
      </c>
      <c r="F81" s="5">
        <f t="shared" si="18"/>
        <v>8369.5030308837686</v>
      </c>
      <c r="H81" s="531">
        <f>+'Overhead Allocation'!$F$20</f>
        <v>7.69546006661945E-2</v>
      </c>
      <c r="I81" s="5">
        <f t="shared" si="19"/>
        <v>851.49983482458799</v>
      </c>
      <c r="K81" s="10">
        <f>+$K$64</f>
        <v>0.1666485837679563</v>
      </c>
      <c r="L81" s="5">
        <f t="shared" si="20"/>
        <v>1843.9604692082082</v>
      </c>
      <c r="N81" s="5">
        <f t="shared" si="21"/>
        <v>11064.963334916565</v>
      </c>
      <c r="O81" s="10">
        <f t="shared" si="22"/>
        <v>1</v>
      </c>
      <c r="P81" t="str">
        <f t="shared" si="23"/>
        <v xml:space="preserve"> </v>
      </c>
    </row>
    <row r="82" spans="1:17">
      <c r="A82">
        <v>4694</v>
      </c>
      <c r="B82" t="s">
        <v>303</v>
      </c>
      <c r="C82" s="5">
        <f>+'Results of Operations Regulated'!C82</f>
        <v>0</v>
      </c>
      <c r="E82" s="10">
        <f>+$E$64</f>
        <v>0.75639681556584915</v>
      </c>
      <c r="F82" s="5">
        <f t="shared" si="18"/>
        <v>0</v>
      </c>
      <c r="H82" s="531">
        <f>+'Overhead Allocation'!$F$20</f>
        <v>7.69546006661945E-2</v>
      </c>
      <c r="I82" s="5">
        <f t="shared" si="19"/>
        <v>0</v>
      </c>
      <c r="K82" s="10">
        <f>+$K$64</f>
        <v>0.1666485837679563</v>
      </c>
      <c r="L82" s="5">
        <f t="shared" si="20"/>
        <v>0</v>
      </c>
      <c r="N82" s="5">
        <f t="shared" si="21"/>
        <v>0</v>
      </c>
      <c r="O82" s="10">
        <f t="shared" si="22"/>
        <v>1</v>
      </c>
      <c r="P82" t="str">
        <f t="shared" si="23"/>
        <v xml:space="preserve"> </v>
      </c>
    </row>
    <row r="83" spans="1:17">
      <c r="A83" s="285">
        <v>4698</v>
      </c>
      <c r="B83" s="285" t="s">
        <v>304</v>
      </c>
      <c r="C83" s="463">
        <f>+'Results of Operations Regulated'!C83</f>
        <v>1137.2251512057599</v>
      </c>
      <c r="D83" s="285"/>
      <c r="E83" s="517">
        <f>+$E$64</f>
        <v>0.75639681556584915</v>
      </c>
      <c r="F83" s="463">
        <f t="shared" si="18"/>
        <v>860.19348295342809</v>
      </c>
      <c r="G83" s="285"/>
      <c r="H83" s="538">
        <f>+'Overhead Allocation'!$F$20</f>
        <v>7.69546006661945E-2</v>
      </c>
      <c r="I83" s="463">
        <f t="shared" si="19"/>
        <v>87.514707378591908</v>
      </c>
      <c r="J83" s="285"/>
      <c r="K83" s="517">
        <f>+$K$64</f>
        <v>0.1666485837679563</v>
      </c>
      <c r="L83" s="463">
        <f t="shared" si="20"/>
        <v>189.51696087373983</v>
      </c>
      <c r="M83" s="285"/>
      <c r="N83" s="463">
        <f t="shared" si="21"/>
        <v>1137.2251512057599</v>
      </c>
      <c r="O83" s="517">
        <f t="shared" si="22"/>
        <v>1</v>
      </c>
      <c r="P83" s="285" t="str">
        <f t="shared" si="23"/>
        <v xml:space="preserve"> </v>
      </c>
      <c r="Q83" s="285"/>
    </row>
    <row r="84" spans="1:17">
      <c r="A84" t="s">
        <v>305</v>
      </c>
      <c r="C84" s="5"/>
      <c r="E84" s="10"/>
      <c r="F84" s="5"/>
      <c r="H84" s="10"/>
      <c r="I84" s="5"/>
      <c r="K84" s="10"/>
      <c r="L84" s="5"/>
      <c r="N84" s="5"/>
      <c r="O84" s="10"/>
    </row>
    <row r="85" spans="1:17">
      <c r="A85">
        <v>5010</v>
      </c>
      <c r="B85" t="s">
        <v>306</v>
      </c>
      <c r="C85" s="5">
        <f>+'Results of Operations Regulated'!C85</f>
        <v>248690.43697680041</v>
      </c>
      <c r="E85" s="531">
        <f>+'Depr Allocation by County'!$L$12</f>
        <v>0.77969127811947092</v>
      </c>
      <c r="F85" s="5">
        <f>+C85*E85</f>
        <v>193901.76466253123</v>
      </c>
      <c r="H85" s="531">
        <f>+'Depr Allocation by County'!$L$14</f>
        <v>6.7538222221175115E-2</v>
      </c>
      <c r="I85" s="5">
        <f>+C85*H85</f>
        <v>16796.109996820291</v>
      </c>
      <c r="K85" s="531">
        <f>+'Depr Allocation by County'!L16</f>
        <v>0.15277049965935413</v>
      </c>
      <c r="L85" s="5">
        <f>+C85*K85</f>
        <v>37992.562317448916</v>
      </c>
      <c r="N85" s="5">
        <f>+F85+I85+L85</f>
        <v>248690.43697680044</v>
      </c>
      <c r="O85" s="10">
        <f>+E85+H85+K85</f>
        <v>1.0000000000000002</v>
      </c>
      <c r="P85" t="str">
        <f>IF(O85&lt;&gt;1,"ERR"," ")</f>
        <v xml:space="preserve"> </v>
      </c>
    </row>
    <row r="86" spans="1:17">
      <c r="A86">
        <v>5100</v>
      </c>
      <c r="B86" t="s">
        <v>307</v>
      </c>
      <c r="C86" s="5">
        <f>+'Results of Operations Regulated'!C86</f>
        <v>-18632.708830660726</v>
      </c>
      <c r="E86" s="10">
        <f>+$E$85</f>
        <v>0.77969127811947092</v>
      </c>
      <c r="F86" s="5">
        <f>+C86*E86</f>
        <v>-14527.760563005813</v>
      </c>
      <c r="H86" s="10">
        <f>+$H$85</f>
        <v>6.7538222221175115E-2</v>
      </c>
      <c r="I86" s="5">
        <f>+C86*H86</f>
        <v>-1258.420029587616</v>
      </c>
      <c r="K86" s="10">
        <f>+K85</f>
        <v>0.15277049965935413</v>
      </c>
      <c r="L86" s="5">
        <f>+C86*K86</f>
        <v>-2846.5282380672993</v>
      </c>
      <c r="N86" s="5">
        <f>+F86+I86+L86</f>
        <v>-18632.708830660729</v>
      </c>
      <c r="O86" s="10">
        <f>+E86+H86+K86</f>
        <v>1.0000000000000002</v>
      </c>
      <c r="P86" t="str">
        <f>IF(O86&lt;&gt;1,"ERR"," ")</f>
        <v xml:space="preserve"> </v>
      </c>
    </row>
    <row r="87" spans="1:17">
      <c r="A87" t="s">
        <v>308</v>
      </c>
      <c r="C87" s="5"/>
      <c r="E87" s="10"/>
      <c r="F87" s="5"/>
      <c r="H87" s="10"/>
      <c r="I87" s="5"/>
      <c r="K87" s="10"/>
      <c r="L87" s="5"/>
      <c r="N87" s="5"/>
      <c r="O87" s="10"/>
    </row>
    <row r="88" spans="1:17">
      <c r="A88">
        <v>5151</v>
      </c>
      <c r="B88" t="s">
        <v>309</v>
      </c>
      <c r="C88" s="5">
        <f>+'Results of Operations Regulated'!C88</f>
        <v>0</v>
      </c>
      <c r="E88" s="14">
        <v>1</v>
      </c>
      <c r="F88" s="5">
        <f>+C88*E88</f>
        <v>0</v>
      </c>
      <c r="H88" s="14">
        <v>0</v>
      </c>
      <c r="I88" s="5">
        <f>+C88*H88</f>
        <v>0</v>
      </c>
      <c r="K88" s="14">
        <v>0</v>
      </c>
      <c r="L88" s="5">
        <f>+C88*K88</f>
        <v>0</v>
      </c>
      <c r="N88" s="5">
        <f>+F88+I88+L88</f>
        <v>0</v>
      </c>
      <c r="O88" s="10">
        <f>+E88+H88+K88</f>
        <v>1</v>
      </c>
      <c r="P88" t="str">
        <f>IF(O88&lt;&gt;1,"ERR"," ")</f>
        <v xml:space="preserve"> </v>
      </c>
    </row>
    <row r="89" spans="1:17">
      <c r="A89" t="s">
        <v>310</v>
      </c>
      <c r="C89" s="5"/>
      <c r="E89" s="10"/>
      <c r="F89" s="5"/>
      <c r="H89" s="10"/>
      <c r="I89" s="5"/>
      <c r="K89" s="10"/>
      <c r="L89" s="5"/>
      <c r="N89" s="5"/>
      <c r="O89" s="10"/>
    </row>
    <row r="90" spans="1:17">
      <c r="A90">
        <v>5220</v>
      </c>
      <c r="B90" t="s">
        <v>311</v>
      </c>
      <c r="C90" s="5">
        <f>+'Results of Operations Regulated'!C90</f>
        <v>7108.9206889000588</v>
      </c>
      <c r="E90" s="10">
        <f>+$E$25</f>
        <v>0.77784734558373858</v>
      </c>
      <c r="F90" s="5">
        <f t="shared" ref="F90:F97" si="25">+C90*E90</f>
        <v>5529.6550878262333</v>
      </c>
      <c r="H90" s="10">
        <f>+'Hours &amp; Miles by County'!$E$25</f>
        <v>7.1729261513471892E-2</v>
      </c>
      <c r="I90" s="5">
        <f t="shared" ref="I90:I97" si="26">+C90*H90</f>
        <v>509.9176311726431</v>
      </c>
      <c r="K90" s="10">
        <f>+K25</f>
        <v>0.15042339290278953</v>
      </c>
      <c r="L90" s="5">
        <f t="shared" ref="L90:L97" si="27">+C90*K90</f>
        <v>1069.3479699011828</v>
      </c>
      <c r="N90" s="5">
        <f t="shared" ref="N90:N97" si="28">+F90+I90+L90</f>
        <v>7108.9206889000598</v>
      </c>
      <c r="O90" s="10">
        <f t="shared" ref="O90:O97" si="29">+E90+H90+K90</f>
        <v>1</v>
      </c>
      <c r="P90" t="str">
        <f t="shared" ref="P90:P97" si="30">IF(O90&lt;&gt;1,"ERR"," ")</f>
        <v xml:space="preserve"> </v>
      </c>
    </row>
    <row r="91" spans="1:17">
      <c r="A91">
        <v>5230</v>
      </c>
      <c r="B91" t="s">
        <v>312</v>
      </c>
      <c r="C91" s="5">
        <f>+'Results of Operations Regulated'!C91</f>
        <v>2441.2869800332778</v>
      </c>
      <c r="E91" s="10">
        <f>+$E$27</f>
        <v>0.82</v>
      </c>
      <c r="F91" s="5">
        <f t="shared" si="25"/>
        <v>2001.8553236272876</v>
      </c>
      <c r="H91" s="531">
        <f>ROUND(+'Container Count by County'!$K$24,3)</f>
        <v>0.05</v>
      </c>
      <c r="I91" s="5">
        <f t="shared" si="26"/>
        <v>122.0643490016639</v>
      </c>
      <c r="K91" s="10">
        <f>+K27</f>
        <v>0.13</v>
      </c>
      <c r="L91" s="5">
        <f t="shared" si="27"/>
        <v>317.36730740432614</v>
      </c>
      <c r="N91" s="5">
        <f t="shared" si="28"/>
        <v>2441.2869800332778</v>
      </c>
      <c r="O91" s="10">
        <f t="shared" si="29"/>
        <v>1</v>
      </c>
      <c r="P91" t="str">
        <f t="shared" si="30"/>
        <v xml:space="preserve"> </v>
      </c>
    </row>
    <row r="92" spans="1:17">
      <c r="A92">
        <v>5240</v>
      </c>
      <c r="B92" t="s">
        <v>313</v>
      </c>
      <c r="C92" s="5">
        <f>+'Results of Operations Regulated'!C92</f>
        <v>51632.313400079234</v>
      </c>
      <c r="E92" s="10">
        <f>+$E$25</f>
        <v>0.77784734558373858</v>
      </c>
      <c r="F92" s="5">
        <f t="shared" si="25"/>
        <v>40162.057924599329</v>
      </c>
      <c r="H92" s="10">
        <f>+'Hours &amp; Miles by County'!$E$25</f>
        <v>7.1729261513471892E-2</v>
      </c>
      <c r="I92" s="5">
        <f t="shared" si="26"/>
        <v>3703.5477104198226</v>
      </c>
      <c r="K92" s="10">
        <f>+K25</f>
        <v>0.15042339290278953</v>
      </c>
      <c r="L92" s="5">
        <f t="shared" si="27"/>
        <v>7766.7077650600831</v>
      </c>
      <c r="N92" s="5">
        <f t="shared" si="28"/>
        <v>51632.313400079234</v>
      </c>
      <c r="O92" s="10">
        <f t="shared" si="29"/>
        <v>1</v>
      </c>
      <c r="P92" t="str">
        <f t="shared" si="30"/>
        <v xml:space="preserve"> </v>
      </c>
    </row>
    <row r="93" spans="1:17">
      <c r="A93" s="285">
        <v>5241</v>
      </c>
      <c r="B93" s="285" t="s">
        <v>314</v>
      </c>
      <c r="C93" s="463">
        <f>+'Results of Operations Regulated'!C93</f>
        <v>276.9230909886295</v>
      </c>
      <c r="D93" s="285"/>
      <c r="E93" s="517">
        <f>+$E$25</f>
        <v>0.77784734558373858</v>
      </c>
      <c r="F93" s="463">
        <f t="shared" si="25"/>
        <v>215.40389125634957</v>
      </c>
      <c r="G93" s="285"/>
      <c r="H93" s="517">
        <f>+'Hours &amp; Miles by County'!$E$25</f>
        <v>7.1729261513471892E-2</v>
      </c>
      <c r="I93" s="463">
        <f t="shared" si="26"/>
        <v>19.863488812642377</v>
      </c>
      <c r="J93" s="285"/>
      <c r="K93" s="517">
        <f>+K25</f>
        <v>0.15042339290278953</v>
      </c>
      <c r="L93" s="463">
        <f t="shared" si="27"/>
        <v>41.655710919637549</v>
      </c>
      <c r="M93" s="285"/>
      <c r="N93" s="463">
        <f t="shared" si="28"/>
        <v>276.9230909886295</v>
      </c>
      <c r="O93" s="517">
        <f t="shared" si="29"/>
        <v>1</v>
      </c>
      <c r="P93" s="285" t="str">
        <f t="shared" si="30"/>
        <v xml:space="preserve"> </v>
      </c>
      <c r="Q93" s="285"/>
    </row>
    <row r="94" spans="1:17">
      <c r="A94" s="285">
        <v>5242</v>
      </c>
      <c r="B94" s="285" t="s">
        <v>315</v>
      </c>
      <c r="C94" s="463">
        <f>+'Results of Operations Regulated'!C94</f>
        <v>5788.0590382668915</v>
      </c>
      <c r="D94" s="285"/>
      <c r="E94" s="517">
        <f>+$E$25</f>
        <v>0.77784734558373858</v>
      </c>
      <c r="F94" s="463">
        <f t="shared" si="25"/>
        <v>4502.2263589978684</v>
      </c>
      <c r="G94" s="285"/>
      <c r="H94" s="517">
        <f>+'Hours &amp; Miles by County'!$E$25</f>
        <v>7.1729261513471892E-2</v>
      </c>
      <c r="I94" s="463">
        <f t="shared" si="26"/>
        <v>415.1732004112605</v>
      </c>
      <c r="J94" s="285"/>
      <c r="K94" s="517">
        <f>+K25</f>
        <v>0.15042339290278953</v>
      </c>
      <c r="L94" s="463">
        <f t="shared" si="27"/>
        <v>870.65947885776268</v>
      </c>
      <c r="M94" s="285"/>
      <c r="N94" s="463">
        <f t="shared" si="28"/>
        <v>5788.0590382668906</v>
      </c>
      <c r="O94" s="517">
        <f t="shared" si="29"/>
        <v>1</v>
      </c>
      <c r="P94" s="285" t="str">
        <f t="shared" si="30"/>
        <v xml:space="preserve"> </v>
      </c>
      <c r="Q94" s="285"/>
    </row>
    <row r="95" spans="1:17">
      <c r="A95">
        <v>5260</v>
      </c>
      <c r="B95" t="s">
        <v>316</v>
      </c>
      <c r="C95" s="5">
        <f>+'Results of Operations Regulated'!C95</f>
        <v>50936.314109954612</v>
      </c>
      <c r="E95" s="10">
        <f>+$E$21</f>
        <v>0.74471069300769266</v>
      </c>
      <c r="F95" s="5">
        <f t="shared" si="25"/>
        <v>37932.817780081816</v>
      </c>
      <c r="H95" s="10">
        <f>+H21</f>
        <v>6.1964122500877704E-2</v>
      </c>
      <c r="I95" s="5">
        <f t="shared" si="26"/>
        <v>3156.2240072524132</v>
      </c>
      <c r="K95" s="10">
        <f>+K21</f>
        <v>0.19332518449142966</v>
      </c>
      <c r="L95" s="5">
        <f t="shared" si="27"/>
        <v>9847.2723226203871</v>
      </c>
      <c r="N95" s="5">
        <f t="shared" si="28"/>
        <v>50936.314109954619</v>
      </c>
      <c r="O95" s="10">
        <f t="shared" si="29"/>
        <v>1</v>
      </c>
      <c r="P95" t="str">
        <f t="shared" si="30"/>
        <v xml:space="preserve"> </v>
      </c>
    </row>
    <row r="96" spans="1:17">
      <c r="A96">
        <v>5270</v>
      </c>
      <c r="B96" t="s">
        <v>317</v>
      </c>
      <c r="C96" s="5">
        <f>+'Results of Operations Regulated'!C96</f>
        <v>10854.68</v>
      </c>
      <c r="E96" s="14">
        <v>0</v>
      </c>
      <c r="F96" s="5">
        <f t="shared" si="25"/>
        <v>0</v>
      </c>
      <c r="H96" s="14">
        <v>1</v>
      </c>
      <c r="I96" s="5">
        <f t="shared" si="26"/>
        <v>10854.68</v>
      </c>
      <c r="K96" s="14">
        <v>0</v>
      </c>
      <c r="L96" s="5">
        <f t="shared" si="27"/>
        <v>0</v>
      </c>
      <c r="N96" s="5">
        <f t="shared" si="28"/>
        <v>10854.68</v>
      </c>
      <c r="O96" s="10">
        <f t="shared" si="29"/>
        <v>1</v>
      </c>
      <c r="P96" t="str">
        <f t="shared" si="30"/>
        <v xml:space="preserve"> </v>
      </c>
    </row>
    <row r="97" spans="1:16">
      <c r="A97">
        <v>5290</v>
      </c>
      <c r="B97" t="s">
        <v>318</v>
      </c>
      <c r="C97" s="5">
        <f>+'Results of Operations Regulated'!C97</f>
        <v>231.54485811988019</v>
      </c>
      <c r="E97" s="10">
        <f>+$E$25</f>
        <v>0.77784734558373858</v>
      </c>
      <c r="F97" s="5">
        <f t="shared" si="25"/>
        <v>180.10655327211217</v>
      </c>
      <c r="H97" s="10">
        <f>+'Hours &amp; Miles by County'!$E$25</f>
        <v>7.1729261513471892E-2</v>
      </c>
      <c r="I97" s="5">
        <f t="shared" si="26"/>
        <v>16.608541680180632</v>
      </c>
      <c r="K97" s="10">
        <f>+K25</f>
        <v>0.15042339290278953</v>
      </c>
      <c r="L97" s="5">
        <f t="shared" si="27"/>
        <v>34.829763167587394</v>
      </c>
      <c r="N97" s="5">
        <f t="shared" si="28"/>
        <v>231.54485811988019</v>
      </c>
      <c r="O97" s="10">
        <f t="shared" si="29"/>
        <v>1</v>
      </c>
      <c r="P97" t="str">
        <f t="shared" si="30"/>
        <v xml:space="preserve"> </v>
      </c>
    </row>
    <row r="98" spans="1:16">
      <c r="A98" t="s">
        <v>319</v>
      </c>
      <c r="C98" s="5"/>
      <c r="E98" s="10"/>
      <c r="F98" s="5"/>
      <c r="H98" s="10"/>
      <c r="I98" s="5"/>
      <c r="K98" s="10"/>
      <c r="L98" s="5"/>
      <c r="N98" s="5"/>
      <c r="O98" s="10"/>
    </row>
    <row r="99" spans="1:16">
      <c r="A99">
        <v>5320</v>
      </c>
      <c r="B99" t="s">
        <v>320</v>
      </c>
      <c r="C99" s="5">
        <f>+'Results of Operations Regulated'!C99</f>
        <v>82267.677219012316</v>
      </c>
      <c r="E99" s="10">
        <f>$E$64</f>
        <v>0.75639681556584915</v>
      </c>
      <c r="F99" s="5">
        <f>+C99*E99</f>
        <v>62227.009072460067</v>
      </c>
      <c r="H99" s="531">
        <f>+'Overhead Allocation'!$F$20</f>
        <v>7.69546006661945E-2</v>
      </c>
      <c r="I99" s="5">
        <f>+C99*H99</f>
        <v>6330.8762481244794</v>
      </c>
      <c r="K99" s="10">
        <f>$K$64</f>
        <v>0.1666485837679563</v>
      </c>
      <c r="L99" s="5">
        <f>+C99*K99</f>
        <v>13709.791898427764</v>
      </c>
      <c r="N99" s="5">
        <f>+F99+I99+L99</f>
        <v>82267.677219012316</v>
      </c>
      <c r="O99" s="10">
        <f>+E99+H99+K99</f>
        <v>1</v>
      </c>
      <c r="P99" t="str">
        <f>IF(O99&lt;&gt;1,"ERR"," ")</f>
        <v xml:space="preserve"> </v>
      </c>
    </row>
    <row r="100" spans="1:16" ht="13.5" thickBot="1">
      <c r="A100" s="120">
        <v>5322</v>
      </c>
      <c r="B100" s="120" t="s">
        <v>321</v>
      </c>
      <c r="C100" s="453">
        <f>+'Results of Operations Regulated'!C100</f>
        <v>0</v>
      </c>
      <c r="D100" s="454"/>
      <c r="E100" s="78">
        <f>+$E$64</f>
        <v>0.75639681556584915</v>
      </c>
      <c r="F100" s="453">
        <f>+C100*E100</f>
        <v>0</v>
      </c>
      <c r="G100" s="454"/>
      <c r="H100" s="78">
        <f>+'Overhead Allocation'!$F$20</f>
        <v>7.69546006661945E-2</v>
      </c>
      <c r="I100" s="453">
        <f>+C100*H100</f>
        <v>0</v>
      </c>
      <c r="J100" s="454"/>
      <c r="K100" s="78">
        <f>+$K$64</f>
        <v>0.1666485837679563</v>
      </c>
      <c r="L100" s="453">
        <f>+C100*K100</f>
        <v>0</v>
      </c>
      <c r="M100" s="454"/>
      <c r="N100" s="453">
        <f>+F100+I100+L100</f>
        <v>0</v>
      </c>
      <c r="O100" s="78">
        <f>+E100+H100+K100</f>
        <v>1</v>
      </c>
      <c r="P100" s="120" t="str">
        <f>IF(O100&lt;&gt;1,"ERR"," ")</f>
        <v xml:space="preserve"> </v>
      </c>
    </row>
    <row r="101" spans="1:16">
      <c r="C101" s="5"/>
      <c r="E101" s="10"/>
      <c r="H101" s="10"/>
      <c r="K101" s="10"/>
      <c r="O101" s="10"/>
    </row>
    <row r="102" spans="1:16" ht="13.5" thickBot="1">
      <c r="B102" t="s">
        <v>322</v>
      </c>
      <c r="C102" s="6">
        <f>SUM(C25:C100)</f>
        <v>2712592.7140653972</v>
      </c>
      <c r="D102" s="4"/>
      <c r="E102" s="11">
        <f>+F102/C102</f>
        <v>0.7534114172271783</v>
      </c>
      <c r="F102" s="6">
        <f>SUM(F25:F100)</f>
        <v>2043698.3210641288</v>
      </c>
      <c r="G102" s="4"/>
      <c r="H102" s="11">
        <f>+I102/C102</f>
        <v>7.0331969986278275E-2</v>
      </c>
      <c r="I102" s="6">
        <f>SUM(I25:I100)</f>
        <v>190781.98935064464</v>
      </c>
      <c r="J102" s="4"/>
      <c r="K102" s="11">
        <f>+L102/C102</f>
        <v>0.17625661278654314</v>
      </c>
      <c r="L102" s="6">
        <f>SUM(L25:L100)</f>
        <v>478112.40365062281</v>
      </c>
      <c r="M102" s="4"/>
      <c r="N102" s="6">
        <f>SUM(N25:N100)</f>
        <v>2712592.7140653972</v>
      </c>
      <c r="O102" s="11">
        <f>+E102+H102+K102</f>
        <v>0.99999999999999967</v>
      </c>
    </row>
    <row r="103" spans="1:16">
      <c r="C103" s="5"/>
      <c r="E103" s="10"/>
      <c r="F103" s="5"/>
      <c r="H103" s="10"/>
      <c r="I103" s="5"/>
      <c r="K103" s="10"/>
      <c r="L103" s="5"/>
      <c r="N103" s="5"/>
      <c r="O103" s="10"/>
    </row>
    <row r="104" spans="1:16" ht="13.5" thickBot="1">
      <c r="B104" t="s">
        <v>323</v>
      </c>
      <c r="C104" s="7">
        <f>+C21-C102</f>
        <v>151733.86593460245</v>
      </c>
      <c r="D104" s="12"/>
      <c r="E104" s="13">
        <f>+F104/C104</f>
        <v>0.58916518588246647</v>
      </c>
      <c r="F104" s="7">
        <f>+F21-F102</f>
        <v>89396.311328025302</v>
      </c>
      <c r="G104" s="12"/>
      <c r="H104" s="13">
        <f>+I104/C104</f>
        <v>-8.7630445471780102E-2</v>
      </c>
      <c r="I104" s="7">
        <f>+I21-I102</f>
        <v>-13296.506265004573</v>
      </c>
      <c r="J104" s="12"/>
      <c r="K104" s="13">
        <f>+L104/C104</f>
        <v>0.49846525958932092</v>
      </c>
      <c r="L104" s="7">
        <f>+L21-L102</f>
        <v>75634.060871582828</v>
      </c>
      <c r="M104" s="12"/>
      <c r="N104" s="7">
        <f>+N21-N102</f>
        <v>151733.86593460245</v>
      </c>
      <c r="O104" s="13">
        <f>+E104+H104+K104</f>
        <v>1.0000000000000073</v>
      </c>
    </row>
    <row r="105" spans="1:16" ht="13.5" thickTop="1">
      <c r="C105" s="5"/>
      <c r="E105" s="10"/>
      <c r="F105" s="5"/>
      <c r="H105" s="10"/>
      <c r="I105" s="5"/>
      <c r="K105" s="10"/>
      <c r="L105" s="5"/>
      <c r="N105" s="5"/>
      <c r="O105" s="10"/>
    </row>
    <row r="106" spans="1:16">
      <c r="B106" t="s">
        <v>324</v>
      </c>
      <c r="C106" s="9">
        <f>+C102/C21</f>
        <v>0.94702633875827025</v>
      </c>
      <c r="E106" s="10"/>
      <c r="F106" s="9">
        <f>+F102/F21</f>
        <v>0.95809078979877604</v>
      </c>
      <c r="H106" s="10"/>
      <c r="I106" s="9">
        <f>+I102/I21</f>
        <v>1.0749160214899871</v>
      </c>
      <c r="K106" s="10"/>
      <c r="L106" s="9">
        <f>+L102/L21</f>
        <v>0.86341391644487897</v>
      </c>
      <c r="N106" s="9">
        <f>+N102/N21</f>
        <v>0.94702633875827025</v>
      </c>
      <c r="O106" s="10"/>
    </row>
  </sheetData>
  <mergeCells count="6">
    <mergeCell ref="K6:L6"/>
    <mergeCell ref="K7:L7"/>
    <mergeCell ref="E6:F6"/>
    <mergeCell ref="E7:F7"/>
    <mergeCell ref="H6:I6"/>
    <mergeCell ref="H7:I7"/>
  </mergeCells>
  <pageMargins left="0.27" right="0.25" top="0.52" bottom="0.45" header="0.5" footer="0.5"/>
  <pageSetup scale="89" fitToHeight="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R118"/>
  <sheetViews>
    <sheetView topLeftCell="A79" workbookViewId="0">
      <selection activeCell="F65" sqref="F65"/>
    </sheetView>
  </sheetViews>
  <sheetFormatPr defaultRowHeight="12.75"/>
  <cols>
    <col min="1" max="1" width="6.28515625" customWidth="1"/>
    <col min="2" max="2" width="30.5703125" customWidth="1"/>
    <col min="3" max="3" width="9.140625" customWidth="1"/>
    <col min="4" max="4" width="15.28515625" customWidth="1"/>
    <col min="7" max="7" width="13" customWidth="1"/>
    <col min="10" max="10" width="11.85546875" customWidth="1"/>
    <col min="13" max="13" width="11.28515625" customWidth="1"/>
    <col min="15" max="15" width="13.42578125" customWidth="1"/>
    <col min="18" max="18" width="11.28515625" bestFit="1" customWidth="1"/>
  </cols>
  <sheetData>
    <row r="1" spans="1:17">
      <c r="A1" t="s">
        <v>4</v>
      </c>
    </row>
    <row r="3" spans="1:17">
      <c r="A3" s="459" t="s">
        <v>756</v>
      </c>
      <c r="D3" s="459" t="s">
        <v>11</v>
      </c>
      <c r="E3" s="459" t="s">
        <v>12</v>
      </c>
    </row>
    <row r="5" spans="1:17">
      <c r="A5" s="459" t="s">
        <v>1420</v>
      </c>
    </row>
    <row r="6" spans="1:17">
      <c r="A6" s="459"/>
      <c r="I6" s="791" t="s">
        <v>220</v>
      </c>
      <c r="J6" s="790"/>
      <c r="L6" s="791" t="s">
        <v>757</v>
      </c>
      <c r="M6" s="790"/>
    </row>
    <row r="7" spans="1:17">
      <c r="A7" s="1"/>
      <c r="C7" s="791" t="s">
        <v>758</v>
      </c>
      <c r="D7" s="790"/>
      <c r="F7" s="790" t="s">
        <v>369</v>
      </c>
      <c r="G7" s="790"/>
      <c r="I7" s="791" t="s">
        <v>16</v>
      </c>
      <c r="J7" s="790"/>
      <c r="L7" s="791" t="s">
        <v>16</v>
      </c>
      <c r="M7" s="790"/>
    </row>
    <row r="8" spans="1:17">
      <c r="C8" s="791" t="s">
        <v>759</v>
      </c>
      <c r="D8" s="790"/>
      <c r="F8" s="790" t="s">
        <v>376</v>
      </c>
      <c r="G8" s="790"/>
      <c r="I8" s="790" t="s">
        <v>376</v>
      </c>
      <c r="J8" s="790"/>
      <c r="L8" s="790" t="s">
        <v>376</v>
      </c>
      <c r="M8" s="790"/>
      <c r="O8" s="530" t="s">
        <v>27</v>
      </c>
      <c r="P8" s="530" t="s">
        <v>27</v>
      </c>
    </row>
    <row r="9" spans="1:17" ht="13.5" thickBot="1">
      <c r="C9" s="2"/>
      <c r="D9" s="2" t="s">
        <v>174</v>
      </c>
      <c r="E9" s="2"/>
      <c r="F9" s="2" t="s">
        <v>392</v>
      </c>
      <c r="G9" s="2" t="s">
        <v>174</v>
      </c>
      <c r="H9" s="2"/>
      <c r="I9" s="2" t="s">
        <v>392</v>
      </c>
      <c r="J9" s="2" t="s">
        <v>174</v>
      </c>
      <c r="K9" s="2"/>
      <c r="L9" s="2" t="s">
        <v>392</v>
      </c>
      <c r="M9" s="2" t="s">
        <v>174</v>
      </c>
      <c r="N9" s="2"/>
      <c r="O9" s="2" t="s">
        <v>174</v>
      </c>
      <c r="P9" s="2" t="s">
        <v>392</v>
      </c>
    </row>
    <row r="10" spans="1:17" ht="13.5" thickTop="1"/>
    <row r="11" spans="1:17">
      <c r="A11" t="s">
        <v>230</v>
      </c>
    </row>
    <row r="12" spans="1:17">
      <c r="A12">
        <v>3100</v>
      </c>
      <c r="B12" t="s">
        <v>231</v>
      </c>
      <c r="C12" s="14"/>
      <c r="D12" s="5">
        <f>'Cost Allocations-Contracts'!F12</f>
        <v>2122236.2999999998</v>
      </c>
      <c r="F12" s="14">
        <v>1</v>
      </c>
      <c r="G12" s="5">
        <f t="shared" ref="G12:G20" si="0">+D12*F12</f>
        <v>2122236.2999999998</v>
      </c>
      <c r="I12" s="10"/>
      <c r="J12" s="5">
        <f t="shared" ref="J12:J20" si="1">+D12*I12</f>
        <v>0</v>
      </c>
      <c r="L12" s="10"/>
      <c r="M12" s="5">
        <f t="shared" ref="M12:M20" si="2">+D12*L12</f>
        <v>0</v>
      </c>
      <c r="N12" s="5"/>
      <c r="O12" s="5">
        <f>+G12+J12+M12</f>
        <v>2122236.2999999998</v>
      </c>
      <c r="P12" s="10">
        <f>+F12+I12+L12</f>
        <v>1</v>
      </c>
      <c r="Q12" t="str">
        <f t="shared" ref="Q12:Q20" si="3">IF(P12&lt;&gt;1,"ERR"," ")</f>
        <v xml:space="preserve"> </v>
      </c>
    </row>
    <row r="13" spans="1:17">
      <c r="A13">
        <v>3112</v>
      </c>
      <c r="B13" t="s">
        <v>232</v>
      </c>
      <c r="C13" s="14"/>
      <c r="D13" s="5">
        <f>'Cost Allocations-Contracts'!F13</f>
        <v>0</v>
      </c>
      <c r="F13" s="14"/>
      <c r="G13" s="5">
        <f t="shared" si="0"/>
        <v>0</v>
      </c>
      <c r="I13" s="14"/>
      <c r="J13" s="5">
        <f t="shared" si="1"/>
        <v>0</v>
      </c>
      <c r="L13" s="10"/>
      <c r="M13" s="5">
        <f t="shared" si="2"/>
        <v>0</v>
      </c>
      <c r="N13" s="5"/>
      <c r="O13" s="5">
        <f t="shared" ref="O13:O20" si="4">+G13+J13+M13</f>
        <v>0</v>
      </c>
      <c r="P13" s="10">
        <f t="shared" ref="P13:P20" si="5">+F13+I13+L13</f>
        <v>0</v>
      </c>
      <c r="Q13" t="str">
        <f t="shared" si="3"/>
        <v>ERR</v>
      </c>
    </row>
    <row r="14" spans="1:17">
      <c r="A14">
        <v>3114</v>
      </c>
      <c r="B14" t="s">
        <v>233</v>
      </c>
      <c r="C14" s="14"/>
      <c r="D14" s="5">
        <f>'Cost Allocations-Contracts'!F14</f>
        <v>0</v>
      </c>
      <c r="F14" s="14"/>
      <c r="G14" s="5">
        <f t="shared" si="0"/>
        <v>0</v>
      </c>
      <c r="I14" s="10"/>
      <c r="J14" s="5">
        <f t="shared" si="1"/>
        <v>0</v>
      </c>
      <c r="L14" s="14"/>
      <c r="M14" s="5">
        <f t="shared" si="2"/>
        <v>0</v>
      </c>
      <c r="N14" s="5"/>
      <c r="O14" s="5">
        <f t="shared" si="4"/>
        <v>0</v>
      </c>
      <c r="P14" s="10">
        <f t="shared" si="5"/>
        <v>0</v>
      </c>
      <c r="Q14" t="str">
        <f t="shared" si="3"/>
        <v>ERR</v>
      </c>
    </row>
    <row r="15" spans="1:17">
      <c r="A15">
        <v>3300</v>
      </c>
      <c r="B15" t="s">
        <v>234</v>
      </c>
      <c r="C15" s="14"/>
      <c r="D15" s="5">
        <f>'Cost Allocations-Contracts'!F15</f>
        <v>275552.33999999997</v>
      </c>
      <c r="F15" s="14">
        <v>1</v>
      </c>
      <c r="G15" s="5">
        <f t="shared" si="0"/>
        <v>275552.33999999997</v>
      </c>
      <c r="I15" s="10"/>
      <c r="J15" s="5">
        <f t="shared" si="1"/>
        <v>0</v>
      </c>
      <c r="L15" s="10"/>
      <c r="M15" s="5">
        <f t="shared" si="2"/>
        <v>0</v>
      </c>
      <c r="N15" s="5"/>
      <c r="O15" s="5">
        <f t="shared" si="4"/>
        <v>275552.33999999997</v>
      </c>
      <c r="P15" s="10">
        <f t="shared" si="5"/>
        <v>1</v>
      </c>
      <c r="Q15" t="str">
        <f t="shared" si="3"/>
        <v xml:space="preserve"> </v>
      </c>
    </row>
    <row r="16" spans="1:17">
      <c r="A16">
        <v>3310</v>
      </c>
      <c r="B16" t="s">
        <v>235</v>
      </c>
      <c r="C16" s="14"/>
      <c r="D16" s="5">
        <f>'Cost Allocations-Contracts'!F16</f>
        <v>466537.93999999994</v>
      </c>
      <c r="F16" s="14">
        <v>1</v>
      </c>
      <c r="G16" s="5">
        <f t="shared" si="0"/>
        <v>466537.93999999994</v>
      </c>
      <c r="I16" s="10"/>
      <c r="J16" s="5">
        <f t="shared" si="1"/>
        <v>0</v>
      </c>
      <c r="L16" s="10"/>
      <c r="M16" s="5">
        <f t="shared" si="2"/>
        <v>0</v>
      </c>
      <c r="N16" s="5"/>
      <c r="O16" s="5">
        <f t="shared" si="4"/>
        <v>466537.93999999994</v>
      </c>
      <c r="P16" s="10">
        <f t="shared" si="5"/>
        <v>1</v>
      </c>
      <c r="Q16" t="str">
        <f t="shared" si="3"/>
        <v xml:space="preserve"> </v>
      </c>
    </row>
    <row r="17" spans="1:17">
      <c r="A17">
        <v>3510</v>
      </c>
      <c r="B17" t="s">
        <v>236</v>
      </c>
      <c r="C17" s="14"/>
      <c r="D17" s="5">
        <f>'Cost Allocations-Contracts'!F17</f>
        <v>90645.74</v>
      </c>
      <c r="F17" s="14"/>
      <c r="G17" s="5">
        <f t="shared" si="0"/>
        <v>0</v>
      </c>
      <c r="I17" s="10"/>
      <c r="J17" s="5">
        <f t="shared" si="1"/>
        <v>0</v>
      </c>
      <c r="L17" s="71">
        <v>1</v>
      </c>
      <c r="M17" s="5">
        <f t="shared" si="2"/>
        <v>90645.74</v>
      </c>
      <c r="N17" s="5"/>
      <c r="O17" s="5">
        <f>+G17+J17+M17</f>
        <v>90645.74</v>
      </c>
      <c r="P17" s="10">
        <f>+F17+I17+L17</f>
        <v>1</v>
      </c>
    </row>
    <row r="18" spans="1:17">
      <c r="A18">
        <v>3550</v>
      </c>
      <c r="B18" t="s">
        <v>237</v>
      </c>
      <c r="C18" s="14"/>
      <c r="D18" s="5">
        <f>'Cost Allocations-Contracts'!F18</f>
        <v>37242.5</v>
      </c>
      <c r="F18" s="14"/>
      <c r="G18" s="5">
        <f t="shared" si="0"/>
        <v>0</v>
      </c>
      <c r="I18" s="71">
        <v>1</v>
      </c>
      <c r="J18" s="5">
        <f t="shared" si="1"/>
        <v>37242.5</v>
      </c>
      <c r="L18" s="71"/>
      <c r="M18" s="5">
        <f t="shared" si="2"/>
        <v>0</v>
      </c>
      <c r="N18" s="5"/>
      <c r="O18" s="5">
        <f>+G18+J18+M18</f>
        <v>37242.5</v>
      </c>
      <c r="P18" s="10">
        <f>+F18+I18+L18</f>
        <v>1</v>
      </c>
    </row>
    <row r="19" spans="1:17">
      <c r="A19">
        <v>3400</v>
      </c>
      <c r="B19" t="s">
        <v>238</v>
      </c>
      <c r="C19" s="14"/>
      <c r="D19" s="5">
        <f>'Cost Allocations-Contracts'!F19</f>
        <v>0</v>
      </c>
      <c r="F19" s="14"/>
      <c r="G19" s="5">
        <f t="shared" si="0"/>
        <v>0</v>
      </c>
      <c r="I19" s="10"/>
      <c r="J19" s="5">
        <f t="shared" si="1"/>
        <v>0</v>
      </c>
      <c r="L19" s="10"/>
      <c r="M19" s="5">
        <f t="shared" si="2"/>
        <v>0</v>
      </c>
      <c r="N19" s="5"/>
      <c r="O19" s="5">
        <f t="shared" si="4"/>
        <v>0</v>
      </c>
      <c r="P19" s="10">
        <f t="shared" si="5"/>
        <v>0</v>
      </c>
      <c r="Q19" t="str">
        <f>IF(P19&lt;&gt;1,"ERR"," ")</f>
        <v>ERR</v>
      </c>
    </row>
    <row r="20" spans="1:17" ht="13.5" thickBot="1">
      <c r="A20">
        <v>3500</v>
      </c>
      <c r="B20" t="s">
        <v>239</v>
      </c>
      <c r="C20" s="23"/>
      <c r="D20" s="6">
        <f>'Cost Allocations-Contracts'!F20</f>
        <v>0</v>
      </c>
      <c r="E20" s="4"/>
      <c r="F20" s="23">
        <v>1</v>
      </c>
      <c r="G20" s="6">
        <f t="shared" si="0"/>
        <v>0</v>
      </c>
      <c r="H20" s="4"/>
      <c r="I20" s="11"/>
      <c r="J20" s="6">
        <f t="shared" si="1"/>
        <v>0</v>
      </c>
      <c r="K20" s="4"/>
      <c r="L20" s="11"/>
      <c r="M20" s="6">
        <f t="shared" si="2"/>
        <v>0</v>
      </c>
      <c r="N20" s="6"/>
      <c r="O20" s="6">
        <f t="shared" si="4"/>
        <v>0</v>
      </c>
      <c r="P20" s="11">
        <f t="shared" si="5"/>
        <v>1</v>
      </c>
      <c r="Q20" t="str">
        <f t="shared" si="3"/>
        <v xml:space="preserve"> </v>
      </c>
    </row>
    <row r="21" spans="1:17">
      <c r="C21" s="10"/>
      <c r="D21" s="5"/>
      <c r="F21" s="10"/>
      <c r="I21" s="10"/>
      <c r="L21" s="10"/>
      <c r="P21" s="10"/>
    </row>
    <row r="22" spans="1:17" ht="13.5" thickBot="1">
      <c r="B22" t="s">
        <v>240</v>
      </c>
      <c r="C22" s="11"/>
      <c r="D22" s="6">
        <f>SUM(D12:D20)</f>
        <v>2992214.82</v>
      </c>
      <c r="E22" s="4"/>
      <c r="F22" s="11">
        <f>+G22/D22</f>
        <v>0.95725967295356151</v>
      </c>
      <c r="G22" s="6">
        <f>SUM(G12:G20)</f>
        <v>2864326.5799999996</v>
      </c>
      <c r="H22" s="4"/>
      <c r="I22" s="11">
        <f>+J22/D22</f>
        <v>1.2446465992705697E-2</v>
      </c>
      <c r="J22" s="6">
        <f>SUM(J12:J20)</f>
        <v>37242.5</v>
      </c>
      <c r="K22" s="4"/>
      <c r="L22" s="11">
        <f>+M22/D22</f>
        <v>3.029386105373277E-2</v>
      </c>
      <c r="M22" s="6">
        <f>SUM(M12:M20)</f>
        <v>90645.74</v>
      </c>
      <c r="N22" s="4"/>
      <c r="O22" s="6">
        <f>SUM(O12:O20)</f>
        <v>2992214.82</v>
      </c>
      <c r="P22" s="11">
        <f>+F22+I22+L22</f>
        <v>1</v>
      </c>
    </row>
    <row r="23" spans="1:17">
      <c r="C23" s="10"/>
      <c r="D23" s="5"/>
      <c r="F23" s="10"/>
      <c r="I23" s="10"/>
      <c r="L23" s="10"/>
      <c r="P23" s="10"/>
    </row>
    <row r="24" spans="1:17">
      <c r="A24" t="s">
        <v>241</v>
      </c>
      <c r="C24" s="10"/>
      <c r="D24" s="5"/>
      <c r="F24" s="10"/>
      <c r="I24" s="10"/>
      <c r="L24" s="10"/>
      <c r="P24" s="10"/>
    </row>
    <row r="25" spans="1:17">
      <c r="A25" t="s">
        <v>242</v>
      </c>
      <c r="C25" s="10"/>
      <c r="D25" s="5"/>
      <c r="F25" s="10"/>
      <c r="I25" s="10"/>
      <c r="L25" s="10"/>
      <c r="P25" s="10"/>
    </row>
    <row r="26" spans="1:17">
      <c r="A26">
        <v>4116</v>
      </c>
      <c r="B26" t="s">
        <v>243</v>
      </c>
      <c r="C26" s="531"/>
      <c r="D26" s="5">
        <f>'Cost Allocations-Contracts'!F26</f>
        <v>111891.05857428056</v>
      </c>
      <c r="F26" s="540">
        <f>1-I26</f>
        <v>0.96509475782314247</v>
      </c>
      <c r="G26" s="5">
        <f t="shared" ref="G26:G39" si="6">+D26*F26</f>
        <v>107985.47407732034</v>
      </c>
      <c r="I26" s="531">
        <f>+'Allocations-Hours &amp; Miles'!J25</f>
        <v>3.4905242176857545E-2</v>
      </c>
      <c r="J26" s="5">
        <f>+D26*I26</f>
        <v>3905.5844969602158</v>
      </c>
      <c r="L26" s="10">
        <v>0</v>
      </c>
      <c r="M26" s="5">
        <f t="shared" ref="M26:M39" si="7">+D26*L26</f>
        <v>0</v>
      </c>
      <c r="O26" s="5">
        <f t="shared" ref="O26:O101" si="8">+G26+J26+M26</f>
        <v>111891.05857428056</v>
      </c>
      <c r="P26" s="10">
        <f t="shared" ref="P26:P39" si="9">+F26+I26+L26</f>
        <v>1</v>
      </c>
      <c r="Q26" t="str">
        <f t="shared" ref="Q26:Q98" si="10">IF(P26&lt;&gt;1,"ERR"," ")</f>
        <v xml:space="preserve"> </v>
      </c>
    </row>
    <row r="27" spans="1:17">
      <c r="A27">
        <v>4117</v>
      </c>
      <c r="B27" t="s">
        <v>754</v>
      </c>
      <c r="C27" s="14"/>
      <c r="D27" s="5">
        <f>'Cost Allocations-Contracts'!F27</f>
        <v>1875.4300000000003</v>
      </c>
      <c r="F27" s="297">
        <v>1</v>
      </c>
      <c r="G27" s="5">
        <f t="shared" si="6"/>
        <v>1875.4300000000003</v>
      </c>
      <c r="I27" s="14">
        <f>+'Allocations-Hours &amp; Miles'!E26</f>
        <v>0</v>
      </c>
      <c r="J27" s="5">
        <f>+D27*I27</f>
        <v>0</v>
      </c>
      <c r="L27" s="14">
        <f>+'Allocations-Hours &amp; Miles'!F26</f>
        <v>0</v>
      </c>
      <c r="M27" s="5">
        <f t="shared" si="7"/>
        <v>0</v>
      </c>
      <c r="O27" s="5">
        <f>+G27+J27+M27</f>
        <v>1875.4300000000003</v>
      </c>
      <c r="P27" s="10">
        <f t="shared" si="9"/>
        <v>1</v>
      </c>
      <c r="Q27" t="str">
        <f t="shared" si="10"/>
        <v xml:space="preserve"> </v>
      </c>
    </row>
    <row r="28" spans="1:17">
      <c r="A28">
        <v>4118</v>
      </c>
      <c r="B28" t="s">
        <v>246</v>
      </c>
      <c r="C28" s="531"/>
      <c r="D28" s="5">
        <f>'Cost Allocations-Contracts'!F28</f>
        <v>8899.3868552412623</v>
      </c>
      <c r="F28" s="297">
        <v>1</v>
      </c>
      <c r="G28" s="5">
        <f t="shared" si="6"/>
        <v>8899.3868552412623</v>
      </c>
      <c r="I28" s="14">
        <f>+'Allocations-Hours &amp; Miles'!E28</f>
        <v>0</v>
      </c>
      <c r="J28" s="5">
        <f t="shared" ref="J28:J39" si="11">+D28*I28</f>
        <v>0</v>
      </c>
      <c r="L28" s="14">
        <f>+'Allocations-Hours &amp; Miles'!F28</f>
        <v>0</v>
      </c>
      <c r="M28" s="5">
        <f t="shared" si="7"/>
        <v>0</v>
      </c>
      <c r="O28" s="5">
        <f t="shared" si="8"/>
        <v>8899.3868552412623</v>
      </c>
      <c r="P28" s="10">
        <f t="shared" si="9"/>
        <v>1</v>
      </c>
      <c r="Q28" s="459"/>
    </row>
    <row r="29" spans="1:17">
      <c r="A29">
        <v>4120</v>
      </c>
      <c r="B29" t="s">
        <v>247</v>
      </c>
      <c r="C29" s="531"/>
      <c r="D29" s="5">
        <f>'Cost Allocations-Contracts'!F29</f>
        <v>0</v>
      </c>
      <c r="F29" s="540">
        <f>+F27</f>
        <v>1</v>
      </c>
      <c r="G29" s="5">
        <f t="shared" si="6"/>
        <v>0</v>
      </c>
      <c r="I29" s="531">
        <f>+'Container Count'!K24</f>
        <v>0</v>
      </c>
      <c r="J29" s="5">
        <f t="shared" si="11"/>
        <v>0</v>
      </c>
      <c r="L29" s="24">
        <f>+'Container Count'!K26</f>
        <v>0</v>
      </c>
      <c r="M29" s="5">
        <f t="shared" si="7"/>
        <v>0</v>
      </c>
      <c r="O29" s="5">
        <f>+G29+J29+M29</f>
        <v>0</v>
      </c>
      <c r="P29" s="10">
        <f t="shared" si="9"/>
        <v>1</v>
      </c>
      <c r="Q29" t="str">
        <f t="shared" si="10"/>
        <v xml:space="preserve"> </v>
      </c>
    </row>
    <row r="30" spans="1:17">
      <c r="A30">
        <v>4122</v>
      </c>
      <c r="B30" t="s">
        <v>248</v>
      </c>
      <c r="C30" s="71"/>
      <c r="D30" s="5">
        <f>'Cost Allocations-Contracts'!F30</f>
        <v>2463.7900000000004</v>
      </c>
      <c r="F30" s="298">
        <v>0</v>
      </c>
      <c r="G30" s="5">
        <f t="shared" si="6"/>
        <v>0</v>
      </c>
      <c r="I30" s="71">
        <v>0</v>
      </c>
      <c r="J30" s="5">
        <f t="shared" si="11"/>
        <v>0</v>
      </c>
      <c r="L30" s="71">
        <v>1</v>
      </c>
      <c r="M30" s="5">
        <f t="shared" si="7"/>
        <v>2463.7900000000004</v>
      </c>
      <c r="O30" s="5">
        <f>+G30+J30+M30</f>
        <v>2463.7900000000004</v>
      </c>
      <c r="P30" s="10">
        <f t="shared" si="9"/>
        <v>1</v>
      </c>
      <c r="Q30" s="459"/>
    </row>
    <row r="31" spans="1:17">
      <c r="A31">
        <v>4132</v>
      </c>
      <c r="B31" t="s">
        <v>249</v>
      </c>
      <c r="C31" s="10"/>
      <c r="D31" s="5">
        <f>'Cost Allocations-Contracts'!F31</f>
        <v>63185.60815859399</v>
      </c>
      <c r="F31" s="299">
        <f>1-I31</f>
        <v>0.96509475782314247</v>
      </c>
      <c r="G31" s="5">
        <f t="shared" si="6"/>
        <v>60980.09920372624</v>
      </c>
      <c r="I31" s="10">
        <f>+I26</f>
        <v>3.4905242176857545E-2</v>
      </c>
      <c r="J31" s="5">
        <f t="shared" si="11"/>
        <v>2205.5089548677493</v>
      </c>
      <c r="L31" s="10">
        <v>0</v>
      </c>
      <c r="M31" s="5">
        <f t="shared" si="7"/>
        <v>0</v>
      </c>
      <c r="O31" s="5">
        <f t="shared" si="8"/>
        <v>63185.60815859399</v>
      </c>
      <c r="P31" s="10">
        <f t="shared" si="9"/>
        <v>1</v>
      </c>
      <c r="Q31" t="str">
        <f t="shared" si="10"/>
        <v xml:space="preserve"> </v>
      </c>
    </row>
    <row r="32" spans="1:17">
      <c r="A32">
        <v>4133</v>
      </c>
      <c r="B32" t="s">
        <v>250</v>
      </c>
      <c r="C32" s="10"/>
      <c r="D32" s="5">
        <f>'Cost Allocations-Contracts'!F32</f>
        <v>13243.509999999998</v>
      </c>
      <c r="F32" s="299">
        <f>+F27</f>
        <v>1</v>
      </c>
      <c r="G32" s="5">
        <f t="shared" si="6"/>
        <v>13243.509999999998</v>
      </c>
      <c r="I32" s="10">
        <f>+I27</f>
        <v>0</v>
      </c>
      <c r="J32" s="5">
        <f t="shared" si="11"/>
        <v>0</v>
      </c>
      <c r="L32" s="10">
        <f>+L27</f>
        <v>0</v>
      </c>
      <c r="M32" s="5">
        <f t="shared" si="7"/>
        <v>0</v>
      </c>
      <c r="O32" s="5">
        <f>+G32+J32+M32</f>
        <v>13243.509999999998</v>
      </c>
      <c r="P32" s="10">
        <f t="shared" si="9"/>
        <v>1</v>
      </c>
      <c r="Q32" t="str">
        <f t="shared" si="10"/>
        <v xml:space="preserve"> </v>
      </c>
    </row>
    <row r="33" spans="1:17">
      <c r="A33">
        <v>4134</v>
      </c>
      <c r="B33" t="s">
        <v>251</v>
      </c>
      <c r="C33" s="10"/>
      <c r="D33" s="5">
        <f>'Cost Allocations-Contracts'!F33</f>
        <v>12266.924916805325</v>
      </c>
      <c r="F33" s="299">
        <f>+F28</f>
        <v>1</v>
      </c>
      <c r="G33" s="5">
        <f t="shared" si="6"/>
        <v>12266.924916805325</v>
      </c>
      <c r="I33" s="10">
        <f>+I28</f>
        <v>0</v>
      </c>
      <c r="J33" s="5">
        <f t="shared" si="11"/>
        <v>0</v>
      </c>
      <c r="L33" s="10">
        <f>+L28</f>
        <v>0</v>
      </c>
      <c r="M33" s="5">
        <f t="shared" si="7"/>
        <v>0</v>
      </c>
      <c r="O33" s="5">
        <f t="shared" si="8"/>
        <v>12266.924916805325</v>
      </c>
      <c r="P33" s="10">
        <f t="shared" si="9"/>
        <v>1</v>
      </c>
      <c r="Q33" t="str">
        <f t="shared" si="10"/>
        <v xml:space="preserve"> </v>
      </c>
    </row>
    <row r="34" spans="1:17">
      <c r="A34">
        <v>4136</v>
      </c>
      <c r="B34" t="s">
        <v>252</v>
      </c>
      <c r="C34" s="10"/>
      <c r="D34" s="5">
        <f>'Cost Allocations-Contracts'!F34</f>
        <v>37.83</v>
      </c>
      <c r="F34" s="299">
        <f>+F27</f>
        <v>1</v>
      </c>
      <c r="G34" s="5">
        <f t="shared" si="6"/>
        <v>37.83</v>
      </c>
      <c r="I34" s="10">
        <f>+I29</f>
        <v>0</v>
      </c>
      <c r="J34" s="5">
        <f t="shared" si="11"/>
        <v>0</v>
      </c>
      <c r="L34" s="10">
        <f>+L29</f>
        <v>0</v>
      </c>
      <c r="M34" s="5">
        <f t="shared" si="7"/>
        <v>0</v>
      </c>
      <c r="O34" s="5">
        <f>+G34+J34+M34</f>
        <v>37.83</v>
      </c>
      <c r="P34" s="10">
        <f t="shared" si="9"/>
        <v>1</v>
      </c>
      <c r="Q34" t="str">
        <f t="shared" si="10"/>
        <v xml:space="preserve"> </v>
      </c>
    </row>
    <row r="35" spans="1:17">
      <c r="A35">
        <v>4138</v>
      </c>
      <c r="B35" t="s">
        <v>253</v>
      </c>
      <c r="C35" s="10"/>
      <c r="D35" s="5">
        <f>'Cost Allocations-Contracts'!F35</f>
        <v>0</v>
      </c>
      <c r="F35" s="299">
        <f>+F30</f>
        <v>0</v>
      </c>
      <c r="G35" s="5">
        <f t="shared" si="6"/>
        <v>0</v>
      </c>
      <c r="I35" s="10">
        <f>+I30</f>
        <v>0</v>
      </c>
      <c r="J35" s="5">
        <f t="shared" si="11"/>
        <v>0</v>
      </c>
      <c r="L35" s="10">
        <f>+L30</f>
        <v>1</v>
      </c>
      <c r="M35" s="5">
        <f t="shared" si="7"/>
        <v>0</v>
      </c>
      <c r="O35" s="5">
        <f>+G35+J35+M35</f>
        <v>0</v>
      </c>
      <c r="P35" s="10">
        <f t="shared" si="9"/>
        <v>1</v>
      </c>
      <c r="Q35" t="str">
        <f>IF(P35&lt;&gt;1,"ERR"," ")</f>
        <v xml:space="preserve"> </v>
      </c>
    </row>
    <row r="36" spans="1:17">
      <c r="A36">
        <v>4160</v>
      </c>
      <c r="B36" t="s">
        <v>254</v>
      </c>
      <c r="C36" s="531"/>
      <c r="D36" s="5">
        <f>'Cost Allocations-Contracts'!F36</f>
        <v>20639.971169680932</v>
      </c>
      <c r="F36" s="540">
        <f>+'Allocations-Hours &amp; Miles'!I71</f>
        <v>0.87945302037076201</v>
      </c>
      <c r="G36" s="5">
        <f t="shared" si="6"/>
        <v>18151.884985541346</v>
      </c>
      <c r="I36" s="531">
        <f>+'Allocations-Hours &amp; Miles'!J71</f>
        <v>3.5877916402340171E-2</v>
      </c>
      <c r="J36" s="5">
        <f t="shared" si="11"/>
        <v>740.5191601725237</v>
      </c>
      <c r="L36" s="531">
        <f>+'Allocations-Hours &amp; Miles'!K71</f>
        <v>8.4669063226897864E-2</v>
      </c>
      <c r="M36" s="5">
        <f t="shared" si="7"/>
        <v>1747.567023967064</v>
      </c>
      <c r="O36" s="5">
        <f t="shared" si="8"/>
        <v>20639.971169680935</v>
      </c>
      <c r="P36" s="10">
        <f t="shared" si="9"/>
        <v>1</v>
      </c>
      <c r="Q36" t="str">
        <f t="shared" si="10"/>
        <v xml:space="preserve"> </v>
      </c>
    </row>
    <row r="37" spans="1:17">
      <c r="A37">
        <v>4161</v>
      </c>
      <c r="B37" t="s">
        <v>256</v>
      </c>
      <c r="C37" s="531"/>
      <c r="D37" s="5">
        <f>'Cost Allocations-Contracts'!F37</f>
        <v>0</v>
      </c>
      <c r="F37" s="540">
        <f>+F27</f>
        <v>1</v>
      </c>
      <c r="G37" s="5">
        <f t="shared" si="6"/>
        <v>0</v>
      </c>
      <c r="I37" s="531">
        <f>+'Allocations-Hours &amp; Miles'!E72</f>
        <v>0</v>
      </c>
      <c r="J37" s="5">
        <f t="shared" si="11"/>
        <v>0</v>
      </c>
      <c r="L37" s="531">
        <f>+'Allocations-Hours &amp; Miles'!F72</f>
        <v>0</v>
      </c>
      <c r="M37" s="5">
        <f t="shared" si="7"/>
        <v>0</v>
      </c>
      <c r="O37" s="5">
        <f>+G37+J37+M37</f>
        <v>0</v>
      </c>
      <c r="P37" s="10">
        <f t="shared" si="9"/>
        <v>1</v>
      </c>
      <c r="Q37" t="str">
        <f t="shared" si="10"/>
        <v xml:space="preserve"> </v>
      </c>
    </row>
    <row r="38" spans="1:17">
      <c r="A38">
        <v>4162</v>
      </c>
      <c r="B38" t="s">
        <v>257</v>
      </c>
      <c r="C38" s="531"/>
      <c r="D38" s="5">
        <f>'Cost Allocations-Contracts'!F38</f>
        <v>0</v>
      </c>
      <c r="F38" s="540">
        <v>0</v>
      </c>
      <c r="G38" s="5">
        <f>+D38*F38</f>
        <v>0</v>
      </c>
      <c r="I38" s="531">
        <f>+'Allocations-Hours &amp; Miles'!E73</f>
        <v>0</v>
      </c>
      <c r="J38" s="5">
        <f>+D38*I38</f>
        <v>0</v>
      </c>
      <c r="L38" s="531">
        <v>1</v>
      </c>
      <c r="M38" s="5">
        <f>+D38*L38</f>
        <v>0</v>
      </c>
      <c r="O38" s="5">
        <f>+G38+J38+M38</f>
        <v>0</v>
      </c>
      <c r="P38" s="10">
        <f t="shared" si="9"/>
        <v>1</v>
      </c>
      <c r="Q38" t="str">
        <f>IF(P38&lt;&gt;1,"ERR"," ")</f>
        <v xml:space="preserve"> </v>
      </c>
    </row>
    <row r="39" spans="1:17">
      <c r="A39">
        <v>4180</v>
      </c>
      <c r="B39" t="s">
        <v>258</v>
      </c>
      <c r="C39" s="10"/>
      <c r="D39" s="5">
        <f>'Cost Allocations-Contracts'!F39</f>
        <v>13231.812911782728</v>
      </c>
      <c r="F39" s="299">
        <f>+F26</f>
        <v>0.96509475782314247</v>
      </c>
      <c r="G39" s="5">
        <f t="shared" si="6"/>
        <v>12769.953277658082</v>
      </c>
      <c r="I39" s="10">
        <f>+I26</f>
        <v>3.4905242176857545E-2</v>
      </c>
      <c r="J39" s="5">
        <f t="shared" si="11"/>
        <v>461.85963412464673</v>
      </c>
      <c r="L39" s="10">
        <f>+L26</f>
        <v>0</v>
      </c>
      <c r="M39" s="5">
        <f t="shared" si="7"/>
        <v>0</v>
      </c>
      <c r="O39" s="5">
        <f t="shared" si="8"/>
        <v>13231.812911782728</v>
      </c>
      <c r="P39" s="10">
        <f t="shared" si="9"/>
        <v>1</v>
      </c>
      <c r="Q39" t="str">
        <f t="shared" si="10"/>
        <v xml:space="preserve"> </v>
      </c>
    </row>
    <row r="40" spans="1:17">
      <c r="A40" t="s">
        <v>259</v>
      </c>
      <c r="C40" s="10"/>
      <c r="D40" s="5"/>
      <c r="F40" s="10"/>
      <c r="G40" s="5"/>
      <c r="I40" s="10"/>
      <c r="J40" s="5"/>
      <c r="L40" s="10"/>
      <c r="M40" s="5"/>
      <c r="O40" s="5"/>
      <c r="P40" s="10"/>
    </row>
    <row r="41" spans="1:17">
      <c r="A41">
        <v>4210</v>
      </c>
      <c r="B41" t="s">
        <v>260</v>
      </c>
      <c r="C41" s="10"/>
      <c r="D41" s="5">
        <f>'Cost Allocations-Contracts'!F41</f>
        <v>0</v>
      </c>
      <c r="F41" s="540">
        <f>'Allocations-Hours &amp; Miles'!I47</f>
        <v>0.91044116595871882</v>
      </c>
      <c r="G41" s="5">
        <f t="shared" ref="G41:G50" si="12">+D41*F41</f>
        <v>0</v>
      </c>
      <c r="I41" s="531">
        <f>'Allocations-Hours &amp; Miles'!J47</f>
        <v>2.3366611575976415E-2</v>
      </c>
      <c r="J41" s="5">
        <f t="shared" ref="J41:J50" si="13">+D41*I41</f>
        <v>0</v>
      </c>
      <c r="L41" s="531">
        <f>'Allocations-Hours &amp; Miles'!K47</f>
        <v>6.619222246530479E-2</v>
      </c>
      <c r="M41" s="5">
        <f t="shared" ref="M41:M50" si="14">+D41*L41</f>
        <v>0</v>
      </c>
      <c r="O41" s="5">
        <f t="shared" si="8"/>
        <v>0</v>
      </c>
      <c r="P41" s="10">
        <f t="shared" ref="P41:P49" si="15">+F41+I41+L41</f>
        <v>1</v>
      </c>
      <c r="Q41" t="str">
        <f t="shared" si="10"/>
        <v xml:space="preserve"> </v>
      </c>
    </row>
    <row r="42" spans="1:17">
      <c r="A42">
        <v>4213</v>
      </c>
      <c r="B42" t="s">
        <v>261</v>
      </c>
      <c r="C42" s="10"/>
      <c r="D42" s="5">
        <f>'Cost Allocations-Contracts'!F42</f>
        <v>327114.98063955468</v>
      </c>
      <c r="F42" s="299">
        <f>'Allocations-Hours &amp; Miles'!I50</f>
        <v>0.97497706472560597</v>
      </c>
      <c r="G42" s="5">
        <f t="shared" si="12"/>
        <v>318929.60365172644</v>
      </c>
      <c r="I42" s="10">
        <f>'Allocations-Hours &amp; Miles'!J50</f>
        <v>2.5022935274394028E-2</v>
      </c>
      <c r="J42" s="5">
        <f t="shared" si="13"/>
        <v>8185.3769878282319</v>
      </c>
      <c r="L42" s="10">
        <f>'Allocations-Hours &amp; Miles'!K50</f>
        <v>0</v>
      </c>
      <c r="M42" s="5">
        <f t="shared" si="14"/>
        <v>0</v>
      </c>
      <c r="O42" s="5">
        <f t="shared" si="8"/>
        <v>327114.98063955468</v>
      </c>
      <c r="P42" s="10">
        <f t="shared" si="15"/>
        <v>1</v>
      </c>
      <c r="Q42" t="str">
        <f t="shared" si="10"/>
        <v xml:space="preserve"> </v>
      </c>
    </row>
    <row r="43" spans="1:17">
      <c r="A43">
        <v>4215</v>
      </c>
      <c r="B43" t="s">
        <v>262</v>
      </c>
      <c r="C43" s="531"/>
      <c r="D43" s="5">
        <f>'Cost Allocations-Contracts'!F43</f>
        <v>54742.020000000004</v>
      </c>
      <c r="F43" s="540">
        <f>+F27</f>
        <v>1</v>
      </c>
      <c r="G43" s="5">
        <f t="shared" si="12"/>
        <v>54742.020000000004</v>
      </c>
      <c r="I43" s="531">
        <f>+I27</f>
        <v>0</v>
      </c>
      <c r="J43" s="5">
        <f t="shared" si="13"/>
        <v>0</v>
      </c>
      <c r="L43" s="531">
        <f>+L27</f>
        <v>0</v>
      </c>
      <c r="M43" s="5">
        <f t="shared" si="14"/>
        <v>0</v>
      </c>
      <c r="O43" s="5">
        <f t="shared" si="8"/>
        <v>54742.020000000004</v>
      </c>
      <c r="P43" s="10">
        <f t="shared" si="15"/>
        <v>1</v>
      </c>
      <c r="Q43" t="str">
        <f t="shared" si="10"/>
        <v xml:space="preserve"> </v>
      </c>
    </row>
    <row r="44" spans="1:17">
      <c r="A44">
        <v>4217</v>
      </c>
      <c r="B44" t="s">
        <v>264</v>
      </c>
      <c r="C44" s="10"/>
      <c r="D44" s="5">
        <f>'Cost Allocations-Contracts'!F44</f>
        <v>20504.329584624029</v>
      </c>
      <c r="F44" s="299">
        <f>'Allocations-Hours &amp; Miles'!I51</f>
        <v>0.93222408403206647</v>
      </c>
      <c r="G44" s="5">
        <f t="shared" si="12"/>
        <v>19114.629865717736</v>
      </c>
      <c r="I44" s="10">
        <f>'Allocations-Hours &amp; Miles'!J51</f>
        <v>0</v>
      </c>
      <c r="J44" s="5">
        <f t="shared" si="13"/>
        <v>0</v>
      </c>
      <c r="L44" s="10">
        <f>'Allocations-Hours &amp; Miles'!K51</f>
        <v>6.7775915967933503E-2</v>
      </c>
      <c r="M44" s="5">
        <f t="shared" si="14"/>
        <v>1389.6997189062911</v>
      </c>
      <c r="O44" s="5">
        <f>+G44+J44+M44</f>
        <v>20504.329584624025</v>
      </c>
      <c r="P44" s="10">
        <f t="shared" si="15"/>
        <v>1</v>
      </c>
      <c r="Q44" t="str">
        <f t="shared" si="10"/>
        <v xml:space="preserve"> </v>
      </c>
    </row>
    <row r="45" spans="1:17">
      <c r="A45">
        <v>4222</v>
      </c>
      <c r="B45" t="s">
        <v>265</v>
      </c>
      <c r="C45" s="10"/>
      <c r="D45" s="5">
        <f>'Cost Allocations-Contracts'!F45</f>
        <v>9997.2900000000009</v>
      </c>
      <c r="F45" s="299">
        <f>F30</f>
        <v>0</v>
      </c>
      <c r="G45" s="5">
        <f t="shared" si="12"/>
        <v>0</v>
      </c>
      <c r="I45" s="10">
        <v>0</v>
      </c>
      <c r="J45" s="5">
        <f t="shared" si="13"/>
        <v>0</v>
      </c>
      <c r="L45" s="10">
        <v>1</v>
      </c>
      <c r="M45" s="5">
        <f t="shared" si="14"/>
        <v>9997.2900000000009</v>
      </c>
      <c r="O45" s="5">
        <f>+G45+J45+M45</f>
        <v>9997.2900000000009</v>
      </c>
      <c r="P45" s="10">
        <f>+F45+I45+L45</f>
        <v>1</v>
      </c>
      <c r="Q45" t="str">
        <f>IF(P45&lt;&gt;1,"ERR"," ")</f>
        <v xml:space="preserve"> </v>
      </c>
    </row>
    <row r="46" spans="1:17">
      <c r="A46">
        <v>4240</v>
      </c>
      <c r="B46" t="s">
        <v>266</v>
      </c>
      <c r="C46" s="10"/>
      <c r="D46" s="5">
        <f>'Cost Allocations-Contracts'!F46</f>
        <v>91341.02125603857</v>
      </c>
      <c r="F46" s="299">
        <f>'Allocations-Hours &amp; Miles'!I74</f>
        <v>0.96080333903186554</v>
      </c>
      <c r="G46" s="5">
        <f t="shared" si="12"/>
        <v>87760.758213382462</v>
      </c>
      <c r="I46" s="10">
        <f>'Allocations-Hours &amp; Miles'!J74</f>
        <v>3.9196660968134456E-2</v>
      </c>
      <c r="J46" s="5">
        <f t="shared" si="13"/>
        <v>3580.2630426561068</v>
      </c>
      <c r="L46" s="10">
        <v>0</v>
      </c>
      <c r="M46" s="5">
        <f t="shared" si="14"/>
        <v>0</v>
      </c>
      <c r="O46" s="5">
        <f t="shared" si="8"/>
        <v>91341.02125603857</v>
      </c>
      <c r="P46" s="10">
        <f t="shared" si="15"/>
        <v>1</v>
      </c>
      <c r="Q46" t="str">
        <f t="shared" si="10"/>
        <v xml:space="preserve"> </v>
      </c>
    </row>
    <row r="47" spans="1:17">
      <c r="A47">
        <v>4241</v>
      </c>
      <c r="B47" t="s">
        <v>267</v>
      </c>
      <c r="C47" s="10"/>
      <c r="D47" s="5">
        <f>'Cost Allocations-Contracts'!F47</f>
        <v>25731.398991948474</v>
      </c>
      <c r="F47" s="299">
        <f>+F27</f>
        <v>1</v>
      </c>
      <c r="G47" s="5">
        <f t="shared" si="12"/>
        <v>25731.398991948474</v>
      </c>
      <c r="I47" s="10">
        <f>+I27</f>
        <v>0</v>
      </c>
      <c r="J47" s="5">
        <f t="shared" si="13"/>
        <v>0</v>
      </c>
      <c r="L47" s="10">
        <f>+L27</f>
        <v>0</v>
      </c>
      <c r="M47" s="5">
        <f t="shared" si="14"/>
        <v>0</v>
      </c>
      <c r="O47" s="5">
        <f>+G47+J47+M47</f>
        <v>25731.398991948474</v>
      </c>
      <c r="P47" s="10">
        <f t="shared" si="15"/>
        <v>1</v>
      </c>
      <c r="Q47" t="str">
        <f t="shared" si="10"/>
        <v xml:space="preserve"> </v>
      </c>
    </row>
    <row r="48" spans="1:17">
      <c r="A48">
        <v>4244</v>
      </c>
      <c r="B48" t="s">
        <v>268</v>
      </c>
      <c r="C48" s="10"/>
      <c r="D48" s="5">
        <f>'Cost Allocations-Contracts'!F48</f>
        <v>4247.1930000000002</v>
      </c>
      <c r="F48" s="299">
        <f>F45</f>
        <v>0</v>
      </c>
      <c r="G48" s="5">
        <f t="shared" si="12"/>
        <v>0</v>
      </c>
      <c r="I48" s="10">
        <v>0</v>
      </c>
      <c r="J48" s="5">
        <f t="shared" si="13"/>
        <v>0</v>
      </c>
      <c r="L48" s="10">
        <v>1</v>
      </c>
      <c r="M48" s="5">
        <f t="shared" si="14"/>
        <v>4247.1930000000002</v>
      </c>
      <c r="O48" s="5">
        <f>+G48+J48+M48</f>
        <v>4247.1930000000002</v>
      </c>
      <c r="P48" s="10">
        <f>+F48+I48+L48</f>
        <v>1</v>
      </c>
      <c r="Q48" t="str">
        <f>IF(P48&lt;&gt;1,"ERR"," ")</f>
        <v xml:space="preserve"> </v>
      </c>
    </row>
    <row r="49" spans="1:17">
      <c r="A49">
        <v>4280</v>
      </c>
      <c r="B49" t="s">
        <v>269</v>
      </c>
      <c r="C49" s="10"/>
      <c r="D49" s="5">
        <f>'Cost Allocations-Contracts'!F49</f>
        <v>4460.9874731530444</v>
      </c>
      <c r="F49" s="299">
        <f>F42</f>
        <v>0.97497706472560597</v>
      </c>
      <c r="G49" s="5">
        <f t="shared" si="12"/>
        <v>4349.3604723524531</v>
      </c>
      <c r="I49" s="10">
        <f>+I42</f>
        <v>2.5022935274394028E-2</v>
      </c>
      <c r="J49" s="5">
        <f t="shared" si="13"/>
        <v>111.6270008005912</v>
      </c>
      <c r="L49" s="10">
        <f>+L42</f>
        <v>0</v>
      </c>
      <c r="M49" s="5">
        <f t="shared" si="14"/>
        <v>0</v>
      </c>
      <c r="O49" s="5">
        <f t="shared" si="8"/>
        <v>4460.9874731530444</v>
      </c>
      <c r="P49" s="10">
        <f t="shared" si="15"/>
        <v>1</v>
      </c>
      <c r="Q49" t="str">
        <f t="shared" si="10"/>
        <v xml:space="preserve"> </v>
      </c>
    </row>
    <row r="50" spans="1:17">
      <c r="A50">
        <v>4282</v>
      </c>
      <c r="B50" t="s">
        <v>270</v>
      </c>
      <c r="C50" s="10"/>
      <c r="D50" s="5">
        <f>'Cost Allocations-Contracts'!F50</f>
        <v>0</v>
      </c>
      <c r="F50" s="299">
        <f>F48</f>
        <v>0</v>
      </c>
      <c r="G50" s="5">
        <f t="shared" si="12"/>
        <v>0</v>
      </c>
      <c r="I50" s="10">
        <f>+I27</f>
        <v>0</v>
      </c>
      <c r="J50" s="5">
        <f t="shared" si="13"/>
        <v>0</v>
      </c>
      <c r="L50" s="10">
        <v>1</v>
      </c>
      <c r="M50" s="5">
        <f t="shared" si="14"/>
        <v>0</v>
      </c>
      <c r="O50" s="5">
        <f>+G50+J50+M50</f>
        <v>0</v>
      </c>
      <c r="P50" s="10">
        <f>+F50+I50+L50</f>
        <v>1</v>
      </c>
      <c r="Q50" t="str">
        <f>IF(P50&lt;&gt;1,"ERR"," ")</f>
        <v xml:space="preserve"> </v>
      </c>
    </row>
    <row r="51" spans="1:17">
      <c r="A51" t="s">
        <v>271</v>
      </c>
      <c r="C51" s="10"/>
      <c r="D51" s="5"/>
      <c r="F51" s="10"/>
      <c r="G51" s="5"/>
      <c r="I51" s="10"/>
      <c r="J51" s="5"/>
      <c r="L51" s="10"/>
      <c r="M51" s="5"/>
      <c r="O51" s="5"/>
      <c r="P51" s="10"/>
    </row>
    <row r="52" spans="1:17">
      <c r="A52">
        <v>4360</v>
      </c>
      <c r="B52" t="s">
        <v>272</v>
      </c>
      <c r="C52" s="531"/>
      <c r="D52" s="5">
        <f>'Cost Allocations-Contracts'!F52</f>
        <v>438756.17167657119</v>
      </c>
      <c r="F52" s="540">
        <v>1</v>
      </c>
      <c r="G52" s="5">
        <f>+D52*F52</f>
        <v>438756.17167657119</v>
      </c>
      <c r="I52" s="531">
        <v>0</v>
      </c>
      <c r="J52" s="5">
        <f>+D52*I52</f>
        <v>0</v>
      </c>
      <c r="L52" s="531">
        <v>0</v>
      </c>
      <c r="M52" s="5">
        <f>+D52*L52</f>
        <v>0</v>
      </c>
      <c r="O52" s="5">
        <f t="shared" si="8"/>
        <v>438756.17167657119</v>
      </c>
      <c r="P52" s="10">
        <f>+F52+I52+L52</f>
        <v>1</v>
      </c>
      <c r="Q52" t="str">
        <f t="shared" si="10"/>
        <v xml:space="preserve"> </v>
      </c>
    </row>
    <row r="53" spans="1:17">
      <c r="A53">
        <v>4361</v>
      </c>
      <c r="B53" t="s">
        <v>273</v>
      </c>
      <c r="C53" s="14"/>
      <c r="D53" s="5">
        <f>'Cost Allocations-Contracts'!F53</f>
        <v>333898.95999999996</v>
      </c>
      <c r="F53" s="540">
        <v>1</v>
      </c>
      <c r="G53" s="5">
        <f>+D53*F53</f>
        <v>333898.95999999996</v>
      </c>
      <c r="I53" s="531">
        <v>0</v>
      </c>
      <c r="J53" s="5">
        <f>+D53*I53</f>
        <v>0</v>
      </c>
      <c r="L53" s="531">
        <v>0</v>
      </c>
      <c r="M53" s="5">
        <f>+D53*L53</f>
        <v>0</v>
      </c>
      <c r="O53" s="5">
        <f t="shared" si="8"/>
        <v>333898.95999999996</v>
      </c>
      <c r="P53" s="10">
        <f>+F53+I53+L53</f>
        <v>1</v>
      </c>
      <c r="Q53" t="str">
        <f t="shared" si="10"/>
        <v xml:space="preserve"> </v>
      </c>
    </row>
    <row r="54" spans="1:17">
      <c r="A54">
        <v>4362</v>
      </c>
      <c r="B54" t="s">
        <v>274</v>
      </c>
      <c r="C54" s="531"/>
      <c r="D54" s="5">
        <f>'Cost Allocations-Contracts'!F54</f>
        <v>116474.65497745844</v>
      </c>
      <c r="F54" s="540">
        <v>1</v>
      </c>
      <c r="G54" s="5">
        <f>+D54*F54</f>
        <v>116474.65497745844</v>
      </c>
      <c r="I54" s="531">
        <v>0</v>
      </c>
      <c r="J54" s="5">
        <f>+D54*I54</f>
        <v>0</v>
      </c>
      <c r="L54" s="531">
        <v>0</v>
      </c>
      <c r="M54" s="5">
        <f>+D54*L54</f>
        <v>0</v>
      </c>
      <c r="O54" s="5">
        <f t="shared" si="8"/>
        <v>116474.65497745844</v>
      </c>
      <c r="P54" s="10">
        <f>+F54+I54+L54</f>
        <v>1</v>
      </c>
      <c r="Q54" t="str">
        <f t="shared" si="10"/>
        <v xml:space="preserve"> </v>
      </c>
    </row>
    <row r="55" spans="1:17">
      <c r="A55">
        <v>4363</v>
      </c>
      <c r="B55" t="s">
        <v>275</v>
      </c>
      <c r="C55" s="14"/>
      <c r="D55" s="5">
        <f>'Cost Allocations-Contracts'!F55</f>
        <v>132638.97999999998</v>
      </c>
      <c r="F55" s="540">
        <v>1</v>
      </c>
      <c r="G55" s="5">
        <f>+D55*F55</f>
        <v>132638.97999999998</v>
      </c>
      <c r="I55" s="531">
        <v>0</v>
      </c>
      <c r="J55" s="5">
        <f>+D55*I55</f>
        <v>0</v>
      </c>
      <c r="L55" s="531">
        <v>0</v>
      </c>
      <c r="M55" s="5">
        <f>+D55*L55</f>
        <v>0</v>
      </c>
      <c r="O55" s="5">
        <f t="shared" si="8"/>
        <v>132638.97999999998</v>
      </c>
      <c r="P55" s="10">
        <f>+F55+I55+L55</f>
        <v>1</v>
      </c>
      <c r="Q55" t="str">
        <f t="shared" si="10"/>
        <v xml:space="preserve"> </v>
      </c>
    </row>
    <row r="56" spans="1:17">
      <c r="A56">
        <v>4380</v>
      </c>
      <c r="B56" t="s">
        <v>276</v>
      </c>
      <c r="C56" s="14"/>
      <c r="D56" s="5">
        <f>'Cost Allocations-Contracts'!F56</f>
        <v>6214.07</v>
      </c>
      <c r="F56" s="297">
        <v>0</v>
      </c>
      <c r="G56" s="5">
        <f>+D56*F56</f>
        <v>0</v>
      </c>
      <c r="I56" s="14">
        <v>0</v>
      </c>
      <c r="J56" s="5">
        <f>+D56*I56</f>
        <v>0</v>
      </c>
      <c r="L56" s="14">
        <v>1</v>
      </c>
      <c r="M56" s="5">
        <f>+D56*L56</f>
        <v>6214.07</v>
      </c>
      <c r="O56" s="5">
        <f>+G56+J56+M56</f>
        <v>6214.07</v>
      </c>
      <c r="P56" s="10">
        <f>+F56+I56+L56</f>
        <v>1</v>
      </c>
      <c r="Q56" t="str">
        <f>IF(P56&lt;&gt;1,"ERR"," ")</f>
        <v xml:space="preserve"> </v>
      </c>
    </row>
    <row r="57" spans="1:17">
      <c r="A57" t="s">
        <v>277</v>
      </c>
      <c r="C57" s="10"/>
      <c r="D57" s="5"/>
      <c r="F57" s="10"/>
      <c r="G57" s="5"/>
      <c r="I57" s="10"/>
      <c r="J57" s="5"/>
      <c r="L57" s="10"/>
      <c r="M57" s="5"/>
      <c r="O57" s="5"/>
      <c r="P57" s="10"/>
    </row>
    <row r="58" spans="1:17">
      <c r="A58">
        <v>4430</v>
      </c>
      <c r="B58" t="s">
        <v>278</v>
      </c>
      <c r="C58" s="10"/>
      <c r="D58" s="5">
        <f>'Cost Allocations-Contracts'!F58</f>
        <v>0</v>
      </c>
      <c r="F58" s="299">
        <v>1</v>
      </c>
      <c r="G58" s="5">
        <f>+D58*F58</f>
        <v>0</v>
      </c>
      <c r="I58" s="10">
        <v>0</v>
      </c>
      <c r="J58" s="5">
        <f>+D58*I58</f>
        <v>0</v>
      </c>
      <c r="L58" s="10">
        <v>0</v>
      </c>
      <c r="M58" s="5">
        <f>+D58*L58</f>
        <v>0</v>
      </c>
      <c r="O58" s="5">
        <f t="shared" si="8"/>
        <v>0</v>
      </c>
      <c r="P58" s="10">
        <f>+F58+I58+L58</f>
        <v>1</v>
      </c>
      <c r="Q58" t="str">
        <f t="shared" si="10"/>
        <v xml:space="preserve"> </v>
      </c>
    </row>
    <row r="59" spans="1:17">
      <c r="A59">
        <v>4450</v>
      </c>
      <c r="B59" t="s">
        <v>279</v>
      </c>
      <c r="C59" s="14"/>
      <c r="D59" s="5">
        <f>'Cost Allocations-Contracts'!F59</f>
        <v>1995</v>
      </c>
      <c r="F59" s="297">
        <v>1</v>
      </c>
      <c r="G59" s="5">
        <f>+D59*F59</f>
        <v>1995</v>
      </c>
      <c r="I59" s="14">
        <v>0</v>
      </c>
      <c r="J59" s="5">
        <f>+D59*I59</f>
        <v>0</v>
      </c>
      <c r="L59" s="14">
        <v>0</v>
      </c>
      <c r="M59" s="5">
        <f>+D59*L59</f>
        <v>0</v>
      </c>
      <c r="O59" s="5">
        <f t="shared" si="8"/>
        <v>1995</v>
      </c>
      <c r="P59" s="10">
        <f>+F59+I59+L59</f>
        <v>1</v>
      </c>
      <c r="Q59" t="str">
        <f t="shared" si="10"/>
        <v xml:space="preserve"> </v>
      </c>
    </row>
    <row r="60" spans="1:17">
      <c r="A60" t="s">
        <v>280</v>
      </c>
      <c r="C60" s="10"/>
      <c r="D60" s="5"/>
      <c r="F60" s="10"/>
      <c r="G60" s="5"/>
      <c r="I60" s="10"/>
      <c r="J60" s="5"/>
      <c r="L60" s="10"/>
      <c r="M60" s="5"/>
      <c r="O60" s="5"/>
      <c r="P60" s="10"/>
    </row>
    <row r="61" spans="1:17">
      <c r="A61">
        <v>4530</v>
      </c>
      <c r="B61" t="s">
        <v>281</v>
      </c>
      <c r="C61" s="10"/>
      <c r="D61" s="5">
        <f>'Cost Allocations-Contracts'!F61</f>
        <v>81424.615040986959</v>
      </c>
      <c r="F61" s="299">
        <f>+F26</f>
        <v>0.96509475782314247</v>
      </c>
      <c r="G61" s="5">
        <f>+D61*F61</f>
        <v>78582.469133823906</v>
      </c>
      <c r="I61" s="10">
        <f>+I26</f>
        <v>3.4905242176857545E-2</v>
      </c>
      <c r="J61" s="5">
        <f>+D61*I61</f>
        <v>2842.1459071630475</v>
      </c>
      <c r="L61" s="10">
        <f>+L26</f>
        <v>0</v>
      </c>
      <c r="M61" s="5">
        <f>+D61*L61</f>
        <v>0</v>
      </c>
      <c r="O61" s="5">
        <f t="shared" si="8"/>
        <v>81424.615040986959</v>
      </c>
      <c r="P61" s="10">
        <f>+F61+I61+L61</f>
        <v>1</v>
      </c>
      <c r="Q61" t="str">
        <f t="shared" si="10"/>
        <v xml:space="preserve"> </v>
      </c>
    </row>
    <row r="62" spans="1:17">
      <c r="A62">
        <v>4540</v>
      </c>
      <c r="B62" t="s">
        <v>282</v>
      </c>
      <c r="C62" s="10"/>
      <c r="D62" s="5">
        <f>'Cost Allocations-Contracts'!F62</f>
        <v>21497.856723063815</v>
      </c>
      <c r="F62" s="299">
        <f>+F26</f>
        <v>0.96509475782314247</v>
      </c>
      <c r="G62" s="5">
        <f>+D62*F62</f>
        <v>20747.468827861889</v>
      </c>
      <c r="I62" s="10">
        <f>+I26</f>
        <v>3.4905242176857545E-2</v>
      </c>
      <c r="J62" s="5">
        <f>+D62*I62</f>
        <v>750.38789520192756</v>
      </c>
      <c r="L62" s="10">
        <f>+L26</f>
        <v>0</v>
      </c>
      <c r="M62" s="5">
        <f>+D62*L62</f>
        <v>0</v>
      </c>
      <c r="O62" s="5">
        <f t="shared" si="8"/>
        <v>21497.856723063815</v>
      </c>
      <c r="P62" s="10">
        <f>+F62+I62+L62</f>
        <v>1</v>
      </c>
      <c r="Q62" t="str">
        <f t="shared" si="10"/>
        <v xml:space="preserve"> </v>
      </c>
    </row>
    <row r="63" spans="1:17">
      <c r="A63">
        <v>4580</v>
      </c>
      <c r="B63" t="s">
        <v>283</v>
      </c>
      <c r="C63" s="10"/>
      <c r="D63" s="5">
        <f>'Cost Allocations-Contracts'!F63</f>
        <v>0</v>
      </c>
      <c r="F63" s="299">
        <f>+F26</f>
        <v>0.96509475782314247</v>
      </c>
      <c r="G63" s="5">
        <f>+D63*F63</f>
        <v>0</v>
      </c>
      <c r="I63" s="10">
        <f>+I26</f>
        <v>3.4905242176857545E-2</v>
      </c>
      <c r="J63" s="5">
        <f>+D63*I63</f>
        <v>0</v>
      </c>
      <c r="L63" s="10">
        <f>+L26</f>
        <v>0</v>
      </c>
      <c r="M63" s="5">
        <f>+D63*L63</f>
        <v>0</v>
      </c>
      <c r="O63" s="5">
        <f t="shared" si="8"/>
        <v>0</v>
      </c>
      <c r="P63" s="10">
        <f>+F63+I63+L63</f>
        <v>1</v>
      </c>
      <c r="Q63" t="str">
        <f t="shared" si="10"/>
        <v xml:space="preserve"> </v>
      </c>
    </row>
    <row r="64" spans="1:17">
      <c r="A64" t="s">
        <v>284</v>
      </c>
      <c r="C64" s="10"/>
      <c r="D64" s="5"/>
      <c r="F64" s="10"/>
      <c r="G64" s="5"/>
      <c r="I64" s="10"/>
      <c r="J64" s="5"/>
      <c r="L64" s="10"/>
      <c r="M64" s="5"/>
      <c r="O64" s="5"/>
      <c r="P64" s="10"/>
    </row>
    <row r="65" spans="1:17">
      <c r="A65">
        <v>4611</v>
      </c>
      <c r="B65" t="s">
        <v>285</v>
      </c>
      <c r="C65" s="14"/>
      <c r="D65" s="5">
        <f>'Cost Allocations-Contracts'!F65</f>
        <v>69937.834868894686</v>
      </c>
      <c r="F65" s="305">
        <f>'Allocations-Hours &amp; Miles'!$I$47</f>
        <v>0.91044116595871882</v>
      </c>
      <c r="G65" s="5">
        <f t="shared" ref="G65:G84" si="16">+D65*F65</f>
        <v>63674.283922664821</v>
      </c>
      <c r="I65" s="305">
        <f>'Allocations-Hours &amp; Miles'!$J$47</f>
        <v>2.3366611575976415E-2</v>
      </c>
      <c r="J65" s="5">
        <f t="shared" ref="J65:J84" si="17">+D65*I65</f>
        <v>1634.2102218462414</v>
      </c>
      <c r="L65" s="305">
        <f>'Allocations-Hours &amp; Miles'!$K$47</f>
        <v>6.619222246530479E-2</v>
      </c>
      <c r="M65" s="5">
        <f t="shared" ref="M65:M84" si="18">+D65*L65</f>
        <v>4629.3407243836273</v>
      </c>
      <c r="O65" s="5">
        <f t="shared" si="8"/>
        <v>69937.834868894686</v>
      </c>
      <c r="P65" s="10">
        <f t="shared" ref="P65:P84" si="19">+F65+I65+L65</f>
        <v>1</v>
      </c>
      <c r="Q65" t="str">
        <f t="shared" si="10"/>
        <v xml:space="preserve"> </v>
      </c>
    </row>
    <row r="66" spans="1:17">
      <c r="A66">
        <v>4612</v>
      </c>
      <c r="B66" t="s">
        <v>286</v>
      </c>
      <c r="C66" s="14"/>
      <c r="D66" s="5">
        <f>'Cost Allocations-Contracts'!F66</f>
        <v>47487.259999999995</v>
      </c>
      <c r="F66" s="305">
        <f>'Allocations-Hours &amp; Miles'!$I$47</f>
        <v>0.91044116595871882</v>
      </c>
      <c r="G66" s="5">
        <f t="shared" si="16"/>
        <v>43234.356362584826</v>
      </c>
      <c r="I66" s="305">
        <f>'Allocations-Hours &amp; Miles'!$J$47</f>
        <v>2.3366611575976415E-2</v>
      </c>
      <c r="J66" s="5">
        <f t="shared" si="17"/>
        <v>1109.6163592274017</v>
      </c>
      <c r="L66" s="305">
        <f>'Allocations-Hours &amp; Miles'!$K$47</f>
        <v>6.619222246530479E-2</v>
      </c>
      <c r="M66" s="5">
        <f t="shared" si="18"/>
        <v>3143.2872781877691</v>
      </c>
      <c r="O66" s="5">
        <f t="shared" si="8"/>
        <v>47487.259999999995</v>
      </c>
      <c r="P66" s="10">
        <f t="shared" si="19"/>
        <v>1</v>
      </c>
      <c r="Q66" t="str">
        <f t="shared" si="10"/>
        <v xml:space="preserve"> </v>
      </c>
    </row>
    <row r="67" spans="1:17">
      <c r="A67">
        <v>4613</v>
      </c>
      <c r="B67" t="s">
        <v>287</v>
      </c>
      <c r="C67" s="531"/>
      <c r="D67" s="5">
        <f>'Cost Allocations-Contracts'!F67</f>
        <v>113401.56007633277</v>
      </c>
      <c r="F67" s="305">
        <f>'Allocations-Hours &amp; Miles'!$I$47</f>
        <v>0.91044116595871882</v>
      </c>
      <c r="G67" s="5">
        <f t="shared" si="16"/>
        <v>103245.4485774341</v>
      </c>
      <c r="I67" s="305">
        <f>'Allocations-Hours &amp; Miles'!$J$47</f>
        <v>2.3366611575976415E-2</v>
      </c>
      <c r="J67" s="5">
        <f t="shared" si="17"/>
        <v>2649.8102064134223</v>
      </c>
      <c r="L67" s="305">
        <f>'Allocations-Hours &amp; Miles'!$K$47</f>
        <v>6.619222246530479E-2</v>
      </c>
      <c r="M67" s="5">
        <f t="shared" si="18"/>
        <v>7506.3012924852446</v>
      </c>
      <c r="O67" s="5">
        <f t="shared" si="8"/>
        <v>113401.56007633277</v>
      </c>
      <c r="P67" s="10">
        <f t="shared" si="19"/>
        <v>1</v>
      </c>
      <c r="Q67" t="str">
        <f t="shared" si="10"/>
        <v xml:space="preserve"> </v>
      </c>
    </row>
    <row r="68" spans="1:17">
      <c r="A68">
        <v>4620</v>
      </c>
      <c r="B68" t="s">
        <v>288</v>
      </c>
      <c r="C68" s="531"/>
      <c r="D68" s="5">
        <f>'Cost Allocations-Contracts'!F68</f>
        <v>42524.365102751239</v>
      </c>
      <c r="F68" s="305">
        <f>'Allocations-Hours &amp; Miles'!$I$47</f>
        <v>0.91044116595871882</v>
      </c>
      <c r="G68" s="5">
        <f t="shared" si="16"/>
        <v>38715.932545803094</v>
      </c>
      <c r="I68" s="305">
        <f>'Allocations-Hours &amp; Miles'!$J$47</f>
        <v>2.3366611575976415E-2</v>
      </c>
      <c r="J68" s="5">
        <f t="shared" si="17"/>
        <v>993.65032187099462</v>
      </c>
      <c r="L68" s="305">
        <f>'Allocations-Hours &amp; Miles'!$K$47</f>
        <v>6.619222246530479E-2</v>
      </c>
      <c r="M68" s="5">
        <f t="shared" si="18"/>
        <v>2814.7822350771535</v>
      </c>
      <c r="O68" s="5">
        <f t="shared" si="8"/>
        <v>42524.365102751239</v>
      </c>
      <c r="P68" s="10">
        <f t="shared" si="19"/>
        <v>1</v>
      </c>
      <c r="Q68" t="str">
        <f t="shared" si="10"/>
        <v xml:space="preserve"> </v>
      </c>
    </row>
    <row r="69" spans="1:17">
      <c r="A69">
        <v>4622</v>
      </c>
      <c r="B69" t="s">
        <v>289</v>
      </c>
      <c r="C69" s="531"/>
      <c r="D69" s="5">
        <f>'Cost Allocations-Contracts'!F69</f>
        <v>0</v>
      </c>
      <c r="F69" s="305">
        <f>'Allocations-Hours &amp; Miles'!$I$47</f>
        <v>0.91044116595871882</v>
      </c>
      <c r="G69" s="5">
        <f t="shared" si="16"/>
        <v>0</v>
      </c>
      <c r="I69" s="305">
        <f>'Allocations-Hours &amp; Miles'!$J$47</f>
        <v>2.3366611575976415E-2</v>
      </c>
      <c r="J69" s="5">
        <f t="shared" si="17"/>
        <v>0</v>
      </c>
      <c r="L69" s="305">
        <f>'Allocations-Hours &amp; Miles'!$K$47</f>
        <v>6.619222246530479E-2</v>
      </c>
      <c r="M69" s="5">
        <f t="shared" si="18"/>
        <v>0</v>
      </c>
      <c r="O69" s="5">
        <f t="shared" si="8"/>
        <v>0</v>
      </c>
      <c r="P69" s="10">
        <f t="shared" si="19"/>
        <v>1</v>
      </c>
      <c r="Q69" t="str">
        <f t="shared" si="10"/>
        <v xml:space="preserve"> </v>
      </c>
    </row>
    <row r="70" spans="1:17">
      <c r="A70">
        <v>4624</v>
      </c>
      <c r="B70" t="s">
        <v>290</v>
      </c>
      <c r="C70" s="531"/>
      <c r="D70" s="5">
        <f>'Cost Allocations-Contracts'!F70</f>
        <v>249.37174881331146</v>
      </c>
      <c r="F70" s="305">
        <f>'Allocations-Hours &amp; Miles'!$I$47</f>
        <v>0.91044116595871882</v>
      </c>
      <c r="G70" s="5">
        <f t="shared" si="16"/>
        <v>227.03830574675604</v>
      </c>
      <c r="I70" s="305">
        <f>'Allocations-Hours &amp; Miles'!$J$47</f>
        <v>2.3366611575976415E-2</v>
      </c>
      <c r="J70" s="5">
        <f t="shared" si="17"/>
        <v>5.8269727925426062</v>
      </c>
      <c r="L70" s="305">
        <f>'Allocations-Hours &amp; Miles'!$K$47</f>
        <v>6.619222246530479E-2</v>
      </c>
      <c r="M70" s="5">
        <f t="shared" si="18"/>
        <v>16.506470274012816</v>
      </c>
      <c r="O70" s="5">
        <f t="shared" si="8"/>
        <v>249.37174881331148</v>
      </c>
      <c r="P70" s="10">
        <f t="shared" si="19"/>
        <v>1</v>
      </c>
      <c r="Q70" t="str">
        <f t="shared" si="10"/>
        <v xml:space="preserve"> </v>
      </c>
    </row>
    <row r="71" spans="1:17">
      <c r="A71">
        <v>4625</v>
      </c>
      <c r="B71" t="s">
        <v>291</v>
      </c>
      <c r="C71" s="531"/>
      <c r="D71" s="5">
        <f>'Cost Allocations-Contracts'!F71</f>
        <v>2537.3427246533888</v>
      </c>
      <c r="F71" s="305">
        <f>'Allocations-Hours &amp; Miles'!$I$47</f>
        <v>0.91044116595871882</v>
      </c>
      <c r="G71" s="5">
        <f t="shared" si="16"/>
        <v>2310.1012686703039</v>
      </c>
      <c r="I71" s="305">
        <f>'Allocations-Hours &amp; Miles'!$J$47</f>
        <v>2.3366611575976415E-2</v>
      </c>
      <c r="J71" s="5">
        <f t="shared" si="17"/>
        <v>59.289101882105413</v>
      </c>
      <c r="L71" s="305">
        <f>'Allocations-Hours &amp; Miles'!$K$47</f>
        <v>6.619222246530479E-2</v>
      </c>
      <c r="M71" s="5">
        <f t="shared" si="18"/>
        <v>167.9523541009797</v>
      </c>
      <c r="O71" s="5">
        <f t="shared" si="8"/>
        <v>2537.3427246533893</v>
      </c>
      <c r="P71" s="10">
        <f t="shared" si="19"/>
        <v>1</v>
      </c>
      <c r="Q71" t="str">
        <f t="shared" si="10"/>
        <v xml:space="preserve"> </v>
      </c>
    </row>
    <row r="72" spans="1:17">
      <c r="A72">
        <v>4627</v>
      </c>
      <c r="B72" t="s">
        <v>292</v>
      </c>
      <c r="C72" s="531"/>
      <c r="D72" s="5">
        <f>'Cost Allocations-Contracts'!F72</f>
        <v>958.78441736355796</v>
      </c>
      <c r="F72" s="305">
        <f>'Allocations-Hours &amp; Miles'!$I$47</f>
        <v>0.91044116595871882</v>
      </c>
      <c r="G72" s="5">
        <f t="shared" si="16"/>
        <v>872.91680284752863</v>
      </c>
      <c r="I72" s="305">
        <f>'Allocations-Hours &amp; Miles'!$J$47</f>
        <v>2.3366611575976415E-2</v>
      </c>
      <c r="J72" s="5">
        <f t="shared" si="17"/>
        <v>22.403543065633116</v>
      </c>
      <c r="L72" s="305">
        <f>'Allocations-Hours &amp; Miles'!$K$47</f>
        <v>6.619222246530479E-2</v>
      </c>
      <c r="M72" s="5">
        <f t="shared" si="18"/>
        <v>63.464071450396268</v>
      </c>
      <c r="O72" s="5">
        <f t="shared" si="8"/>
        <v>958.78441736355808</v>
      </c>
      <c r="P72" s="10">
        <f t="shared" si="19"/>
        <v>1</v>
      </c>
      <c r="Q72" t="str">
        <f t="shared" si="10"/>
        <v xml:space="preserve"> </v>
      </c>
    </row>
    <row r="73" spans="1:17">
      <c r="A73">
        <v>4628</v>
      </c>
      <c r="B73" s="459" t="s">
        <v>293</v>
      </c>
      <c r="C73" s="531"/>
      <c r="D73" s="5">
        <f>'Cost Allocations-Contracts'!F73</f>
        <v>25526.959999999999</v>
      </c>
      <c r="F73" s="297">
        <f>1-I73</f>
        <v>0.97663338842402359</v>
      </c>
      <c r="G73" s="5">
        <f>+D73*F73</f>
        <v>24930.481440964511</v>
      </c>
      <c r="I73" s="305">
        <f>'Allocations-Hours &amp; Miles'!$J$47</f>
        <v>2.3366611575976415E-2</v>
      </c>
      <c r="J73" s="5">
        <f>+D73*I73</f>
        <v>596.47855903548691</v>
      </c>
      <c r="L73" s="297">
        <v>0</v>
      </c>
      <c r="M73" s="5">
        <f>+D73*L73</f>
        <v>0</v>
      </c>
      <c r="O73" s="5">
        <f>+G73+J73+M73</f>
        <v>25526.959999999999</v>
      </c>
      <c r="P73" s="10">
        <f>+F73+I73+L73</f>
        <v>1</v>
      </c>
      <c r="Q73" s="459" t="s">
        <v>760</v>
      </c>
    </row>
    <row r="74" spans="1:17">
      <c r="A74">
        <v>4630</v>
      </c>
      <c r="B74" t="s">
        <v>294</v>
      </c>
      <c r="C74" s="10"/>
      <c r="D74" s="5">
        <f>'Cost Allocations-Contracts'!F74</f>
        <v>1597.1063351841337</v>
      </c>
      <c r="F74" s="305">
        <f>'Allocations-Hours &amp; Miles'!$I$47</f>
        <v>0.91044116595871882</v>
      </c>
      <c r="G74" s="5">
        <f t="shared" si="16"/>
        <v>1454.0713539650992</v>
      </c>
      <c r="I74" s="305">
        <f>'Allocations-Hours &amp; Miles'!$J$47</f>
        <v>2.3366611575976415E-2</v>
      </c>
      <c r="J74" s="5">
        <f t="shared" si="17"/>
        <v>37.31896337977885</v>
      </c>
      <c r="L74" s="305">
        <f>'Allocations-Hours &amp; Miles'!$K$47</f>
        <v>6.619222246530479E-2</v>
      </c>
      <c r="M74" s="5">
        <f t="shared" si="18"/>
        <v>105.71601783925581</v>
      </c>
      <c r="O74" s="5">
        <f t="shared" si="8"/>
        <v>1597.1063351841337</v>
      </c>
      <c r="P74" s="10">
        <f t="shared" si="19"/>
        <v>1</v>
      </c>
      <c r="Q74" t="str">
        <f t="shared" si="10"/>
        <v xml:space="preserve"> </v>
      </c>
    </row>
    <row r="75" spans="1:17">
      <c r="A75">
        <v>4640</v>
      </c>
      <c r="B75" t="s">
        <v>295</v>
      </c>
      <c r="C75" s="531"/>
      <c r="D75" s="5">
        <f>'Cost Allocations-Contracts'!F75</f>
        <v>13725.944420066473</v>
      </c>
      <c r="F75" s="305">
        <f>'Allocations-Hours &amp; Miles'!$I$47</f>
        <v>0.91044116595871882</v>
      </c>
      <c r="G75" s="5">
        <f t="shared" si="16"/>
        <v>12496.66484168989</v>
      </c>
      <c r="I75" s="305">
        <f>'Allocations-Hours &amp; Miles'!$J$47</f>
        <v>2.3366611575976415E-2</v>
      </c>
      <c r="J75" s="5">
        <f t="shared" si="17"/>
        <v>320.72881177713413</v>
      </c>
      <c r="L75" s="305">
        <f>'Allocations-Hours &amp; Miles'!$K$47</f>
        <v>6.619222246530479E-2</v>
      </c>
      <c r="M75" s="5">
        <f t="shared" si="18"/>
        <v>908.55076659944893</v>
      </c>
      <c r="O75" s="5">
        <f t="shared" si="8"/>
        <v>13725.944420066473</v>
      </c>
      <c r="P75" s="10">
        <f t="shared" si="19"/>
        <v>1</v>
      </c>
      <c r="Q75" t="str">
        <f t="shared" si="10"/>
        <v xml:space="preserve"> </v>
      </c>
    </row>
    <row r="76" spans="1:17">
      <c r="A76">
        <v>4642</v>
      </c>
      <c r="B76" t="s">
        <v>761</v>
      </c>
      <c r="C76" s="531"/>
      <c r="D76" s="5">
        <f>'Cost Allocations-Contracts'!F76</f>
        <v>1160.2599999999998</v>
      </c>
      <c r="F76" s="297">
        <v>0</v>
      </c>
      <c r="G76" s="5">
        <f>+D76*F76</f>
        <v>0</v>
      </c>
      <c r="I76" s="499">
        <f>+J18/(J18+M17)</f>
        <v>0.29121129511204469</v>
      </c>
      <c r="J76" s="5">
        <f>+D76*I76</f>
        <v>337.88081726670089</v>
      </c>
      <c r="L76" s="499">
        <f>M17/(J18+M17)</f>
        <v>0.70878870488795531</v>
      </c>
      <c r="M76" s="5">
        <f>+D76*L76</f>
        <v>822.37918273329888</v>
      </c>
      <c r="O76" s="5">
        <f>+G76+J76+M76</f>
        <v>1160.2599999999998</v>
      </c>
      <c r="P76" s="10">
        <f>+F76+I76+L76</f>
        <v>1</v>
      </c>
      <c r="Q76" t="str">
        <f>IF(P76&lt;&gt;1,"ERR"," ")</f>
        <v xml:space="preserve"> </v>
      </c>
    </row>
    <row r="77" spans="1:17">
      <c r="A77">
        <v>4650</v>
      </c>
      <c r="B77" t="s">
        <v>297</v>
      </c>
      <c r="C77" s="531" t="s">
        <v>609</v>
      </c>
      <c r="D77" s="5">
        <f>'Cost Allocations-Contracts'!F77</f>
        <v>81441.392215365224</v>
      </c>
      <c r="F77" s="305">
        <f>'Allocations-Hours &amp; Miles'!$I$47</f>
        <v>0.91044116595871882</v>
      </c>
      <c r="G77" s="5">
        <f t="shared" si="16"/>
        <v>74147.596085858444</v>
      </c>
      <c r="I77" s="305">
        <f>'Allocations-Hours &amp; Miles'!$J$47</f>
        <v>2.3366611575976415E-2</v>
      </c>
      <c r="J77" s="5">
        <f t="shared" si="17"/>
        <v>1903.0093781031885</v>
      </c>
      <c r="L77" s="305">
        <f>'Allocations-Hours &amp; Miles'!$K$47</f>
        <v>6.619222246530479E-2</v>
      </c>
      <c r="M77" s="5">
        <f t="shared" si="18"/>
        <v>5390.786751403597</v>
      </c>
      <c r="O77" s="5">
        <f t="shared" si="8"/>
        <v>81441.392215365224</v>
      </c>
      <c r="P77" s="10">
        <f t="shared" si="19"/>
        <v>1</v>
      </c>
      <c r="Q77" t="str">
        <f t="shared" si="10"/>
        <v xml:space="preserve"> </v>
      </c>
    </row>
    <row r="78" spans="1:17">
      <c r="A78">
        <v>4652</v>
      </c>
      <c r="B78" t="s">
        <v>298</v>
      </c>
      <c r="C78" s="531" t="s">
        <v>609</v>
      </c>
      <c r="D78" s="5">
        <f>'Cost Allocations-Contracts'!F78</f>
        <v>11144.753092183566</v>
      </c>
      <c r="F78" s="305">
        <f>'Allocations-Hours &amp; Miles'!$I$47</f>
        <v>0.91044116595871882</v>
      </c>
      <c r="G78" s="5">
        <f t="shared" si="16"/>
        <v>10146.641999569643</v>
      </c>
      <c r="I78" s="305">
        <f>'Allocations-Hours &amp; Miles'!$J$47</f>
        <v>2.3366611575976415E-2</v>
      </c>
      <c r="J78" s="5">
        <f t="shared" si="17"/>
        <v>260.41511661521548</v>
      </c>
      <c r="L78" s="305">
        <f>'Allocations-Hours &amp; Miles'!$K$47</f>
        <v>6.619222246530479E-2</v>
      </c>
      <c r="M78" s="5">
        <f t="shared" si="18"/>
        <v>737.69597599870804</v>
      </c>
      <c r="O78" s="5">
        <f t="shared" si="8"/>
        <v>11144.753092183566</v>
      </c>
      <c r="P78" s="10">
        <f t="shared" si="19"/>
        <v>1</v>
      </c>
      <c r="Q78" t="str">
        <f t="shared" si="10"/>
        <v xml:space="preserve"> </v>
      </c>
    </row>
    <row r="79" spans="1:17">
      <c r="A79">
        <v>4660</v>
      </c>
      <c r="B79" t="s">
        <v>299</v>
      </c>
      <c r="C79" s="14"/>
      <c r="D79" s="5">
        <f>'Cost Allocations-Contracts'!F79</f>
        <v>0</v>
      </c>
      <c r="F79" s="305">
        <f>'Allocations-Hours &amp; Miles'!$I$47</f>
        <v>0.91044116595871882</v>
      </c>
      <c r="G79" s="5">
        <f t="shared" si="16"/>
        <v>0</v>
      </c>
      <c r="I79" s="305">
        <f>'Allocations-Hours &amp; Miles'!$J$47</f>
        <v>2.3366611575976415E-2</v>
      </c>
      <c r="J79" s="5">
        <f t="shared" si="17"/>
        <v>0</v>
      </c>
      <c r="L79" s="305">
        <f>'Allocations-Hours &amp; Miles'!$K$47</f>
        <v>6.619222246530479E-2</v>
      </c>
      <c r="M79" s="5">
        <f t="shared" si="18"/>
        <v>0</v>
      </c>
      <c r="O79" s="5">
        <f t="shared" si="8"/>
        <v>0</v>
      </c>
      <c r="P79" s="10">
        <f t="shared" si="19"/>
        <v>1</v>
      </c>
      <c r="Q79" t="str">
        <f t="shared" si="10"/>
        <v xml:space="preserve"> </v>
      </c>
    </row>
    <row r="80" spans="1:17">
      <c r="A80">
        <v>4670</v>
      </c>
      <c r="B80" t="s">
        <v>300</v>
      </c>
      <c r="C80" s="14"/>
      <c r="D80" s="5">
        <f>'Cost Allocations-Contracts'!F80</f>
        <v>0</v>
      </c>
      <c r="F80" s="305">
        <f>'Allocations-Hours &amp; Miles'!$I$47</f>
        <v>0.91044116595871882</v>
      </c>
      <c r="G80" s="5">
        <f t="shared" si="16"/>
        <v>0</v>
      </c>
      <c r="I80" s="305">
        <f>'Allocations-Hours &amp; Miles'!$J$47</f>
        <v>2.3366611575976415E-2</v>
      </c>
      <c r="J80" s="5">
        <f t="shared" si="17"/>
        <v>0</v>
      </c>
      <c r="L80" s="305">
        <f>'Allocations-Hours &amp; Miles'!$K$47</f>
        <v>6.619222246530479E-2</v>
      </c>
      <c r="M80" s="5">
        <f t="shared" si="18"/>
        <v>0</v>
      </c>
      <c r="O80" s="5">
        <f t="shared" si="8"/>
        <v>0</v>
      </c>
      <c r="P80" s="10">
        <f t="shared" si="19"/>
        <v>1</v>
      </c>
      <c r="Q80" t="str">
        <f t="shared" si="10"/>
        <v xml:space="preserve"> </v>
      </c>
    </row>
    <row r="81" spans="1:17">
      <c r="A81">
        <v>4680</v>
      </c>
      <c r="B81" t="s">
        <v>301</v>
      </c>
      <c r="C81" s="14"/>
      <c r="D81" s="5">
        <f>'Cost Allocations-Contracts'!F81</f>
        <v>14726.46</v>
      </c>
      <c r="F81" s="305">
        <f>'Allocations-Hours &amp; Miles'!$I$47</f>
        <v>0.91044116595871882</v>
      </c>
      <c r="G81" s="5">
        <f t="shared" si="16"/>
        <v>13407.575412844433</v>
      </c>
      <c r="I81" s="305">
        <f>'Allocations-Hours &amp; Miles'!$J$47</f>
        <v>2.3366611575976415E-2</v>
      </c>
      <c r="J81" s="5">
        <f t="shared" si="17"/>
        <v>344.10747070915363</v>
      </c>
      <c r="L81" s="305">
        <f>'Allocations-Hours &amp; Miles'!$K$47</f>
        <v>6.619222246530479E-2</v>
      </c>
      <c r="M81" s="5">
        <f t="shared" si="18"/>
        <v>974.77711644641226</v>
      </c>
      <c r="O81" s="5">
        <f t="shared" si="8"/>
        <v>14726.46</v>
      </c>
      <c r="P81" s="10">
        <f t="shared" si="19"/>
        <v>1</v>
      </c>
      <c r="Q81" t="str">
        <f t="shared" si="10"/>
        <v xml:space="preserve"> </v>
      </c>
    </row>
    <row r="82" spans="1:17">
      <c r="A82">
        <v>4692</v>
      </c>
      <c r="B82" t="s">
        <v>302</v>
      </c>
      <c r="C82" s="531"/>
      <c r="D82" s="5">
        <f>'Cost Allocations-Contracts'!F82</f>
        <v>12153.408422898876</v>
      </c>
      <c r="F82" s="299">
        <f>F75</f>
        <v>0.91044116595871882</v>
      </c>
      <c r="G82" s="5">
        <f t="shared" si="16"/>
        <v>11064.963334916567</v>
      </c>
      <c r="I82" s="10">
        <f>I75</f>
        <v>2.3366611575976415E-2</v>
      </c>
      <c r="J82" s="5">
        <f t="shared" si="17"/>
        <v>283.98397394207814</v>
      </c>
      <c r="L82" s="10">
        <f>L75</f>
        <v>6.619222246530479E-2</v>
      </c>
      <c r="M82" s="5">
        <f t="shared" si="18"/>
        <v>804.46111404023145</v>
      </c>
      <c r="O82" s="5">
        <f t="shared" si="8"/>
        <v>12153.408422898878</v>
      </c>
      <c r="P82" s="10">
        <f t="shared" si="19"/>
        <v>1</v>
      </c>
      <c r="Q82" t="str">
        <f t="shared" si="10"/>
        <v xml:space="preserve"> </v>
      </c>
    </row>
    <row r="83" spans="1:17">
      <c r="A83">
        <v>4694</v>
      </c>
      <c r="B83" t="s">
        <v>303</v>
      </c>
      <c r="C83" s="10"/>
      <c r="D83" s="5">
        <f>'Cost Allocations-Contracts'!F83</f>
        <v>0</v>
      </c>
      <c r="F83" s="299">
        <f>+$F$65</f>
        <v>0.91044116595871882</v>
      </c>
      <c r="G83" s="5">
        <f t="shared" si="16"/>
        <v>0</v>
      </c>
      <c r="I83" s="10">
        <f>+$I$65</f>
        <v>2.3366611575976415E-2</v>
      </c>
      <c r="J83" s="5">
        <f t="shared" si="17"/>
        <v>0</v>
      </c>
      <c r="L83" s="10">
        <f>+$L$65</f>
        <v>6.619222246530479E-2</v>
      </c>
      <c r="M83" s="5">
        <f t="shared" si="18"/>
        <v>0</v>
      </c>
      <c r="O83" s="5">
        <f t="shared" si="8"/>
        <v>0</v>
      </c>
      <c r="P83" s="10">
        <f t="shared" si="19"/>
        <v>1</v>
      </c>
      <c r="Q83" t="str">
        <f t="shared" si="10"/>
        <v xml:space="preserve"> </v>
      </c>
    </row>
    <row r="84" spans="1:17">
      <c r="A84">
        <v>4698</v>
      </c>
      <c r="B84" t="s">
        <v>304</v>
      </c>
      <c r="C84" s="10"/>
      <c r="D84" s="5">
        <f>'Cost Allocations-Contracts'!F84</f>
        <v>1249.0924111589698</v>
      </c>
      <c r="F84" s="299">
        <f>+$F$65</f>
        <v>0.91044116595871882</v>
      </c>
      <c r="G84" s="5">
        <f t="shared" si="16"/>
        <v>1137.2251512057599</v>
      </c>
      <c r="I84" s="10">
        <f>+$I$65</f>
        <v>2.3366611575976415E-2</v>
      </c>
      <c r="J84" s="5">
        <f t="shared" si="17"/>
        <v>29.187057194051473</v>
      </c>
      <c r="L84" s="10">
        <f>+$L$65</f>
        <v>6.619222246530479E-2</v>
      </c>
      <c r="M84" s="5">
        <f t="shared" si="18"/>
        <v>82.68020275915849</v>
      </c>
      <c r="O84" s="5">
        <f t="shared" si="8"/>
        <v>1249.0924111589698</v>
      </c>
      <c r="P84" s="10">
        <f t="shared" si="19"/>
        <v>1</v>
      </c>
      <c r="Q84" t="str">
        <f t="shared" si="10"/>
        <v xml:space="preserve"> </v>
      </c>
    </row>
    <row r="85" spans="1:17">
      <c r="A85" t="s">
        <v>305</v>
      </c>
      <c r="C85" s="10"/>
      <c r="D85" s="5"/>
      <c r="F85" s="10"/>
      <c r="G85" s="5"/>
      <c r="I85" s="10"/>
      <c r="J85" s="5"/>
      <c r="L85" s="10"/>
      <c r="M85" s="5"/>
      <c r="O85" s="5"/>
      <c r="P85" s="10"/>
    </row>
    <row r="86" spans="1:17">
      <c r="A86">
        <v>5010</v>
      </c>
      <c r="B86" t="s">
        <v>306</v>
      </c>
      <c r="C86" s="531"/>
      <c r="D86" s="5">
        <f>'Cost Allocations-Contracts'!F86</f>
        <v>252819.47162049156</v>
      </c>
      <c r="F86" s="540">
        <f>'Depr Allocation'!$N$36</f>
        <v>0.98366805128882906</v>
      </c>
      <c r="G86" s="5">
        <f>+D86*F86</f>
        <v>248690.43697680035</v>
      </c>
      <c r="I86" s="24">
        <f>'Depr Allocation'!N40</f>
        <v>6.486639871074837E-4</v>
      </c>
      <c r="J86" s="5">
        <f>+D86*I86</f>
        <v>163.99488647975537</v>
      </c>
      <c r="L86" s="24">
        <f>'Depr Allocation'!N38</f>
        <v>1.568328472406335E-2</v>
      </c>
      <c r="M86" s="5">
        <f>+D86*L86</f>
        <v>3965.039757211423</v>
      </c>
      <c r="O86" s="5">
        <f t="shared" si="8"/>
        <v>252819.47162049153</v>
      </c>
      <c r="P86" s="10">
        <f>+F86+I86+L86</f>
        <v>0.99999999999999989</v>
      </c>
      <c r="Q86" t="str">
        <f t="shared" si="10"/>
        <v xml:space="preserve"> </v>
      </c>
    </row>
    <row r="87" spans="1:17">
      <c r="A87">
        <v>5100</v>
      </c>
      <c r="B87" t="s">
        <v>307</v>
      </c>
      <c r="C87" s="531"/>
      <c r="D87" s="5">
        <f>'Cost Allocations-Contracts'!F87</f>
        <v>-18942.069742173324</v>
      </c>
      <c r="F87" s="541">
        <f>'Depr Allocation'!$N$36</f>
        <v>0.98366805128882906</v>
      </c>
      <c r="G87" s="5">
        <f>+D87*F87</f>
        <v>-18632.708830660726</v>
      </c>
      <c r="I87" s="305">
        <f>I86</f>
        <v>6.486639871074837E-4</v>
      </c>
      <c r="J87" s="5">
        <f>+D87*I87</f>
        <v>-12.287038483026175</v>
      </c>
      <c r="L87" s="305">
        <f>L86</f>
        <v>1.568328472406335E-2</v>
      </c>
      <c r="M87" s="5">
        <f>+D87*L87</f>
        <v>-297.07387302956948</v>
      </c>
      <c r="O87" s="5">
        <f t="shared" si="8"/>
        <v>-18942.069742173324</v>
      </c>
      <c r="P87" s="10">
        <f>+F87+I87+L87</f>
        <v>0.99999999999999989</v>
      </c>
      <c r="Q87" t="str">
        <f t="shared" si="10"/>
        <v xml:space="preserve"> </v>
      </c>
    </row>
    <row r="88" spans="1:17">
      <c r="A88" t="s">
        <v>308</v>
      </c>
      <c r="C88" s="10"/>
      <c r="D88" s="5"/>
      <c r="F88" s="10"/>
      <c r="G88" s="5"/>
      <c r="I88" s="10"/>
      <c r="J88" s="5"/>
      <c r="L88" s="10"/>
      <c r="M88" s="5"/>
      <c r="O88" s="5"/>
      <c r="P88" s="10"/>
    </row>
    <row r="89" spans="1:17">
      <c r="A89">
        <v>5151</v>
      </c>
      <c r="B89" t="s">
        <v>309</v>
      </c>
      <c r="C89" s="14"/>
      <c r="D89" s="5">
        <f>'Cost Allocations-Contracts'!F89</f>
        <v>0</v>
      </c>
      <c r="F89" s="297">
        <v>1</v>
      </c>
      <c r="G89" s="5">
        <f>+D89*F89</f>
        <v>0</v>
      </c>
      <c r="I89" s="14">
        <v>0</v>
      </c>
      <c r="J89" s="5">
        <f>+D89*I89</f>
        <v>0</v>
      </c>
      <c r="L89" s="14">
        <v>0</v>
      </c>
      <c r="M89" s="5">
        <f>+D89*L89</f>
        <v>0</v>
      </c>
      <c r="O89" s="5">
        <f t="shared" si="8"/>
        <v>0</v>
      </c>
      <c r="P89" s="10">
        <f>+F89+I89+L89</f>
        <v>1</v>
      </c>
      <c r="Q89" t="str">
        <f t="shared" si="10"/>
        <v xml:space="preserve"> </v>
      </c>
    </row>
    <row r="90" spans="1:17">
      <c r="A90" t="s">
        <v>310</v>
      </c>
      <c r="C90" s="10"/>
      <c r="D90" s="5"/>
      <c r="F90" s="10"/>
      <c r="G90" s="5"/>
      <c r="I90" s="10"/>
      <c r="J90" s="5"/>
      <c r="L90" s="10"/>
      <c r="M90" s="5"/>
      <c r="O90" s="5"/>
      <c r="P90" s="10"/>
    </row>
    <row r="91" spans="1:17">
      <c r="A91">
        <v>5220</v>
      </c>
      <c r="B91" t="s">
        <v>311</v>
      </c>
      <c r="C91" s="10"/>
      <c r="D91" s="5">
        <f>'Cost Allocations-Contracts'!F91</f>
        <v>7366.0338855584141</v>
      </c>
      <c r="F91" s="299">
        <f>+F26</f>
        <v>0.96509475782314247</v>
      </c>
      <c r="G91" s="5">
        <f t="shared" ref="G91:G98" si="20">+D91*F91</f>
        <v>7108.9206889000588</v>
      </c>
      <c r="I91" s="10">
        <f>+I26</f>
        <v>3.4905242176857545E-2</v>
      </c>
      <c r="J91" s="5">
        <f t="shared" ref="J91:J98" si="21">+D91*I91</f>
        <v>257.11319665835543</v>
      </c>
      <c r="L91" s="10">
        <f>+L26</f>
        <v>0</v>
      </c>
      <c r="M91" s="5">
        <f t="shared" ref="M91:M98" si="22">+D91*L91</f>
        <v>0</v>
      </c>
      <c r="O91" s="5">
        <f t="shared" si="8"/>
        <v>7366.0338855584141</v>
      </c>
      <c r="P91" s="10">
        <f t="shared" ref="P91:P98" si="23">+F91+I91+L91</f>
        <v>1</v>
      </c>
      <c r="Q91" t="str">
        <f t="shared" si="10"/>
        <v xml:space="preserve"> </v>
      </c>
    </row>
    <row r="92" spans="1:17">
      <c r="A92">
        <v>5230</v>
      </c>
      <c r="B92" t="s">
        <v>312</v>
      </c>
      <c r="C92" s="10"/>
      <c r="D92" s="5">
        <f>'Cost Allocations-Contracts'!F92</f>
        <v>2441.2869800332778</v>
      </c>
      <c r="F92" s="298">
        <f>+F28</f>
        <v>1</v>
      </c>
      <c r="G92" s="5">
        <f t="shared" si="20"/>
        <v>2441.2869800332778</v>
      </c>
      <c r="I92" s="71">
        <f>+I28</f>
        <v>0</v>
      </c>
      <c r="J92" s="5">
        <f t="shared" si="21"/>
        <v>0</v>
      </c>
      <c r="L92" s="71">
        <f>+L28</f>
        <v>0</v>
      </c>
      <c r="M92" s="5">
        <f t="shared" si="22"/>
        <v>0</v>
      </c>
      <c r="O92" s="5">
        <f t="shared" si="8"/>
        <v>2441.2869800332778</v>
      </c>
      <c r="P92" s="10">
        <f t="shared" si="23"/>
        <v>1</v>
      </c>
      <c r="Q92" t="str">
        <f t="shared" si="10"/>
        <v xml:space="preserve"> </v>
      </c>
    </row>
    <row r="93" spans="1:17">
      <c r="A93">
        <v>5240</v>
      </c>
      <c r="B93" t="s">
        <v>313</v>
      </c>
      <c r="C93" s="9">
        <v>7.6499999999999999E-2</v>
      </c>
      <c r="D93" s="5">
        <f>'Cost Allocations-Contracts'!F93</f>
        <v>55198.307907476476</v>
      </c>
      <c r="F93" s="299">
        <f>G93/D93</f>
        <v>0.93539666988751591</v>
      </c>
      <c r="G93" s="5">
        <f>D93-J93-M93</f>
        <v>51632.313400079234</v>
      </c>
      <c r="I93" s="10">
        <f>J93/D93</f>
        <v>2.4232115413231826E-2</v>
      </c>
      <c r="J93" s="5">
        <f>+J118*C93</f>
        <v>1337.5717678290769</v>
      </c>
      <c r="L93" s="10">
        <f>M93/D93</f>
        <v>4.0371214699252214E-2</v>
      </c>
      <c r="M93" s="5">
        <f>+M118*C93</f>
        <v>2228.4227395681642</v>
      </c>
      <c r="O93" s="5">
        <f t="shared" si="8"/>
        <v>55198.307907476476</v>
      </c>
      <c r="P93" s="10">
        <f t="shared" si="23"/>
        <v>0.99999999999999989</v>
      </c>
      <c r="Q93" t="str">
        <f t="shared" si="10"/>
        <v xml:space="preserve"> </v>
      </c>
    </row>
    <row r="94" spans="1:17">
      <c r="A94">
        <v>5241</v>
      </c>
      <c r="B94" t="s">
        <v>314</v>
      </c>
      <c r="C94" s="10">
        <v>6.0000000000000001E-3</v>
      </c>
      <c r="D94" s="5">
        <f>'Cost Allocations-Contracts'!F94</f>
        <v>556.60893470606015</v>
      </c>
      <c r="F94" s="299">
        <f>G94/D94</f>
        <v>0.49751822818810826</v>
      </c>
      <c r="G94" s="5">
        <f>D94-J94-M94</f>
        <v>276.9230909886295</v>
      </c>
      <c r="I94" s="10">
        <f>J94/D94</f>
        <v>0.18847629474193364</v>
      </c>
      <c r="J94" s="5">
        <f>J118*C94</f>
        <v>104.90758963365309</v>
      </c>
      <c r="L94" s="10">
        <f>M94/D94</f>
        <v>0.31400547706995813</v>
      </c>
      <c r="M94" s="5">
        <f>M118*C94</f>
        <v>174.7782540837776</v>
      </c>
      <c r="O94" s="5">
        <f t="shared" si="8"/>
        <v>556.60893470606015</v>
      </c>
      <c r="P94" s="10">
        <f t="shared" si="23"/>
        <v>1</v>
      </c>
      <c r="Q94" t="str">
        <f t="shared" si="10"/>
        <v xml:space="preserve"> </v>
      </c>
    </row>
    <row r="95" spans="1:17">
      <c r="A95">
        <v>5242</v>
      </c>
      <c r="B95" t="s">
        <v>315</v>
      </c>
      <c r="C95" s="76">
        <v>1.2999999999999999E-3</v>
      </c>
      <c r="D95" s="5">
        <f>'Cost Allocations-Contracts'!F95</f>
        <v>5848.657637739002</v>
      </c>
      <c r="F95" s="299">
        <f>G95/D95</f>
        <v>0.98963888754898344</v>
      </c>
      <c r="G95" s="5">
        <f>D95-J95-M95</f>
        <v>5788.0590382668915</v>
      </c>
      <c r="I95" s="10">
        <f>J95/D95</f>
        <v>3.8863580605728899E-3</v>
      </c>
      <c r="J95" s="5">
        <f>J118*C95</f>
        <v>22.729977753958167</v>
      </c>
      <c r="L95" s="10">
        <f>M95/D95</f>
        <v>6.4747543904435509E-3</v>
      </c>
      <c r="M95" s="5">
        <f>M118*C95</f>
        <v>37.868621718151807</v>
      </c>
      <c r="O95" s="5">
        <f t="shared" si="8"/>
        <v>5848.657637739002</v>
      </c>
      <c r="P95" s="10">
        <f t="shared" si="23"/>
        <v>0.99999999999999989</v>
      </c>
      <c r="Q95" t="str">
        <f t="shared" si="10"/>
        <v xml:space="preserve"> </v>
      </c>
    </row>
    <row r="96" spans="1:17">
      <c r="A96">
        <v>5260</v>
      </c>
      <c r="B96" t="s">
        <v>316</v>
      </c>
      <c r="C96" s="10"/>
      <c r="D96" s="5">
        <f>'Cost Allocations-Contracts'!F96</f>
        <v>53210.55043799556</v>
      </c>
      <c r="F96" s="299">
        <f>+F22</f>
        <v>0.95725967295356151</v>
      </c>
      <c r="G96" s="5">
        <f t="shared" si="20"/>
        <v>50936.314109954619</v>
      </c>
      <c r="I96" s="10">
        <f>+I22</f>
        <v>1.2446465992705697E-2</v>
      </c>
      <c r="J96" s="5">
        <f t="shared" si="21"/>
        <v>662.283306479663</v>
      </c>
      <c r="L96" s="10">
        <f>+L22</f>
        <v>3.029386105373277E-2</v>
      </c>
      <c r="M96" s="5">
        <f t="shared" si="22"/>
        <v>1611.953021561277</v>
      </c>
      <c r="O96" s="5">
        <f t="shared" si="8"/>
        <v>53210.55043799556</v>
      </c>
      <c r="P96" s="10">
        <f t="shared" si="23"/>
        <v>1</v>
      </c>
      <c r="Q96" t="str">
        <f t="shared" si="10"/>
        <v xml:space="preserve"> </v>
      </c>
    </row>
    <row r="97" spans="1:18">
      <c r="A97">
        <v>5270</v>
      </c>
      <c r="B97" t="s">
        <v>317</v>
      </c>
      <c r="C97" s="14"/>
      <c r="D97" s="5">
        <f>'Cost Allocations-Contracts'!F97</f>
        <v>10854.68</v>
      </c>
      <c r="F97" s="297">
        <v>1</v>
      </c>
      <c r="G97" s="5">
        <f t="shared" si="20"/>
        <v>10854.68</v>
      </c>
      <c r="I97" s="14">
        <v>0</v>
      </c>
      <c r="J97" s="5">
        <f t="shared" si="21"/>
        <v>0</v>
      </c>
      <c r="L97" s="14">
        <v>0</v>
      </c>
      <c r="M97" s="5">
        <f t="shared" si="22"/>
        <v>0</v>
      </c>
      <c r="O97" s="5">
        <f t="shared" si="8"/>
        <v>10854.68</v>
      </c>
      <c r="P97" s="10">
        <f t="shared" si="23"/>
        <v>1</v>
      </c>
      <c r="Q97" t="str">
        <f t="shared" si="10"/>
        <v xml:space="preserve"> </v>
      </c>
    </row>
    <row r="98" spans="1:18">
      <c r="A98">
        <v>5290</v>
      </c>
      <c r="B98" t="s">
        <v>318</v>
      </c>
      <c r="C98" s="10"/>
      <c r="D98" s="5">
        <f>'Cost Allocations-Contracts'!F98</f>
        <v>239.91929936719404</v>
      </c>
      <c r="F98" s="299">
        <f>+F26</f>
        <v>0.96509475782314247</v>
      </c>
      <c r="G98" s="5">
        <f t="shared" si="20"/>
        <v>231.54485811988016</v>
      </c>
      <c r="I98" s="10">
        <f>+I26</f>
        <v>3.4905242176857545E-2</v>
      </c>
      <c r="J98" s="5">
        <f t="shared" si="21"/>
        <v>8.3744412473138929</v>
      </c>
      <c r="L98" s="10">
        <f>+L26</f>
        <v>0</v>
      </c>
      <c r="M98" s="5">
        <f t="shared" si="22"/>
        <v>0</v>
      </c>
      <c r="O98" s="5">
        <f t="shared" si="8"/>
        <v>239.91929936719404</v>
      </c>
      <c r="P98" s="10">
        <f t="shared" si="23"/>
        <v>1</v>
      </c>
      <c r="Q98" t="str">
        <f t="shared" si="10"/>
        <v xml:space="preserve"> </v>
      </c>
    </row>
    <row r="99" spans="1:18">
      <c r="A99" t="s">
        <v>319</v>
      </c>
      <c r="C99" s="10"/>
      <c r="D99" s="5"/>
      <c r="F99" s="10"/>
      <c r="G99" s="5"/>
      <c r="I99" s="10"/>
      <c r="J99" s="5"/>
      <c r="L99" s="10"/>
      <c r="M99" s="5"/>
      <c r="O99" s="5"/>
      <c r="P99" s="10"/>
    </row>
    <row r="100" spans="1:18">
      <c r="A100">
        <v>5320</v>
      </c>
      <c r="B100" t="s">
        <v>320</v>
      </c>
      <c r="C100" s="10"/>
      <c r="D100" s="5">
        <f>'Cost Allocations-Contracts'!F100</f>
        <v>82267.677219012316</v>
      </c>
      <c r="F100" s="297">
        <v>1</v>
      </c>
      <c r="G100" s="5">
        <f>+D100*F100</f>
        <v>82267.677219012316</v>
      </c>
      <c r="I100" s="14">
        <v>0</v>
      </c>
      <c r="J100" s="5">
        <f>+D100*I100</f>
        <v>0</v>
      </c>
      <c r="L100" s="14">
        <v>0</v>
      </c>
      <c r="M100" s="5">
        <f>+D100*L100</f>
        <v>0</v>
      </c>
      <c r="O100" s="5">
        <f>+G100+J100+M100</f>
        <v>82267.677219012316</v>
      </c>
      <c r="P100" s="10">
        <f>+F100+I100+L100</f>
        <v>1</v>
      </c>
      <c r="Q100" t="str">
        <f>IF(P100&lt;&gt;1,"ERR"," ")</f>
        <v xml:space="preserve"> </v>
      </c>
    </row>
    <row r="101" spans="1:18" ht="13.5" thickBot="1">
      <c r="A101">
        <v>5322</v>
      </c>
      <c r="B101" s="459" t="s">
        <v>321</v>
      </c>
      <c r="C101" s="11"/>
      <c r="D101" s="6">
        <f>'Cost Allocations-Contracts'!F101</f>
        <v>30840</v>
      </c>
      <c r="E101" s="4"/>
      <c r="F101" s="301">
        <v>0</v>
      </c>
      <c r="G101" s="6">
        <f>+D101*F101</f>
        <v>0</v>
      </c>
      <c r="H101" s="4"/>
      <c r="I101" s="11">
        <f>J18/(J18+M17)</f>
        <v>0.29121129511204469</v>
      </c>
      <c r="J101" s="6">
        <f>+D101*I101</f>
        <v>8980.956341255458</v>
      </c>
      <c r="K101" s="4"/>
      <c r="L101" s="11">
        <f>M17/(J18+M17)</f>
        <v>0.70878870488795531</v>
      </c>
      <c r="M101" s="6">
        <f>+D101*L101</f>
        <v>21859.04365874454</v>
      </c>
      <c r="N101" s="4"/>
      <c r="O101" s="6">
        <f t="shared" si="8"/>
        <v>30840</v>
      </c>
      <c r="P101" s="11">
        <f>+F101+I101+L101</f>
        <v>1</v>
      </c>
      <c r="Q101" t="str">
        <f>IF(P101&lt;&gt;1,"ERR"," ")</f>
        <v xml:space="preserve"> </v>
      </c>
      <c r="R101" s="459" t="s">
        <v>762</v>
      </c>
    </row>
    <row r="102" spans="1:18">
      <c r="C102" s="10"/>
      <c r="D102" s="5"/>
      <c r="F102" s="10"/>
      <c r="I102" s="10"/>
      <c r="L102" s="10"/>
      <c r="P102" s="10"/>
    </row>
    <row r="103" spans="1:18" ht="13.5" thickBot="1">
      <c r="B103" t="s">
        <v>322</v>
      </c>
      <c r="C103" s="11"/>
      <c r="D103" s="6">
        <f>SUM(D26:D101)</f>
        <v>2841297.8719656579</v>
      </c>
      <c r="E103" s="4"/>
      <c r="F103" s="11">
        <f>+G103/D103</f>
        <v>0.95470198349488067</v>
      </c>
      <c r="G103" s="6">
        <f>SUM(G26:G101)</f>
        <v>2712592.7140653972</v>
      </c>
      <c r="H103" s="4"/>
      <c r="I103" s="11">
        <f>+J103/D103</f>
        <v>1.5801523263975839E-2</v>
      </c>
      <c r="J103" s="6">
        <f>SUM(J26:J101)</f>
        <v>44896.834423750384</v>
      </c>
      <c r="K103" s="4"/>
      <c r="L103" s="11">
        <f>+M103/D103</f>
        <v>2.9496493241143496E-2</v>
      </c>
      <c r="M103" s="6">
        <f>SUM(M26:M101)</f>
        <v>83808.323476510428</v>
      </c>
      <c r="N103" s="4"/>
      <c r="O103" s="6">
        <f>SUM(O26:O101)</f>
        <v>2841297.8719656579</v>
      </c>
      <c r="P103" s="11">
        <f>+F103+I103+L103</f>
        <v>1</v>
      </c>
    </row>
    <row r="104" spans="1:18">
      <c r="C104" s="10"/>
      <c r="D104" s="5"/>
      <c r="F104" s="10"/>
      <c r="G104" s="5"/>
      <c r="I104" s="10"/>
      <c r="J104" s="5"/>
      <c r="L104" s="10"/>
      <c r="M104" s="5"/>
      <c r="O104" s="5"/>
      <c r="P104" s="10"/>
    </row>
    <row r="105" spans="1:18" ht="13.5" thickBot="1">
      <c r="B105" t="s">
        <v>323</v>
      </c>
      <c r="C105" s="13"/>
      <c r="D105" s="7">
        <f>+D22-D103</f>
        <v>150916.94803434191</v>
      </c>
      <c r="E105" s="12"/>
      <c r="F105" s="13">
        <f>+G105/D105</f>
        <v>1.0054130295563268</v>
      </c>
      <c r="G105" s="7">
        <f>+G22-G103</f>
        <v>151733.86593460245</v>
      </c>
      <c r="H105" s="12"/>
      <c r="I105" s="13">
        <f>+J105/D105</f>
        <v>-5.0718852477778721E-2</v>
      </c>
      <c r="J105" s="7">
        <f>+J22-J103</f>
        <v>-7654.3344237503843</v>
      </c>
      <c r="K105" s="12"/>
      <c r="L105" s="13">
        <f>+M105/D105</f>
        <v>4.5305822921450072E-2</v>
      </c>
      <c r="M105" s="7">
        <f>+M22-M103</f>
        <v>6837.4165234895772</v>
      </c>
      <c r="N105" s="12"/>
      <c r="O105" s="7">
        <f>+O22-O103</f>
        <v>150916.94803434191</v>
      </c>
      <c r="P105" s="13">
        <f>+F105+I105+L105</f>
        <v>0.99999999999999811</v>
      </c>
    </row>
    <row r="106" spans="1:18" ht="13.5" thickTop="1">
      <c r="C106" s="10"/>
      <c r="D106" s="5"/>
      <c r="F106" s="10"/>
      <c r="G106" s="5"/>
      <c r="I106" s="10"/>
      <c r="J106" s="5"/>
      <c r="L106" s="10"/>
      <c r="M106" s="5"/>
      <c r="O106" s="5"/>
      <c r="P106" s="10"/>
    </row>
    <row r="107" spans="1:18">
      <c r="B107" t="s">
        <v>324</v>
      </c>
      <c r="C107" s="10"/>
      <c r="D107" s="9">
        <f>+D103/D22</f>
        <v>0.94956346482023579</v>
      </c>
      <c r="F107" s="10"/>
      <c r="G107" s="9">
        <f>+G103/G22</f>
        <v>0.94702633875827025</v>
      </c>
      <c r="I107" s="10"/>
      <c r="J107" s="9">
        <f>+J103/J22</f>
        <v>1.2055268691347354</v>
      </c>
      <c r="L107" s="10"/>
      <c r="M107" s="9">
        <f>+M103/M22</f>
        <v>0.92456990782479598</v>
      </c>
      <c r="O107" s="9">
        <f>+O103/O22</f>
        <v>0.94956346482023579</v>
      </c>
      <c r="P107" s="10"/>
    </row>
    <row r="109" spans="1:18">
      <c r="J109" s="459" t="s">
        <v>14</v>
      </c>
    </row>
    <row r="118" spans="2:18">
      <c r="B118" s="459" t="s">
        <v>763</v>
      </c>
      <c r="D118" s="67">
        <f>+D26+D27+D28+D29+D30+D41+D42+D43+D44+D45+D65+D66+D67</f>
        <v>768314.94059892802</v>
      </c>
      <c r="G118" s="67">
        <f>+G26+G27+G28+G29+G30+G41+G42+G43+G44+G45+G65+G66+G67</f>
        <v>721700.63331268949</v>
      </c>
      <c r="J118" s="67">
        <f>+J26+J27+J28+J29+J30+J41+J42+J43+J44+J45+J65+J66+J67</f>
        <v>17484.598272275514</v>
      </c>
      <c r="M118" s="67">
        <f>+M26+M27+M28+M29+M30+M41+M42+M43+M44+M45+M65+M66+M67</f>
        <v>29129.709013962933</v>
      </c>
      <c r="R118" s="542">
        <f>SUM(G118+J118+M118)</f>
        <v>768314.9405989279</v>
      </c>
    </row>
  </sheetData>
  <mergeCells count="10">
    <mergeCell ref="C7:D7"/>
    <mergeCell ref="C8:D8"/>
    <mergeCell ref="I6:J6"/>
    <mergeCell ref="L6:M6"/>
    <mergeCell ref="F7:G7"/>
    <mergeCell ref="I7:J7"/>
    <mergeCell ref="L7:M7"/>
    <mergeCell ref="F8:G8"/>
    <mergeCell ref="I8:J8"/>
    <mergeCell ref="L8:M8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R107"/>
  <sheetViews>
    <sheetView topLeftCell="A70" workbookViewId="0">
      <selection activeCell="I3" sqref="I3"/>
    </sheetView>
  </sheetViews>
  <sheetFormatPr defaultRowHeight="12.75"/>
  <cols>
    <col min="1" max="1" width="5.42578125" customWidth="1"/>
    <col min="2" max="2" width="26.7109375" customWidth="1"/>
    <col min="3" max="3" width="14.140625" customWidth="1"/>
    <col min="4" max="4" width="3.5703125" customWidth="1"/>
    <col min="5" max="5" width="7.42578125" customWidth="1"/>
    <col min="6" max="6" width="12" customWidth="1"/>
    <col min="7" max="7" width="3.28515625" customWidth="1"/>
    <col min="9" max="9" width="11.140625" customWidth="1"/>
    <col min="10" max="10" width="3.42578125" customWidth="1"/>
    <col min="12" max="12" width="11.140625" customWidth="1"/>
    <col min="13" max="13" width="4.28515625" customWidth="1"/>
    <col min="14" max="14" width="12.5703125" customWidth="1"/>
  </cols>
  <sheetData>
    <row r="1" spans="1:16">
      <c r="A1" t="s">
        <v>4</v>
      </c>
    </row>
    <row r="3" spans="1:16">
      <c r="A3" s="459" t="s">
        <v>750</v>
      </c>
      <c r="E3" s="459"/>
      <c r="F3" s="459" t="s">
        <v>11</v>
      </c>
      <c r="G3" s="459" t="s">
        <v>12</v>
      </c>
    </row>
    <row r="5" spans="1:16">
      <c r="A5" s="459" t="s">
        <v>1420</v>
      </c>
    </row>
    <row r="6" spans="1:16">
      <c r="A6" s="459"/>
    </row>
    <row r="7" spans="1:16">
      <c r="A7" s="1"/>
      <c r="E7" s="790" t="s">
        <v>369</v>
      </c>
      <c r="F7" s="790"/>
      <c r="H7" s="790" t="s">
        <v>751</v>
      </c>
      <c r="I7" s="790"/>
      <c r="K7" s="790" t="s">
        <v>378</v>
      </c>
      <c r="L7" s="790"/>
    </row>
    <row r="8" spans="1:16">
      <c r="C8" s="530" t="s">
        <v>116</v>
      </c>
      <c r="E8" s="790" t="s">
        <v>376</v>
      </c>
      <c r="F8" s="790"/>
      <c r="H8" s="790" t="s">
        <v>376</v>
      </c>
      <c r="I8" s="790"/>
      <c r="K8" s="790" t="s">
        <v>376</v>
      </c>
      <c r="L8" s="790"/>
      <c r="N8" s="530" t="s">
        <v>27</v>
      </c>
      <c r="O8" s="530" t="s">
        <v>27</v>
      </c>
    </row>
    <row r="9" spans="1:16" ht="13.5" thickBot="1">
      <c r="C9" s="2" t="s">
        <v>228</v>
      </c>
      <c r="D9" s="2"/>
      <c r="E9" s="2" t="s">
        <v>392</v>
      </c>
      <c r="F9" s="2" t="s">
        <v>174</v>
      </c>
      <c r="G9" s="2"/>
      <c r="H9" s="2" t="s">
        <v>392</v>
      </c>
      <c r="I9" s="2" t="s">
        <v>174</v>
      </c>
      <c r="J9" s="2"/>
      <c r="K9" s="2" t="s">
        <v>392</v>
      </c>
      <c r="L9" s="2" t="s">
        <v>174</v>
      </c>
      <c r="M9" s="2"/>
      <c r="N9" s="2" t="s">
        <v>174</v>
      </c>
      <c r="O9" s="2" t="s">
        <v>392</v>
      </c>
    </row>
    <row r="10" spans="1:16" ht="13.5" thickTop="1"/>
    <row r="11" spans="1:16">
      <c r="A11" t="s">
        <v>230</v>
      </c>
    </row>
    <row r="12" spans="1:16">
      <c r="A12">
        <v>3100</v>
      </c>
      <c r="B12" t="s">
        <v>231</v>
      </c>
      <c r="C12" s="5">
        <f>+'Results of Operations Co'!J11</f>
        <v>2122236.2999999998</v>
      </c>
      <c r="E12" s="14">
        <v>1</v>
      </c>
      <c r="F12" s="5">
        <f>+C12*E12</f>
        <v>2122236.2999999998</v>
      </c>
      <c r="H12" s="10"/>
      <c r="I12" s="5">
        <f>+C12*H12</f>
        <v>0</v>
      </c>
      <c r="K12" s="10"/>
      <c r="L12" s="5">
        <f>+C12*K12</f>
        <v>0</v>
      </c>
      <c r="M12" s="5"/>
      <c r="N12" s="5">
        <f>+F12+I12+L12</f>
        <v>2122236.2999999998</v>
      </c>
      <c r="O12" s="10">
        <f>+E12+H12+K12</f>
        <v>1</v>
      </c>
      <c r="P12" t="str">
        <f t="shared" ref="P12:P20" si="0">IF(O12&lt;&gt;1,"ERR"," ")</f>
        <v xml:space="preserve"> </v>
      </c>
    </row>
    <row r="13" spans="1:16">
      <c r="A13">
        <v>3112</v>
      </c>
      <c r="B13" t="s">
        <v>232</v>
      </c>
      <c r="C13" s="5">
        <f>+'Results of Operations Co'!J12</f>
        <v>314654.19424999994</v>
      </c>
      <c r="E13" s="14"/>
      <c r="F13" s="5">
        <f t="shared" ref="F13:F20" si="1">+C13*E13</f>
        <v>0</v>
      </c>
      <c r="H13" s="14">
        <v>1</v>
      </c>
      <c r="I13" s="5">
        <f t="shared" ref="I13:I20" si="2">+C13*H13</f>
        <v>314654.19424999994</v>
      </c>
      <c r="K13" s="10"/>
      <c r="L13" s="5">
        <f t="shared" ref="L13:L20" si="3">+C13*K13</f>
        <v>0</v>
      </c>
      <c r="M13" s="5"/>
      <c r="N13" s="5">
        <f t="shared" ref="N13:N20" si="4">+F13+I13+L13</f>
        <v>314654.19424999994</v>
      </c>
      <c r="O13" s="10">
        <f t="shared" ref="O13:O20" si="5">+E13+H13+K13</f>
        <v>1</v>
      </c>
      <c r="P13" t="str">
        <f t="shared" si="0"/>
        <v xml:space="preserve"> </v>
      </c>
    </row>
    <row r="14" spans="1:16">
      <c r="A14">
        <v>3114</v>
      </c>
      <c r="B14" t="s">
        <v>233</v>
      </c>
      <c r="C14" s="5">
        <f>+'Results of Operations Co'!J13</f>
        <v>115021.26999999999</v>
      </c>
      <c r="E14" s="14"/>
      <c r="F14" s="5">
        <f t="shared" si="1"/>
        <v>0</v>
      </c>
      <c r="H14" s="10"/>
      <c r="I14" s="5">
        <f t="shared" si="2"/>
        <v>0</v>
      </c>
      <c r="K14" s="14">
        <v>1</v>
      </c>
      <c r="L14" s="5">
        <f t="shared" si="3"/>
        <v>115021.26999999999</v>
      </c>
      <c r="M14" s="5"/>
      <c r="N14" s="5">
        <f t="shared" si="4"/>
        <v>115021.26999999999</v>
      </c>
      <c r="O14" s="10">
        <f t="shared" si="5"/>
        <v>1</v>
      </c>
      <c r="P14" t="str">
        <f t="shared" si="0"/>
        <v xml:space="preserve"> </v>
      </c>
    </row>
    <row r="15" spans="1:16">
      <c r="A15">
        <v>3300</v>
      </c>
      <c r="B15" t="s">
        <v>234</v>
      </c>
      <c r="C15" s="5">
        <f>+'Results of Operations Co'!J14</f>
        <v>275552.33999999997</v>
      </c>
      <c r="E15" s="14">
        <v>1</v>
      </c>
      <c r="F15" s="5">
        <f t="shared" si="1"/>
        <v>275552.33999999997</v>
      </c>
      <c r="H15" s="10"/>
      <c r="I15" s="5">
        <f t="shared" si="2"/>
        <v>0</v>
      </c>
      <c r="K15" s="10"/>
      <c r="L15" s="5">
        <f t="shared" si="3"/>
        <v>0</v>
      </c>
      <c r="M15" s="5"/>
      <c r="N15" s="5">
        <f t="shared" si="4"/>
        <v>275552.33999999997</v>
      </c>
      <c r="O15" s="10">
        <f t="shared" si="5"/>
        <v>1</v>
      </c>
      <c r="P15" t="str">
        <f t="shared" si="0"/>
        <v xml:space="preserve"> </v>
      </c>
    </row>
    <row r="16" spans="1:16">
      <c r="A16">
        <v>3310</v>
      </c>
      <c r="B16" t="s">
        <v>235</v>
      </c>
      <c r="C16" s="5">
        <f>+'Results of Operations Co'!J15</f>
        <v>466537.93999999994</v>
      </c>
      <c r="E16" s="14">
        <v>1</v>
      </c>
      <c r="F16" s="5">
        <f t="shared" si="1"/>
        <v>466537.93999999994</v>
      </c>
      <c r="H16" s="10"/>
      <c r="I16" s="5">
        <f t="shared" si="2"/>
        <v>0</v>
      </c>
      <c r="K16" s="10"/>
      <c r="L16" s="5">
        <f t="shared" si="3"/>
        <v>0</v>
      </c>
      <c r="M16" s="5"/>
      <c r="N16" s="5">
        <f t="shared" si="4"/>
        <v>466537.93999999994</v>
      </c>
      <c r="O16" s="10">
        <f t="shared" si="5"/>
        <v>1</v>
      </c>
      <c r="P16" t="str">
        <f t="shared" si="0"/>
        <v xml:space="preserve"> </v>
      </c>
    </row>
    <row r="17" spans="1:18">
      <c r="A17">
        <v>3510</v>
      </c>
      <c r="B17" t="s">
        <v>236</v>
      </c>
      <c r="C17" s="5">
        <f>+'Results of Operations Co'!J16</f>
        <v>90645.74</v>
      </c>
      <c r="E17" s="14">
        <v>1</v>
      </c>
      <c r="F17" s="5">
        <f t="shared" si="1"/>
        <v>90645.74</v>
      </c>
      <c r="H17" s="10"/>
      <c r="I17" s="5">
        <f t="shared" si="2"/>
        <v>0</v>
      </c>
      <c r="K17" s="10"/>
      <c r="L17" s="5">
        <f t="shared" si="3"/>
        <v>0</v>
      </c>
      <c r="M17" s="5"/>
      <c r="N17" s="5">
        <f t="shared" si="4"/>
        <v>90645.74</v>
      </c>
      <c r="O17" s="10">
        <f t="shared" si="5"/>
        <v>1</v>
      </c>
      <c r="P17" t="str">
        <f t="shared" si="0"/>
        <v xml:space="preserve"> </v>
      </c>
    </row>
    <row r="18" spans="1:18">
      <c r="A18">
        <v>3550</v>
      </c>
      <c r="B18" t="s">
        <v>237</v>
      </c>
      <c r="C18" s="5">
        <f>+'Results of Operations Co'!J17</f>
        <v>37242.5</v>
      </c>
      <c r="E18" s="14">
        <v>1</v>
      </c>
      <c r="F18" s="5">
        <f t="shared" si="1"/>
        <v>37242.5</v>
      </c>
      <c r="H18" s="10"/>
      <c r="I18" s="5">
        <f t="shared" si="2"/>
        <v>0</v>
      </c>
      <c r="K18" s="10"/>
      <c r="L18" s="5">
        <f t="shared" si="3"/>
        <v>0</v>
      </c>
      <c r="M18" s="5"/>
      <c r="N18" s="5">
        <f t="shared" si="4"/>
        <v>37242.5</v>
      </c>
      <c r="O18" s="10">
        <f t="shared" si="5"/>
        <v>1</v>
      </c>
      <c r="P18" t="str">
        <f t="shared" si="0"/>
        <v xml:space="preserve"> </v>
      </c>
    </row>
    <row r="19" spans="1:18">
      <c r="A19">
        <v>3400</v>
      </c>
      <c r="B19" t="s">
        <v>238</v>
      </c>
      <c r="C19" s="5">
        <f>+'Results of Operations Co'!J18</f>
        <v>0</v>
      </c>
      <c r="E19" s="14"/>
      <c r="F19" s="5">
        <f t="shared" si="1"/>
        <v>0</v>
      </c>
      <c r="H19" s="10"/>
      <c r="I19" s="5">
        <f t="shared" si="2"/>
        <v>0</v>
      </c>
      <c r="K19" s="10"/>
      <c r="L19" s="5">
        <f t="shared" si="3"/>
        <v>0</v>
      </c>
      <c r="M19" s="5"/>
      <c r="N19" s="5">
        <f t="shared" si="4"/>
        <v>0</v>
      </c>
      <c r="O19" s="10">
        <f t="shared" si="5"/>
        <v>0</v>
      </c>
      <c r="P19" t="str">
        <f t="shared" si="0"/>
        <v>ERR</v>
      </c>
    </row>
    <row r="20" spans="1:18" ht="13.5" thickBot="1">
      <c r="A20">
        <v>3500</v>
      </c>
      <c r="B20" t="s">
        <v>239</v>
      </c>
      <c r="C20" s="6">
        <f>+'Results of Operations Co'!J19</f>
        <v>0</v>
      </c>
      <c r="D20" s="4"/>
      <c r="E20" s="23">
        <v>1</v>
      </c>
      <c r="F20" s="6">
        <f t="shared" si="1"/>
        <v>0</v>
      </c>
      <c r="G20" s="4"/>
      <c r="H20" s="11"/>
      <c r="I20" s="6">
        <f t="shared" si="2"/>
        <v>0</v>
      </c>
      <c r="J20" s="4"/>
      <c r="K20" s="11"/>
      <c r="L20" s="6">
        <f t="shared" si="3"/>
        <v>0</v>
      </c>
      <c r="M20" s="6"/>
      <c r="N20" s="6">
        <f t="shared" si="4"/>
        <v>0</v>
      </c>
      <c r="O20" s="11">
        <f t="shared" si="5"/>
        <v>1</v>
      </c>
      <c r="P20" t="str">
        <f t="shared" si="0"/>
        <v xml:space="preserve"> </v>
      </c>
    </row>
    <row r="21" spans="1:18">
      <c r="C21" s="5"/>
      <c r="E21" s="10"/>
      <c r="H21" s="10"/>
      <c r="K21" s="10"/>
      <c r="O21" s="10"/>
    </row>
    <row r="22" spans="1:18" ht="13.5" thickBot="1">
      <c r="B22" t="s">
        <v>240</v>
      </c>
      <c r="C22" s="6">
        <f>SUM(C12:C20)</f>
        <v>3421890.2842499996</v>
      </c>
      <c r="D22" s="4"/>
      <c r="E22" s="11">
        <f>+F22/C22</f>
        <v>0.87443330190109392</v>
      </c>
      <c r="F22" s="6">
        <f>SUM(F12:F20)</f>
        <v>2992214.82</v>
      </c>
      <c r="G22" s="4"/>
      <c r="H22" s="11">
        <f>+I22/C22</f>
        <v>9.1953326410921146E-2</v>
      </c>
      <c r="I22" s="6">
        <f>SUM(I12:I20)</f>
        <v>314654.19424999994</v>
      </c>
      <c r="J22" s="4"/>
      <c r="K22" s="11">
        <f>+L22/C22</f>
        <v>3.3613371687985033E-2</v>
      </c>
      <c r="L22" s="6">
        <f>SUM(L12:L20)</f>
        <v>115021.26999999999</v>
      </c>
      <c r="M22" s="4"/>
      <c r="N22" s="6">
        <f>SUM(N12:N20)</f>
        <v>3421890.2842499996</v>
      </c>
      <c r="O22" s="11">
        <f>+E22+H22+K22</f>
        <v>1</v>
      </c>
    </row>
    <row r="23" spans="1:18">
      <c r="C23" s="5"/>
      <c r="E23" s="10"/>
      <c r="H23" s="10"/>
      <c r="K23" s="10"/>
      <c r="O23" s="10"/>
    </row>
    <row r="24" spans="1:18">
      <c r="A24" t="s">
        <v>241</v>
      </c>
      <c r="C24" s="5"/>
      <c r="E24" s="284" t="s">
        <v>752</v>
      </c>
      <c r="F24" s="284"/>
      <c r="G24" s="284"/>
      <c r="H24" s="299"/>
      <c r="K24" s="10"/>
      <c r="O24" s="10"/>
    </row>
    <row r="25" spans="1:18">
      <c r="A25" t="s">
        <v>242</v>
      </c>
      <c r="C25" s="5"/>
      <c r="E25" s="300" t="s">
        <v>753</v>
      </c>
      <c r="F25" s="304"/>
      <c r="G25" s="304"/>
      <c r="H25" s="300"/>
      <c r="K25" s="10"/>
      <c r="O25" s="10"/>
    </row>
    <row r="26" spans="1:18">
      <c r="A26">
        <v>4116</v>
      </c>
      <c r="B26" t="s">
        <v>243</v>
      </c>
      <c r="C26" s="5">
        <f>+'Results of Operations Co'!J25</f>
        <v>128214.31999999999</v>
      </c>
      <c r="E26" s="540">
        <f>+'Allocations-Hours &amp; Miles'!D25</f>
        <v>0.87268768866286206</v>
      </c>
      <c r="F26" s="5">
        <f t="shared" ref="F26:F101" si="6">+C26*E26</f>
        <v>111891.05857428056</v>
      </c>
      <c r="H26" s="10">
        <f>+'Allocations-Hours &amp; Miles'!E25</f>
        <v>9.2241138316527235E-2</v>
      </c>
      <c r="I26" s="5">
        <f>+C26*H26</f>
        <v>11826.634825279483</v>
      </c>
      <c r="K26" s="10">
        <f>+'Allocations-Hours &amp; Miles'!F25</f>
        <v>3.507117302061067E-2</v>
      </c>
      <c r="L26" s="5">
        <f t="shared" ref="L26:L101" si="7">+C26*K26</f>
        <v>4496.6266004399431</v>
      </c>
      <c r="N26" s="5">
        <f t="shared" ref="N26:N101" si="8">+F26+I26+L26</f>
        <v>128214.31999999998</v>
      </c>
      <c r="O26" s="10">
        <f t="shared" ref="O26:O39" si="9">+E26+H26+K26</f>
        <v>1</v>
      </c>
      <c r="P26" t="str">
        <f t="shared" ref="P26:P101" si="10">IF(O26&lt;&gt;1,"ERR"," ")</f>
        <v xml:space="preserve"> </v>
      </c>
    </row>
    <row r="27" spans="1:18">
      <c r="A27">
        <v>4117</v>
      </c>
      <c r="B27" t="s">
        <v>754</v>
      </c>
      <c r="C27" s="5">
        <f>+'Results of Operations Co'!J26</f>
        <v>1875.4300000000003</v>
      </c>
      <c r="E27" s="297">
        <v>1</v>
      </c>
      <c r="F27" s="5">
        <f>+C27*E27</f>
        <v>1875.4300000000003</v>
      </c>
      <c r="H27" s="14">
        <f>+'Allocations-Hours &amp; Miles'!E26</f>
        <v>0</v>
      </c>
      <c r="I27" s="5">
        <f>+C27*H27</f>
        <v>0</v>
      </c>
      <c r="K27" s="14">
        <f>+'Allocations-Hours &amp; Miles'!F26</f>
        <v>0</v>
      </c>
      <c r="L27" s="5">
        <f>+C27*K27</f>
        <v>0</v>
      </c>
      <c r="N27" s="5">
        <f>+F27+I27+L27</f>
        <v>1875.4300000000003</v>
      </c>
      <c r="O27" s="10">
        <f t="shared" si="9"/>
        <v>1</v>
      </c>
      <c r="P27" t="str">
        <f t="shared" si="10"/>
        <v xml:space="preserve"> </v>
      </c>
    </row>
    <row r="28" spans="1:18">
      <c r="A28">
        <v>4118</v>
      </c>
      <c r="B28" t="s">
        <v>246</v>
      </c>
      <c r="C28" s="5">
        <f>+'Results of Operations Co'!J27</f>
        <v>9680.5999999999985</v>
      </c>
      <c r="E28" s="540">
        <f>+'Container Count'!K27</f>
        <v>0.91930116472545753</v>
      </c>
      <c r="F28" s="5">
        <f t="shared" si="6"/>
        <v>8899.3868552412623</v>
      </c>
      <c r="H28" s="531">
        <f>+'Container Count'!K23</f>
        <v>5.6572379367720464E-2</v>
      </c>
      <c r="I28" s="5">
        <f t="shared" ref="I28:I101" si="11">+C28*H28</f>
        <v>547.65457570715466</v>
      </c>
      <c r="K28" s="24">
        <f>+'Container Count'!K25</f>
        <v>2.4126455906821963E-2</v>
      </c>
      <c r="L28" s="5">
        <f t="shared" si="7"/>
        <v>233.55856905158066</v>
      </c>
      <c r="N28" s="5">
        <f t="shared" si="8"/>
        <v>9680.5999999999967</v>
      </c>
      <c r="O28" s="10">
        <f t="shared" si="9"/>
        <v>0.99999999999999989</v>
      </c>
      <c r="P28" t="str">
        <f t="shared" si="10"/>
        <v xml:space="preserve"> </v>
      </c>
    </row>
    <row r="29" spans="1:18">
      <c r="A29">
        <v>4120</v>
      </c>
      <c r="B29" t="s">
        <v>247</v>
      </c>
      <c r="C29" s="5">
        <f>+'Results of Operations Co'!J28</f>
        <v>0</v>
      </c>
      <c r="E29" s="540">
        <f>+E27</f>
        <v>1</v>
      </c>
      <c r="F29" s="5">
        <f>+C29*E29</f>
        <v>0</v>
      </c>
      <c r="H29" s="531">
        <f>+'Container Count'!K24</f>
        <v>0</v>
      </c>
      <c r="I29" s="5">
        <f>+C29*H29</f>
        <v>0</v>
      </c>
      <c r="K29" s="24">
        <f>+'Container Count'!K26</f>
        <v>0</v>
      </c>
      <c r="L29" s="5">
        <f>+C29*K29</f>
        <v>0</v>
      </c>
      <c r="N29" s="5">
        <f>+F29+I29+L29</f>
        <v>0</v>
      </c>
      <c r="O29" s="10">
        <f t="shared" si="9"/>
        <v>1</v>
      </c>
      <c r="P29" t="str">
        <f t="shared" si="10"/>
        <v xml:space="preserve"> </v>
      </c>
    </row>
    <row r="30" spans="1:18">
      <c r="A30">
        <v>4122</v>
      </c>
      <c r="B30" t="s">
        <v>248</v>
      </c>
      <c r="C30" s="5">
        <f>+'Results of Operations Co'!J29</f>
        <v>2463.7900000000004</v>
      </c>
      <c r="E30" s="298">
        <v>1</v>
      </c>
      <c r="F30" s="5">
        <f>+C30*E30</f>
        <v>2463.7900000000004</v>
      </c>
      <c r="H30" s="531">
        <v>0</v>
      </c>
      <c r="I30" s="5">
        <f>+C30*H30</f>
        <v>0</v>
      </c>
      <c r="K30" s="24">
        <v>0</v>
      </c>
      <c r="L30" s="5">
        <f>+C30*K30</f>
        <v>0</v>
      </c>
      <c r="N30" s="5">
        <f>+F30+I30+L30</f>
        <v>2463.7900000000004</v>
      </c>
      <c r="O30" s="10">
        <f t="shared" si="9"/>
        <v>1</v>
      </c>
      <c r="P30" t="str">
        <f>IF(O30&lt;&gt;1,"ERR"," ")</f>
        <v xml:space="preserve"> </v>
      </c>
    </row>
    <row r="31" spans="1:18">
      <c r="A31">
        <v>4132</v>
      </c>
      <c r="B31" t="s">
        <v>249</v>
      </c>
      <c r="C31" s="5">
        <f>+'Results of Operations Co'!J30</f>
        <v>72403.460000000006</v>
      </c>
      <c r="E31" s="299">
        <f>+E26</f>
        <v>0.87268768866286206</v>
      </c>
      <c r="F31" s="5">
        <f>+C31*E31</f>
        <v>63185.60815859399</v>
      </c>
      <c r="H31" s="10">
        <f>+H26</f>
        <v>9.2241138316527235E-2</v>
      </c>
      <c r="I31" s="5">
        <f t="shared" si="11"/>
        <v>6678.5775684551472</v>
      </c>
      <c r="K31" s="10">
        <f>+K26</f>
        <v>3.507117302061067E-2</v>
      </c>
      <c r="L31" s="5">
        <f t="shared" si="7"/>
        <v>2539.2742729508641</v>
      </c>
      <c r="N31" s="5">
        <f t="shared" si="8"/>
        <v>72403.459999999992</v>
      </c>
      <c r="O31" s="10">
        <f t="shared" si="9"/>
        <v>1</v>
      </c>
      <c r="P31" t="str">
        <f t="shared" si="10"/>
        <v xml:space="preserve"> </v>
      </c>
      <c r="R31" s="459" t="s">
        <v>14</v>
      </c>
    </row>
    <row r="32" spans="1:18">
      <c r="A32">
        <v>4133</v>
      </c>
      <c r="B32" t="s">
        <v>250</v>
      </c>
      <c r="C32" s="5">
        <f>+'Results of Operations Co'!J31</f>
        <v>13243.509999999998</v>
      </c>
      <c r="E32" s="299">
        <f>+E27</f>
        <v>1</v>
      </c>
      <c r="F32" s="5">
        <f>+C32*E32</f>
        <v>13243.509999999998</v>
      </c>
      <c r="H32" s="10">
        <f>+H27</f>
        <v>0</v>
      </c>
      <c r="I32" s="5">
        <f>+C32*H32</f>
        <v>0</v>
      </c>
      <c r="K32" s="10">
        <f>+K27</f>
        <v>0</v>
      </c>
      <c r="L32" s="5">
        <f>+C32*K32</f>
        <v>0</v>
      </c>
      <c r="N32" s="5">
        <f>+F32+I32+L32</f>
        <v>13243.509999999998</v>
      </c>
      <c r="O32" s="10">
        <f t="shared" si="9"/>
        <v>1</v>
      </c>
      <c r="P32" t="str">
        <f t="shared" si="10"/>
        <v xml:space="preserve"> </v>
      </c>
    </row>
    <row r="33" spans="1:16">
      <c r="A33">
        <v>4134</v>
      </c>
      <c r="B33" t="s">
        <v>251</v>
      </c>
      <c r="C33" s="5">
        <f>+'Results of Operations Co'!J32</f>
        <v>13343.75</v>
      </c>
      <c r="E33" s="299">
        <f>+E28</f>
        <v>0.91930116472545753</v>
      </c>
      <c r="F33" s="5">
        <f t="shared" si="6"/>
        <v>12266.924916805325</v>
      </c>
      <c r="H33" s="10">
        <f>+H28</f>
        <v>5.6572379367720464E-2</v>
      </c>
      <c r="I33" s="5">
        <f t="shared" si="11"/>
        <v>754.88768718801998</v>
      </c>
      <c r="K33" s="10">
        <f>+K28</f>
        <v>2.4126455906821963E-2</v>
      </c>
      <c r="L33" s="5">
        <f t="shared" si="7"/>
        <v>321.93739600665555</v>
      </c>
      <c r="N33" s="5">
        <f t="shared" si="8"/>
        <v>13343.75</v>
      </c>
      <c r="O33" s="10">
        <f t="shared" si="9"/>
        <v>0.99999999999999989</v>
      </c>
      <c r="P33" t="str">
        <f t="shared" si="10"/>
        <v xml:space="preserve"> </v>
      </c>
    </row>
    <row r="34" spans="1:16">
      <c r="A34">
        <v>4136</v>
      </c>
      <c r="B34" t="s">
        <v>252</v>
      </c>
      <c r="C34" s="5">
        <f>+'Results of Operations Co'!J33</f>
        <v>37.83</v>
      </c>
      <c r="E34" s="299">
        <f>+E27</f>
        <v>1</v>
      </c>
      <c r="F34" s="5">
        <f>+C34*E34</f>
        <v>37.83</v>
      </c>
      <c r="H34" s="10">
        <f>+H29</f>
        <v>0</v>
      </c>
      <c r="I34" s="5">
        <f>+C34*H34</f>
        <v>0</v>
      </c>
      <c r="K34" s="10">
        <f>+K29</f>
        <v>0</v>
      </c>
      <c r="L34" s="5">
        <f>+C34*K34</f>
        <v>0</v>
      </c>
      <c r="N34" s="5">
        <f>+F34+I34+L34</f>
        <v>37.83</v>
      </c>
      <c r="O34" s="10">
        <f t="shared" si="9"/>
        <v>1</v>
      </c>
      <c r="P34" t="str">
        <f t="shared" si="10"/>
        <v xml:space="preserve"> </v>
      </c>
    </row>
    <row r="35" spans="1:16">
      <c r="A35">
        <v>4138</v>
      </c>
      <c r="B35" t="s">
        <v>253</v>
      </c>
      <c r="C35" s="5">
        <f>+'Results of Operations Co'!J34</f>
        <v>0</v>
      </c>
      <c r="E35" s="299">
        <f>+E30</f>
        <v>1</v>
      </c>
      <c r="F35" s="5">
        <f>+C35*E35</f>
        <v>0</v>
      </c>
      <c r="H35" s="10">
        <f>+H30</f>
        <v>0</v>
      </c>
      <c r="I35" s="5">
        <f>+C35*H35</f>
        <v>0</v>
      </c>
      <c r="K35" s="10">
        <f>+K30</f>
        <v>0</v>
      </c>
      <c r="L35" s="5">
        <f>+C35*K35</f>
        <v>0</v>
      </c>
      <c r="N35" s="5">
        <f>+F35+I35+L35</f>
        <v>0</v>
      </c>
      <c r="O35" s="10">
        <f t="shared" si="9"/>
        <v>1</v>
      </c>
      <c r="P35" t="str">
        <f>IF(O35&lt;&gt;1,"ERR"," ")</f>
        <v xml:space="preserve"> </v>
      </c>
    </row>
    <row r="36" spans="1:16">
      <c r="A36">
        <v>4160</v>
      </c>
      <c r="B36" t="s">
        <v>254</v>
      </c>
      <c r="C36" s="5">
        <f>+'Results of Operations Co'!J35</f>
        <v>23746.66</v>
      </c>
      <c r="E36" s="540">
        <f>+'Allocations-Hours &amp; Miles'!D71</f>
        <v>0.86917365093368626</v>
      </c>
      <c r="F36" s="5">
        <f t="shared" si="6"/>
        <v>20639.971169680932</v>
      </c>
      <c r="H36" s="531">
        <f>+'Allocations-Hours &amp; Miles'!E71</f>
        <v>8.6641670342596677E-2</v>
      </c>
      <c r="I36" s="5">
        <f t="shared" si="11"/>
        <v>2057.450287457727</v>
      </c>
      <c r="K36" s="531">
        <f>+'Allocations-Hours &amp; Miles'!F71</f>
        <v>4.4184678723717098E-2</v>
      </c>
      <c r="L36" s="5">
        <f t="shared" si="7"/>
        <v>1049.2385428613438</v>
      </c>
      <c r="N36" s="5">
        <f t="shared" si="8"/>
        <v>23746.660000000003</v>
      </c>
      <c r="O36" s="10">
        <f t="shared" si="9"/>
        <v>1</v>
      </c>
      <c r="P36" t="str">
        <f t="shared" si="10"/>
        <v xml:space="preserve"> </v>
      </c>
    </row>
    <row r="37" spans="1:16">
      <c r="A37">
        <v>4161</v>
      </c>
      <c r="B37" t="s">
        <v>256</v>
      </c>
      <c r="C37" s="5">
        <f>+'Results of Operations Co'!J36</f>
        <v>0</v>
      </c>
      <c r="E37" s="540">
        <f>+E27</f>
        <v>1</v>
      </c>
      <c r="F37" s="5">
        <f>+C37*E37</f>
        <v>0</v>
      </c>
      <c r="H37" s="531">
        <f>+'Allocations-Hours &amp; Miles'!E72</f>
        <v>0</v>
      </c>
      <c r="I37" s="5">
        <f>+C37*H37</f>
        <v>0</v>
      </c>
      <c r="K37" s="531">
        <f>+'Allocations-Hours &amp; Miles'!F72</f>
        <v>0</v>
      </c>
      <c r="L37" s="5">
        <f>+C37*K37</f>
        <v>0</v>
      </c>
      <c r="N37" s="5">
        <f>+F37+I37+L37</f>
        <v>0</v>
      </c>
      <c r="O37" s="10">
        <f t="shared" si="9"/>
        <v>1</v>
      </c>
      <c r="P37" t="str">
        <f t="shared" si="10"/>
        <v xml:space="preserve"> </v>
      </c>
    </row>
    <row r="38" spans="1:16">
      <c r="A38">
        <v>4162</v>
      </c>
      <c r="B38" t="s">
        <v>257</v>
      </c>
      <c r="C38" s="5">
        <f>+'Results of Operations Co'!J37</f>
        <v>0</v>
      </c>
      <c r="E38" s="540">
        <v>1</v>
      </c>
      <c r="F38" s="5">
        <f>+C38*E38</f>
        <v>0</v>
      </c>
      <c r="H38" s="531">
        <f>+'Allocations-Hours &amp; Miles'!E73</f>
        <v>0</v>
      </c>
      <c r="I38" s="5">
        <f>+C38*H38</f>
        <v>0</v>
      </c>
      <c r="K38" s="531">
        <f>+'Allocations-Hours &amp; Miles'!F73</f>
        <v>0</v>
      </c>
      <c r="L38" s="5">
        <f>+C38*K38</f>
        <v>0</v>
      </c>
      <c r="N38" s="5">
        <f>+F38+I38+L38</f>
        <v>0</v>
      </c>
      <c r="O38" s="10">
        <f t="shared" si="9"/>
        <v>1</v>
      </c>
      <c r="P38" t="str">
        <f>IF(O38&lt;&gt;1,"ERR"," ")</f>
        <v xml:space="preserve"> </v>
      </c>
    </row>
    <row r="39" spans="1:16">
      <c r="A39">
        <v>4180</v>
      </c>
      <c r="B39" t="s">
        <v>258</v>
      </c>
      <c r="C39" s="5">
        <f>+'Results of Operations Co'!J38</f>
        <v>15162.140000000001</v>
      </c>
      <c r="E39" s="299">
        <f>+E26</f>
        <v>0.87268768866286206</v>
      </c>
      <c r="F39" s="5">
        <f t="shared" si="6"/>
        <v>13231.812911782728</v>
      </c>
      <c r="H39" s="10">
        <f>+H26</f>
        <v>9.2241138316527235E-2</v>
      </c>
      <c r="I39" s="5">
        <f t="shared" si="11"/>
        <v>1398.5730529145503</v>
      </c>
      <c r="K39" s="10">
        <f>+K26</f>
        <v>3.507117302061067E-2</v>
      </c>
      <c r="L39" s="5">
        <f t="shared" si="7"/>
        <v>531.75403530272195</v>
      </c>
      <c r="N39" s="5">
        <f t="shared" si="8"/>
        <v>15162.14</v>
      </c>
      <c r="O39" s="10">
        <f t="shared" si="9"/>
        <v>1</v>
      </c>
      <c r="P39" t="str">
        <f t="shared" si="10"/>
        <v xml:space="preserve"> </v>
      </c>
    </row>
    <row r="40" spans="1:16">
      <c r="A40" t="s">
        <v>259</v>
      </c>
      <c r="C40" s="5"/>
      <c r="E40" s="10"/>
      <c r="F40" s="5"/>
      <c r="H40" s="10"/>
      <c r="I40" s="5"/>
      <c r="K40" s="10"/>
      <c r="L40" s="5"/>
      <c r="N40" s="5"/>
      <c r="O40" s="10"/>
    </row>
    <row r="41" spans="1:16">
      <c r="A41">
        <v>4210</v>
      </c>
      <c r="B41" t="s">
        <v>260</v>
      </c>
      <c r="C41" s="5">
        <f>+'Results of Operations Co'!J40</f>
        <v>0</v>
      </c>
      <c r="E41" s="299">
        <f>+E26</f>
        <v>0.87268768866286206</v>
      </c>
      <c r="F41" s="5">
        <f t="shared" si="6"/>
        <v>0</v>
      </c>
      <c r="H41" s="10">
        <f>+H26</f>
        <v>9.2241138316527235E-2</v>
      </c>
      <c r="I41" s="5">
        <f t="shared" si="11"/>
        <v>0</v>
      </c>
      <c r="K41" s="10">
        <f>+K26</f>
        <v>3.507117302061067E-2</v>
      </c>
      <c r="L41" s="5">
        <f t="shared" si="7"/>
        <v>0</v>
      </c>
      <c r="N41" s="5">
        <f t="shared" si="8"/>
        <v>0</v>
      </c>
      <c r="O41" s="10">
        <f t="shared" ref="O41:O49" si="12">+E41+H41+K41</f>
        <v>1</v>
      </c>
      <c r="P41" t="str">
        <f t="shared" si="10"/>
        <v xml:space="preserve"> </v>
      </c>
    </row>
    <row r="42" spans="1:16">
      <c r="A42">
        <v>4213</v>
      </c>
      <c r="B42" t="s">
        <v>261</v>
      </c>
      <c r="C42" s="5">
        <f>+'Results of Operations Co'!J41</f>
        <v>374836.24999999994</v>
      </c>
      <c r="E42" s="299">
        <f>+E26</f>
        <v>0.87268768866286206</v>
      </c>
      <c r="F42" s="5">
        <f t="shared" si="6"/>
        <v>327114.98063955468</v>
      </c>
      <c r="H42" s="10">
        <f>+H26</f>
        <v>9.2241138316527235E-2</v>
      </c>
      <c r="I42" s="5">
        <f t="shared" si="11"/>
        <v>34575.322382298378</v>
      </c>
      <c r="K42" s="10">
        <f>+K26</f>
        <v>3.507117302061067E-2</v>
      </c>
      <c r="L42" s="5">
        <f t="shared" si="7"/>
        <v>13145.946978146874</v>
      </c>
      <c r="N42" s="5">
        <f t="shared" si="8"/>
        <v>374836.24999999988</v>
      </c>
      <c r="O42" s="10">
        <f t="shared" si="12"/>
        <v>1</v>
      </c>
      <c r="P42" t="str">
        <f t="shared" si="10"/>
        <v xml:space="preserve"> </v>
      </c>
    </row>
    <row r="43" spans="1:16">
      <c r="A43">
        <v>4215</v>
      </c>
      <c r="B43" t="s">
        <v>262</v>
      </c>
      <c r="C43" s="5">
        <f>+'Results of Operations Co'!J42</f>
        <v>54742.020000000004</v>
      </c>
      <c r="E43" s="540">
        <f>+E27</f>
        <v>1</v>
      </c>
      <c r="F43" s="5">
        <f t="shared" si="6"/>
        <v>54742.020000000004</v>
      </c>
      <c r="H43" s="531">
        <f>+H27</f>
        <v>0</v>
      </c>
      <c r="I43" s="5">
        <f t="shared" si="11"/>
        <v>0</v>
      </c>
      <c r="K43" s="531">
        <f>+K27</f>
        <v>0</v>
      </c>
      <c r="L43" s="5">
        <f t="shared" si="7"/>
        <v>0</v>
      </c>
      <c r="N43" s="5">
        <f t="shared" si="8"/>
        <v>54742.020000000004</v>
      </c>
      <c r="O43" s="10">
        <f t="shared" si="12"/>
        <v>1</v>
      </c>
      <c r="P43" t="str">
        <f t="shared" si="10"/>
        <v xml:space="preserve"> </v>
      </c>
    </row>
    <row r="44" spans="1:16">
      <c r="A44">
        <v>4217</v>
      </c>
      <c r="B44" t="s">
        <v>264</v>
      </c>
      <c r="C44" s="5">
        <f>+'Results of Operations Co'!J43</f>
        <v>23495.61</v>
      </c>
      <c r="E44" s="299">
        <f>+E26</f>
        <v>0.87268768866286206</v>
      </c>
      <c r="F44" s="5">
        <f>+C44*E44</f>
        <v>20504.329584624029</v>
      </c>
      <c r="H44" s="10">
        <f>+H41</f>
        <v>9.2241138316527235E-2</v>
      </c>
      <c r="I44" s="5">
        <f>+C44*H44</f>
        <v>2167.2618118411806</v>
      </c>
      <c r="K44" s="10">
        <f>+K42</f>
        <v>3.507117302061067E-2</v>
      </c>
      <c r="L44" s="5">
        <f>+C44*K44</f>
        <v>824.01860353479026</v>
      </c>
      <c r="N44" s="5">
        <f>+F44+I44+L44</f>
        <v>23495.61</v>
      </c>
      <c r="O44" s="10">
        <f t="shared" si="12"/>
        <v>1</v>
      </c>
      <c r="P44" t="str">
        <f t="shared" si="10"/>
        <v xml:space="preserve"> </v>
      </c>
    </row>
    <row r="45" spans="1:16">
      <c r="A45">
        <v>4222</v>
      </c>
      <c r="B45" t="s">
        <v>265</v>
      </c>
      <c r="C45" s="5">
        <f>+'Results of Operations Co'!J44</f>
        <v>9997.2900000000009</v>
      </c>
      <c r="E45" s="299">
        <f>E30</f>
        <v>1</v>
      </c>
      <c r="F45" s="5">
        <f>+C45*E45</f>
        <v>9997.2900000000009</v>
      </c>
      <c r="H45" s="10">
        <v>0</v>
      </c>
      <c r="I45" s="5">
        <f>+C45*H45</f>
        <v>0</v>
      </c>
      <c r="K45" s="10">
        <f>+K43</f>
        <v>0</v>
      </c>
      <c r="L45" s="5">
        <f>+C45*K45</f>
        <v>0</v>
      </c>
      <c r="N45" s="5">
        <f>+F45+I45+L45</f>
        <v>9997.2900000000009</v>
      </c>
      <c r="O45" s="10">
        <f>+E45+H45+K45</f>
        <v>1</v>
      </c>
      <c r="P45" t="str">
        <f>IF(O45&lt;&gt;1,"ERR"," ")</f>
        <v xml:space="preserve"> </v>
      </c>
    </row>
    <row r="46" spans="1:16">
      <c r="A46">
        <v>4240</v>
      </c>
      <c r="B46" t="s">
        <v>266</v>
      </c>
      <c r="C46" s="5">
        <f>+'Results of Operations Co'!J45</f>
        <v>104666.33417963292</v>
      </c>
      <c r="E46" s="299">
        <f>+E26</f>
        <v>0.87268768866286206</v>
      </c>
      <c r="F46" s="5">
        <f t="shared" si="6"/>
        <v>91341.02125603857</v>
      </c>
      <c r="H46" s="10">
        <f>+H26</f>
        <v>9.2241138316527235E-2</v>
      </c>
      <c r="I46" s="5">
        <f t="shared" si="11"/>
        <v>9654.5418081473817</v>
      </c>
      <c r="K46" s="10">
        <f>+K26</f>
        <v>3.507117302061067E-2</v>
      </c>
      <c r="L46" s="5">
        <f t="shared" si="7"/>
        <v>3670.7711154469625</v>
      </c>
      <c r="N46" s="5">
        <f t="shared" si="8"/>
        <v>104666.3341796329</v>
      </c>
      <c r="O46" s="10">
        <f t="shared" si="12"/>
        <v>1</v>
      </c>
      <c r="P46" t="str">
        <f t="shared" si="10"/>
        <v xml:space="preserve"> </v>
      </c>
    </row>
    <row r="47" spans="1:16">
      <c r="A47">
        <v>4241</v>
      </c>
      <c r="B47" t="s">
        <v>267</v>
      </c>
      <c r="C47" s="5">
        <f>+'Results of Operations Co'!J46</f>
        <v>25731.398991948474</v>
      </c>
      <c r="E47" s="299">
        <f>+E27</f>
        <v>1</v>
      </c>
      <c r="F47" s="5">
        <f>+C47*E47</f>
        <v>25731.398991948474</v>
      </c>
      <c r="H47" s="10">
        <f>+H27</f>
        <v>0</v>
      </c>
      <c r="I47" s="5">
        <f>+C47*H47</f>
        <v>0</v>
      </c>
      <c r="K47" s="10">
        <f>+K27</f>
        <v>0</v>
      </c>
      <c r="L47" s="5">
        <f>+C47*K47</f>
        <v>0</v>
      </c>
      <c r="N47" s="5">
        <f>+F47+I47+L47</f>
        <v>25731.398991948474</v>
      </c>
      <c r="O47" s="10">
        <f t="shared" si="12"/>
        <v>1</v>
      </c>
      <c r="P47" t="str">
        <f t="shared" si="10"/>
        <v xml:space="preserve"> </v>
      </c>
    </row>
    <row r="48" spans="1:16">
      <c r="A48">
        <v>4244</v>
      </c>
      <c r="B48" t="s">
        <v>268</v>
      </c>
      <c r="C48" s="5">
        <f>+'Results of Operations Co'!J47</f>
        <v>4247.1930000000002</v>
      </c>
      <c r="E48" s="299">
        <f>E45</f>
        <v>1</v>
      </c>
      <c r="F48" s="5">
        <f>+C48*E48</f>
        <v>4247.1930000000002</v>
      </c>
      <c r="H48" s="10">
        <v>0</v>
      </c>
      <c r="I48" s="5">
        <f>+C48*H48</f>
        <v>0</v>
      </c>
      <c r="K48" s="10">
        <v>0</v>
      </c>
      <c r="L48" s="5">
        <f>+C48*K48</f>
        <v>0</v>
      </c>
      <c r="N48" s="5">
        <f>+F48+I48+L48</f>
        <v>4247.1930000000002</v>
      </c>
      <c r="O48" s="10">
        <f>+E48+H48+K48</f>
        <v>1</v>
      </c>
      <c r="P48" t="str">
        <f>IF(O48&lt;&gt;1,"ERR"," ")</f>
        <v xml:space="preserve"> </v>
      </c>
    </row>
    <row r="49" spans="1:16">
      <c r="A49">
        <v>4280</v>
      </c>
      <c r="B49" t="s">
        <v>269</v>
      </c>
      <c r="C49" s="5">
        <f>+'Results of Operations Co'!J48</f>
        <v>5111.78</v>
      </c>
      <c r="E49" s="299">
        <f>+E26</f>
        <v>0.87268768866286206</v>
      </c>
      <c r="F49" s="5">
        <f t="shared" si="6"/>
        <v>4460.9874731530444</v>
      </c>
      <c r="H49" s="10">
        <f>+H26</f>
        <v>9.2241138316527235E-2</v>
      </c>
      <c r="I49" s="5">
        <f t="shared" si="11"/>
        <v>471.51640602365757</v>
      </c>
      <c r="K49" s="10">
        <f>+K26</f>
        <v>3.507117302061067E-2</v>
      </c>
      <c r="L49" s="5">
        <f t="shared" si="7"/>
        <v>179.27612082329719</v>
      </c>
      <c r="N49" s="5">
        <f t="shared" si="8"/>
        <v>5111.7799999999988</v>
      </c>
      <c r="O49" s="10">
        <f t="shared" si="12"/>
        <v>1</v>
      </c>
      <c r="P49" t="str">
        <f t="shared" si="10"/>
        <v xml:space="preserve"> </v>
      </c>
    </row>
    <row r="50" spans="1:16">
      <c r="A50">
        <v>4282</v>
      </c>
      <c r="B50" t="s">
        <v>270</v>
      </c>
      <c r="C50" s="5">
        <f>+'Results of Operations Co'!J49</f>
        <v>0</v>
      </c>
      <c r="E50" s="299">
        <f>E48</f>
        <v>1</v>
      </c>
      <c r="F50" s="5">
        <f>+C50*E50</f>
        <v>0</v>
      </c>
      <c r="H50" s="10">
        <f>+H27</f>
        <v>0</v>
      </c>
      <c r="I50" s="5">
        <f>+C50*H50</f>
        <v>0</v>
      </c>
      <c r="K50" s="10">
        <f>+K27</f>
        <v>0</v>
      </c>
      <c r="L50" s="5">
        <f>+C50*K50</f>
        <v>0</v>
      </c>
      <c r="N50" s="5">
        <f>+F50+I50+L50</f>
        <v>0</v>
      </c>
      <c r="O50" s="10">
        <f>+E50+H50+K50</f>
        <v>1</v>
      </c>
      <c r="P50" t="str">
        <f>IF(O50&lt;&gt;1,"ERR"," ")</f>
        <v xml:space="preserve"> </v>
      </c>
    </row>
    <row r="51" spans="1:16">
      <c r="A51" t="s">
        <v>271</v>
      </c>
      <c r="C51" s="5"/>
      <c r="E51" s="10"/>
      <c r="F51" s="5"/>
      <c r="H51" s="10"/>
      <c r="I51" s="5"/>
      <c r="K51" s="10"/>
      <c r="L51" s="5"/>
      <c r="N51" s="5"/>
      <c r="O51" s="10"/>
    </row>
    <row r="52" spans="1:16">
      <c r="A52">
        <v>4360</v>
      </c>
      <c r="B52" t="s">
        <v>272</v>
      </c>
      <c r="C52" s="5">
        <f>+'Results of Operations Co'!J51</f>
        <v>439151.59</v>
      </c>
      <c r="E52" s="540">
        <f>+'Monthly Data-Disposal Fees'!$L$50+'Monthly Data-Disposal Fees'!$M$50+'Monthly Data-Disposal Fees'!$N$50</f>
        <v>0.99909958580947222</v>
      </c>
      <c r="F52" s="5">
        <f t="shared" si="6"/>
        <v>438756.17167657119</v>
      </c>
      <c r="H52" s="531">
        <f>+'Monthly Data-Disposal Fees'!$P$50</f>
        <v>0</v>
      </c>
      <c r="I52" s="5">
        <f t="shared" si="11"/>
        <v>0</v>
      </c>
      <c r="K52" s="531">
        <f>+'Monthly Data-Disposal Fees'!$O$50</f>
        <v>9.0041419052764259E-4</v>
      </c>
      <c r="L52" s="5">
        <f t="shared" si="7"/>
        <v>395.41832342877723</v>
      </c>
      <c r="N52" s="5">
        <f t="shared" si="8"/>
        <v>439151.58999999997</v>
      </c>
      <c r="O52" s="10">
        <f>+E52+H52+K52</f>
        <v>0.99999999999999989</v>
      </c>
      <c r="P52" t="str">
        <f t="shared" si="10"/>
        <v xml:space="preserve"> </v>
      </c>
    </row>
    <row r="53" spans="1:16">
      <c r="A53">
        <v>4361</v>
      </c>
      <c r="B53" t="s">
        <v>273</v>
      </c>
      <c r="C53" s="5">
        <f>+'Results of Operations Co'!J52</f>
        <v>333898.95999999996</v>
      </c>
      <c r="E53" s="297">
        <v>1</v>
      </c>
      <c r="F53" s="5">
        <f t="shared" si="6"/>
        <v>333898.95999999996</v>
      </c>
      <c r="H53" s="14">
        <v>0</v>
      </c>
      <c r="I53" s="5">
        <f t="shared" si="11"/>
        <v>0</v>
      </c>
      <c r="K53" s="14">
        <v>0</v>
      </c>
      <c r="L53" s="5">
        <f t="shared" si="7"/>
        <v>0</v>
      </c>
      <c r="N53" s="5">
        <f t="shared" si="8"/>
        <v>333898.95999999996</v>
      </c>
      <c r="O53" s="10">
        <f>+E53+H53+K53</f>
        <v>1</v>
      </c>
      <c r="P53" t="str">
        <f t="shared" si="10"/>
        <v xml:space="preserve"> </v>
      </c>
    </row>
    <row r="54" spans="1:16">
      <c r="A54">
        <v>4362</v>
      </c>
      <c r="B54" t="s">
        <v>274</v>
      </c>
      <c r="C54" s="5">
        <f>+'Results of Operations Co'!J53</f>
        <v>246015.2</v>
      </c>
      <c r="E54" s="540">
        <f>+'Monthly Data-Disposal Fees'!$L$27+'Monthly Data-Disposal Fees'!$M$27+'Monthly Data-Disposal Fees'!$N$27</f>
        <v>0.47344495371610551</v>
      </c>
      <c r="F54" s="5">
        <f t="shared" si="6"/>
        <v>116474.65497745844</v>
      </c>
      <c r="H54" s="531">
        <f>+'Monthly Data-Disposal Fees'!$P$27</f>
        <v>0.3783635655419943</v>
      </c>
      <c r="I54" s="5">
        <f>+C54*H54</f>
        <v>93083.188249526836</v>
      </c>
      <c r="K54" s="531">
        <f>+'Monthly Data-Disposal Fees'!$O$27</f>
        <v>0.14819148074190022</v>
      </c>
      <c r="L54" s="5">
        <f t="shared" si="7"/>
        <v>36457.356773014733</v>
      </c>
      <c r="N54" s="5">
        <f t="shared" si="8"/>
        <v>246015.2</v>
      </c>
      <c r="O54" s="10">
        <f>+E54+H54+K54</f>
        <v>1</v>
      </c>
      <c r="P54" t="str">
        <f t="shared" si="10"/>
        <v xml:space="preserve"> </v>
      </c>
    </row>
    <row r="55" spans="1:16">
      <c r="A55">
        <v>4363</v>
      </c>
      <c r="B55" t="s">
        <v>275</v>
      </c>
      <c r="C55" s="5">
        <f>+'Results of Operations Co'!J54</f>
        <v>132638.97999999998</v>
      </c>
      <c r="E55" s="297">
        <v>1</v>
      </c>
      <c r="F55" s="5">
        <f t="shared" si="6"/>
        <v>132638.97999999998</v>
      </c>
      <c r="H55" s="14">
        <v>0</v>
      </c>
      <c r="I55" s="5">
        <f t="shared" si="11"/>
        <v>0</v>
      </c>
      <c r="K55" s="14">
        <v>0</v>
      </c>
      <c r="L55" s="5">
        <f t="shared" si="7"/>
        <v>0</v>
      </c>
      <c r="N55" s="5">
        <f t="shared" si="8"/>
        <v>132638.97999999998</v>
      </c>
      <c r="O55" s="10">
        <f>+E55+H55+K55</f>
        <v>1</v>
      </c>
      <c r="P55" t="str">
        <f t="shared" si="10"/>
        <v xml:space="preserve"> </v>
      </c>
    </row>
    <row r="56" spans="1:16">
      <c r="A56">
        <v>4380</v>
      </c>
      <c r="B56" t="s">
        <v>276</v>
      </c>
      <c r="C56" s="5">
        <f>+'Results of Operations Co'!J55</f>
        <v>6214.07</v>
      </c>
      <c r="E56" s="297">
        <v>1</v>
      </c>
      <c r="F56" s="5">
        <f>+C56*E56</f>
        <v>6214.07</v>
      </c>
      <c r="H56" s="14">
        <v>0</v>
      </c>
      <c r="I56" s="5">
        <f>+C56*H56</f>
        <v>0</v>
      </c>
      <c r="K56" s="14">
        <v>0</v>
      </c>
      <c r="L56" s="5">
        <f>+C56*K56</f>
        <v>0</v>
      </c>
      <c r="N56" s="5">
        <f>+F56+I56+L56</f>
        <v>6214.07</v>
      </c>
      <c r="O56" s="10">
        <f>+E56+H56+K56</f>
        <v>1</v>
      </c>
      <c r="P56" t="str">
        <f>IF(O56&lt;&gt;1,"ERR"," ")</f>
        <v xml:space="preserve"> </v>
      </c>
    </row>
    <row r="57" spans="1:16">
      <c r="A57" t="s">
        <v>277</v>
      </c>
      <c r="C57" s="5"/>
      <c r="E57" s="10"/>
      <c r="F57" s="5"/>
      <c r="H57" s="10"/>
      <c r="I57" s="5"/>
      <c r="K57" s="10"/>
      <c r="L57" s="5"/>
      <c r="N57" s="5"/>
      <c r="O57" s="10"/>
    </row>
    <row r="58" spans="1:16">
      <c r="A58">
        <v>4430</v>
      </c>
      <c r="B58" t="s">
        <v>278</v>
      </c>
      <c r="C58" s="5">
        <f>+'Results of Operations Co'!J57</f>
        <v>0</v>
      </c>
      <c r="E58" s="299">
        <v>1</v>
      </c>
      <c r="F58" s="5">
        <f t="shared" si="6"/>
        <v>0</v>
      </c>
      <c r="H58" s="10">
        <v>0</v>
      </c>
      <c r="I58" s="5">
        <f t="shared" si="11"/>
        <v>0</v>
      </c>
      <c r="K58" s="10">
        <v>0</v>
      </c>
      <c r="L58" s="5">
        <f t="shared" si="7"/>
        <v>0</v>
      </c>
      <c r="N58" s="5">
        <f t="shared" si="8"/>
        <v>0</v>
      </c>
      <c r="O58" s="10">
        <f>+E58+H58+K58</f>
        <v>1</v>
      </c>
      <c r="P58" t="str">
        <f t="shared" si="10"/>
        <v xml:space="preserve"> </v>
      </c>
    </row>
    <row r="59" spans="1:16">
      <c r="A59">
        <v>4450</v>
      </c>
      <c r="B59" t="s">
        <v>279</v>
      </c>
      <c r="C59" s="5">
        <f>+'Results of Operations Co'!J58</f>
        <v>1995</v>
      </c>
      <c r="E59" s="297">
        <v>1</v>
      </c>
      <c r="F59" s="5">
        <f t="shared" si="6"/>
        <v>1995</v>
      </c>
      <c r="H59" s="14">
        <v>0</v>
      </c>
      <c r="I59" s="5">
        <f t="shared" si="11"/>
        <v>0</v>
      </c>
      <c r="K59" s="14">
        <v>0</v>
      </c>
      <c r="L59" s="5">
        <f t="shared" si="7"/>
        <v>0</v>
      </c>
      <c r="N59" s="5">
        <f t="shared" si="8"/>
        <v>1995</v>
      </c>
      <c r="O59" s="10">
        <f>+E59+H59+K59</f>
        <v>1</v>
      </c>
      <c r="P59" t="str">
        <f t="shared" si="10"/>
        <v xml:space="preserve"> </v>
      </c>
    </row>
    <row r="60" spans="1:16">
      <c r="A60" t="s">
        <v>280</v>
      </c>
      <c r="C60" s="5">
        <f>+'Results of Operations Co'!J59</f>
        <v>0</v>
      </c>
      <c r="E60" s="10"/>
      <c r="F60" s="5"/>
      <c r="H60" s="10"/>
      <c r="I60" s="5"/>
      <c r="K60" s="10"/>
      <c r="L60" s="5"/>
      <c r="N60" s="5"/>
      <c r="O60" s="10"/>
    </row>
    <row r="61" spans="1:16">
      <c r="A61">
        <v>4530</v>
      </c>
      <c r="B61" t="s">
        <v>281</v>
      </c>
      <c r="C61" s="5">
        <f>+'Results of Operations Co'!J60</f>
        <v>93303.27</v>
      </c>
      <c r="E61" s="299">
        <f>+E26</f>
        <v>0.87268768866286206</v>
      </c>
      <c r="F61" s="5">
        <f t="shared" si="6"/>
        <v>81424.615040986959</v>
      </c>
      <c r="H61" s="10">
        <f>+H26</f>
        <v>9.2241138316527235E-2</v>
      </c>
      <c r="I61" s="5">
        <f t="shared" si="11"/>
        <v>8606.3998334542866</v>
      </c>
      <c r="K61" s="10">
        <f>+K26</f>
        <v>3.507117302061067E-2</v>
      </c>
      <c r="L61" s="5">
        <f t="shared" si="7"/>
        <v>3272.2551255587532</v>
      </c>
      <c r="N61" s="5">
        <f t="shared" si="8"/>
        <v>93303.26999999999</v>
      </c>
      <c r="O61" s="10">
        <f>+E61+H61+K61</f>
        <v>1</v>
      </c>
      <c r="P61" t="str">
        <f t="shared" si="10"/>
        <v xml:space="preserve"> </v>
      </c>
    </row>
    <row r="62" spans="1:16">
      <c r="A62">
        <v>4540</v>
      </c>
      <c r="B62" t="s">
        <v>282</v>
      </c>
      <c r="C62" s="5">
        <f>+'Results of Operations Co'!J61</f>
        <v>24634.078150000001</v>
      </c>
      <c r="E62" s="299">
        <f>+E26</f>
        <v>0.87268768866286206</v>
      </c>
      <c r="F62" s="5">
        <f t="shared" si="6"/>
        <v>21497.856723063815</v>
      </c>
      <c r="H62" s="10">
        <f>+H26</f>
        <v>9.2241138316527235E-2</v>
      </c>
      <c r="I62" s="5">
        <f t="shared" si="11"/>
        <v>2272.2754099342915</v>
      </c>
      <c r="K62" s="10">
        <f>+K26</f>
        <v>3.507117302061067E-2</v>
      </c>
      <c r="L62" s="5">
        <f t="shared" si="7"/>
        <v>863.9460170018948</v>
      </c>
      <c r="N62" s="5">
        <f t="shared" si="8"/>
        <v>24634.078150000001</v>
      </c>
      <c r="O62" s="10">
        <f>+E62+H62+K62</f>
        <v>1</v>
      </c>
      <c r="P62" t="str">
        <f t="shared" si="10"/>
        <v xml:space="preserve"> </v>
      </c>
    </row>
    <row r="63" spans="1:16">
      <c r="A63">
        <v>4580</v>
      </c>
      <c r="B63" t="s">
        <v>283</v>
      </c>
      <c r="C63" s="5">
        <f>+'Results of Operations Co'!J62</f>
        <v>0</v>
      </c>
      <c r="E63" s="299">
        <f>+E26</f>
        <v>0.87268768866286206</v>
      </c>
      <c r="F63" s="5">
        <f t="shared" si="6"/>
        <v>0</v>
      </c>
      <c r="H63" s="10">
        <f>+H26</f>
        <v>9.2241138316527235E-2</v>
      </c>
      <c r="I63" s="5">
        <f t="shared" si="11"/>
        <v>0</v>
      </c>
      <c r="K63" s="10">
        <f>+K26</f>
        <v>3.507117302061067E-2</v>
      </c>
      <c r="L63" s="5">
        <f t="shared" si="7"/>
        <v>0</v>
      </c>
      <c r="N63" s="5">
        <f t="shared" si="8"/>
        <v>0</v>
      </c>
      <c r="O63" s="10">
        <f>+E63+H63+K63</f>
        <v>1</v>
      </c>
      <c r="P63" t="str">
        <f t="shared" si="10"/>
        <v xml:space="preserve"> </v>
      </c>
    </row>
    <row r="64" spans="1:16">
      <c r="A64" t="s">
        <v>284</v>
      </c>
      <c r="C64" s="5"/>
      <c r="E64" s="10"/>
      <c r="F64" s="5"/>
      <c r="H64" s="10"/>
      <c r="I64" s="5"/>
      <c r="K64" s="10"/>
      <c r="L64" s="5"/>
      <c r="N64" s="5"/>
      <c r="O64" s="10"/>
    </row>
    <row r="65" spans="1:16">
      <c r="A65">
        <v>4611</v>
      </c>
      <c r="B65" t="s">
        <v>285</v>
      </c>
      <c r="C65" s="5">
        <f>+'Results of Operations Co'!J64</f>
        <v>81408</v>
      </c>
      <c r="E65" s="305">
        <f>'Overhead Allocation'!$O$20</f>
        <v>0.85910272785100583</v>
      </c>
      <c r="F65" s="5">
        <f t="shared" si="6"/>
        <v>69937.834868894686</v>
      </c>
      <c r="H65" s="305">
        <f>'Overhead Allocation'!P20</f>
        <v>0.10130785133068518</v>
      </c>
      <c r="I65" s="5">
        <f t="shared" si="11"/>
        <v>8247.2695611284198</v>
      </c>
      <c r="K65" s="305">
        <f>'Overhead Allocation'!Q20</f>
        <v>3.9589420818309004E-2</v>
      </c>
      <c r="L65" s="5">
        <f t="shared" si="7"/>
        <v>3222.8955699768994</v>
      </c>
      <c r="N65" s="5">
        <f t="shared" si="8"/>
        <v>81408</v>
      </c>
      <c r="O65" s="10">
        <f t="shared" ref="O65:O84" si="13">+E65+H65+K65</f>
        <v>1</v>
      </c>
      <c r="P65" t="str">
        <f t="shared" si="10"/>
        <v xml:space="preserve"> </v>
      </c>
    </row>
    <row r="66" spans="1:16">
      <c r="A66">
        <v>4612</v>
      </c>
      <c r="B66" t="s">
        <v>286</v>
      </c>
      <c r="C66" s="5">
        <f>+'Results of Operations Co'!J65</f>
        <v>47487.259999999995</v>
      </c>
      <c r="E66" s="297">
        <v>1</v>
      </c>
      <c r="F66" s="5">
        <f t="shared" si="6"/>
        <v>47487.259999999995</v>
      </c>
      <c r="H66" s="14">
        <v>0</v>
      </c>
      <c r="I66" s="5">
        <f t="shared" si="11"/>
        <v>0</v>
      </c>
      <c r="K66" s="14">
        <v>0</v>
      </c>
      <c r="L66" s="5">
        <f t="shared" si="7"/>
        <v>0</v>
      </c>
      <c r="N66" s="5">
        <f t="shared" si="8"/>
        <v>47487.259999999995</v>
      </c>
      <c r="O66" s="10">
        <f t="shared" si="13"/>
        <v>1</v>
      </c>
      <c r="P66" t="str">
        <f t="shared" si="10"/>
        <v xml:space="preserve"> </v>
      </c>
    </row>
    <row r="67" spans="1:16">
      <c r="A67">
        <v>4613</v>
      </c>
      <c r="B67" t="s">
        <v>287</v>
      </c>
      <c r="C67" s="5">
        <f>+'Results of Operations Co'!J66</f>
        <v>132000</v>
      </c>
      <c r="E67" s="300">
        <f>+$E$65</f>
        <v>0.85910272785100583</v>
      </c>
      <c r="F67" s="5">
        <f t="shared" si="6"/>
        <v>113401.56007633277</v>
      </c>
      <c r="H67" s="300">
        <f>+$H$65</f>
        <v>0.10130785133068518</v>
      </c>
      <c r="I67" s="5">
        <f t="shared" si="11"/>
        <v>13372.636375650443</v>
      </c>
      <c r="K67" s="300">
        <f>+$K$65</f>
        <v>3.9589420818309004E-2</v>
      </c>
      <c r="L67" s="5">
        <f t="shared" si="7"/>
        <v>5225.8035480167882</v>
      </c>
      <c r="N67" s="5">
        <f t="shared" si="8"/>
        <v>132000</v>
      </c>
      <c r="O67" s="10">
        <f t="shared" si="13"/>
        <v>1</v>
      </c>
      <c r="P67" t="str">
        <f t="shared" si="10"/>
        <v xml:space="preserve"> </v>
      </c>
    </row>
    <row r="68" spans="1:16">
      <c r="A68">
        <v>4620</v>
      </c>
      <c r="B68" t="s">
        <v>288</v>
      </c>
      <c r="C68" s="5">
        <f>+'Results of Operations Co'!J67</f>
        <v>49498.58</v>
      </c>
      <c r="E68" s="300">
        <f t="shared" ref="E68:E78" si="14">+$E$65</f>
        <v>0.85910272785100583</v>
      </c>
      <c r="F68" s="5">
        <f t="shared" si="6"/>
        <v>42524.365102751239</v>
      </c>
      <c r="H68" s="300">
        <f t="shared" ref="H68:H78" si="15">+$H$65</f>
        <v>0.10130785133068518</v>
      </c>
      <c r="I68" s="5">
        <f t="shared" si="11"/>
        <v>5014.5947837200265</v>
      </c>
      <c r="K68" s="300">
        <f t="shared" ref="K68:K78" si="16">+$K$65</f>
        <v>3.9589420818309004E-2</v>
      </c>
      <c r="L68" s="5">
        <f t="shared" si="7"/>
        <v>1959.6201135287338</v>
      </c>
      <c r="N68" s="5">
        <f t="shared" si="8"/>
        <v>49498.58</v>
      </c>
      <c r="O68" s="10">
        <f t="shared" si="13"/>
        <v>1</v>
      </c>
      <c r="P68" t="str">
        <f t="shared" si="10"/>
        <v xml:space="preserve"> </v>
      </c>
    </row>
    <row r="69" spans="1:16">
      <c r="A69">
        <v>4622</v>
      </c>
      <c r="B69" t="s">
        <v>289</v>
      </c>
      <c r="C69" s="5">
        <f>+'Results of Operations Co'!J68</f>
        <v>0</v>
      </c>
      <c r="E69" s="300">
        <f t="shared" si="14"/>
        <v>0.85910272785100583</v>
      </c>
      <c r="F69" s="5">
        <f t="shared" si="6"/>
        <v>0</v>
      </c>
      <c r="H69" s="300">
        <f t="shared" si="15"/>
        <v>0.10130785133068518</v>
      </c>
      <c r="I69" s="5">
        <f t="shared" si="11"/>
        <v>0</v>
      </c>
      <c r="K69" s="300">
        <f t="shared" si="16"/>
        <v>3.9589420818309004E-2</v>
      </c>
      <c r="L69" s="5">
        <f t="shared" si="7"/>
        <v>0</v>
      </c>
      <c r="N69" s="5">
        <f t="shared" si="8"/>
        <v>0</v>
      </c>
      <c r="O69" s="10">
        <f t="shared" si="13"/>
        <v>1</v>
      </c>
      <c r="P69" t="str">
        <f t="shared" si="10"/>
        <v xml:space="preserve"> </v>
      </c>
    </row>
    <row r="70" spans="1:16">
      <c r="A70">
        <v>4624</v>
      </c>
      <c r="B70" t="s">
        <v>290</v>
      </c>
      <c r="C70" s="5">
        <f>+'Results of Operations Co'!J69</f>
        <v>290.27</v>
      </c>
      <c r="E70" s="300">
        <f t="shared" si="14"/>
        <v>0.85910272785100583</v>
      </c>
      <c r="F70" s="5">
        <f t="shared" si="6"/>
        <v>249.37174881331146</v>
      </c>
      <c r="H70" s="300">
        <f t="shared" si="15"/>
        <v>0.10130785133068518</v>
      </c>
      <c r="I70" s="5">
        <f t="shared" si="11"/>
        <v>29.406630005757986</v>
      </c>
      <c r="K70" s="300">
        <f t="shared" si="16"/>
        <v>3.9589420818309004E-2</v>
      </c>
      <c r="L70" s="5">
        <f t="shared" si="7"/>
        <v>11.491621180930554</v>
      </c>
      <c r="N70" s="5">
        <f t="shared" si="8"/>
        <v>290.27</v>
      </c>
      <c r="O70" s="10">
        <f t="shared" si="13"/>
        <v>1</v>
      </c>
      <c r="P70" t="str">
        <f t="shared" si="10"/>
        <v xml:space="preserve"> </v>
      </c>
    </row>
    <row r="71" spans="1:16">
      <c r="A71">
        <v>4625</v>
      </c>
      <c r="B71" t="s">
        <v>291</v>
      </c>
      <c r="C71" s="5">
        <f>+'Results of Operations Co'!J70</f>
        <v>2953.48</v>
      </c>
      <c r="E71" s="300">
        <f t="shared" si="14"/>
        <v>0.85910272785100583</v>
      </c>
      <c r="F71" s="5">
        <f t="shared" si="6"/>
        <v>2537.3427246533888</v>
      </c>
      <c r="H71" s="300">
        <f t="shared" si="15"/>
        <v>0.10130785133068518</v>
      </c>
      <c r="I71" s="5">
        <f t="shared" si="11"/>
        <v>299.21071274815205</v>
      </c>
      <c r="K71" s="300">
        <f t="shared" si="16"/>
        <v>3.9589420818309004E-2</v>
      </c>
      <c r="L71" s="5">
        <f t="shared" si="7"/>
        <v>116.92656259845928</v>
      </c>
      <c r="N71" s="5">
        <f t="shared" si="8"/>
        <v>2953.4800000000005</v>
      </c>
      <c r="O71" s="10">
        <f t="shared" si="13"/>
        <v>1</v>
      </c>
      <c r="P71" t="str">
        <f t="shared" si="10"/>
        <v xml:space="preserve"> </v>
      </c>
    </row>
    <row r="72" spans="1:16">
      <c r="A72">
        <v>4627</v>
      </c>
      <c r="B72" t="s">
        <v>292</v>
      </c>
      <c r="C72" s="5">
        <f>+'Results of Operations Co'!J71</f>
        <v>1116.03</v>
      </c>
      <c r="E72" s="300">
        <f t="shared" si="14"/>
        <v>0.85910272785100583</v>
      </c>
      <c r="F72" s="5">
        <f t="shared" si="6"/>
        <v>958.78441736355796</v>
      </c>
      <c r="H72" s="300">
        <f t="shared" si="15"/>
        <v>0.10130785133068518</v>
      </c>
      <c r="I72" s="5">
        <f t="shared" si="11"/>
        <v>113.06260132058458</v>
      </c>
      <c r="K72" s="300">
        <f t="shared" si="16"/>
        <v>3.9589420818309004E-2</v>
      </c>
      <c r="L72" s="5">
        <f t="shared" si="7"/>
        <v>44.182981315857397</v>
      </c>
      <c r="N72" s="5">
        <f t="shared" si="8"/>
        <v>1116.03</v>
      </c>
      <c r="O72" s="10">
        <f t="shared" si="13"/>
        <v>1</v>
      </c>
      <c r="P72" t="str">
        <f t="shared" si="10"/>
        <v xml:space="preserve"> </v>
      </c>
    </row>
    <row r="73" spans="1:16">
      <c r="A73">
        <v>4628</v>
      </c>
      <c r="B73" t="s">
        <v>293</v>
      </c>
      <c r="C73" s="5">
        <f>+'Results of Operations Co'!J72</f>
        <v>25526.959999999999</v>
      </c>
      <c r="E73" s="297">
        <v>1</v>
      </c>
      <c r="F73" s="5">
        <f>+C73*E73</f>
        <v>25526.959999999999</v>
      </c>
      <c r="H73" s="14">
        <v>0</v>
      </c>
      <c r="I73" s="5">
        <f>+C73*H73</f>
        <v>0</v>
      </c>
      <c r="K73" s="14">
        <v>0</v>
      </c>
      <c r="L73" s="5">
        <f>+C73*K73</f>
        <v>0</v>
      </c>
      <c r="N73" s="5">
        <f>+F73+I73+L73</f>
        <v>25526.959999999999</v>
      </c>
      <c r="O73" s="10">
        <f>+E73+H73+K73</f>
        <v>1</v>
      </c>
      <c r="P73" t="str">
        <f>IF(O73&lt;&gt;1,"ERR"," ")</f>
        <v xml:space="preserve"> </v>
      </c>
    </row>
    <row r="74" spans="1:16">
      <c r="A74">
        <v>4630</v>
      </c>
      <c r="B74" t="s">
        <v>294</v>
      </c>
      <c r="C74" s="5">
        <f>+'Results of Operations Co'!J73</f>
        <v>1859.04</v>
      </c>
      <c r="E74" s="300">
        <f t="shared" si="14"/>
        <v>0.85910272785100583</v>
      </c>
      <c r="F74" s="5">
        <f t="shared" si="6"/>
        <v>1597.1063351841337</v>
      </c>
      <c r="H74" s="300">
        <f t="shared" si="15"/>
        <v>0.10130785133068518</v>
      </c>
      <c r="I74" s="5">
        <f t="shared" si="11"/>
        <v>188.33534793779697</v>
      </c>
      <c r="K74" s="300">
        <f t="shared" si="16"/>
        <v>3.9589420818309004E-2</v>
      </c>
      <c r="L74" s="5">
        <f t="shared" si="7"/>
        <v>73.59831687806917</v>
      </c>
      <c r="N74" s="5">
        <f t="shared" si="8"/>
        <v>1859.04</v>
      </c>
      <c r="O74" s="10">
        <f t="shared" si="13"/>
        <v>1</v>
      </c>
      <c r="P74" t="str">
        <f t="shared" si="10"/>
        <v xml:space="preserve"> </v>
      </c>
    </row>
    <row r="75" spans="1:16">
      <c r="A75">
        <v>4640</v>
      </c>
      <c r="B75" t="s">
        <v>295</v>
      </c>
      <c r="C75" s="5">
        <f>+'Results of Operations Co'!J74</f>
        <v>15977.070000000003</v>
      </c>
      <c r="E75" s="300">
        <f t="shared" si="14"/>
        <v>0.85910272785100583</v>
      </c>
      <c r="F75" s="5">
        <f t="shared" si="6"/>
        <v>13725.944420066473</v>
      </c>
      <c r="H75" s="300">
        <f t="shared" si="15"/>
        <v>0.10130785133068518</v>
      </c>
      <c r="I75" s="5">
        <f t="shared" si="11"/>
        <v>1618.6026322599505</v>
      </c>
      <c r="K75" s="300">
        <f t="shared" si="16"/>
        <v>3.9589420818309004E-2</v>
      </c>
      <c r="L75" s="5">
        <f t="shared" si="7"/>
        <v>632.52294767358035</v>
      </c>
      <c r="N75" s="5">
        <f t="shared" si="8"/>
        <v>15977.070000000003</v>
      </c>
      <c r="O75" s="10">
        <f t="shared" si="13"/>
        <v>1</v>
      </c>
      <c r="P75" t="str">
        <f t="shared" si="10"/>
        <v xml:space="preserve"> </v>
      </c>
    </row>
    <row r="76" spans="1:16">
      <c r="A76">
        <v>4642</v>
      </c>
      <c r="B76" t="s">
        <v>755</v>
      </c>
      <c r="C76" s="5">
        <f>+'Results of Operations Co'!J75</f>
        <v>1160.2599999999998</v>
      </c>
      <c r="E76" s="299">
        <f>+E48</f>
        <v>1</v>
      </c>
      <c r="F76" s="5">
        <f>+C76*E76</f>
        <v>1160.2599999999998</v>
      </c>
      <c r="H76" s="300">
        <f>+K48</f>
        <v>0</v>
      </c>
      <c r="I76" s="5">
        <f>+C76*H76</f>
        <v>0</v>
      </c>
      <c r="K76" s="300">
        <f>+$K$48</f>
        <v>0</v>
      </c>
      <c r="L76" s="5">
        <f>+C76*K76</f>
        <v>0</v>
      </c>
      <c r="N76" s="5">
        <f>+F76+I76+L76</f>
        <v>1160.2599999999998</v>
      </c>
      <c r="O76" s="10">
        <f>+E76+H76+K76</f>
        <v>1</v>
      </c>
      <c r="P76" t="str">
        <f>IF(O76&lt;&gt;1,"ERR"," ")</f>
        <v xml:space="preserve"> </v>
      </c>
    </row>
    <row r="77" spans="1:16">
      <c r="A77">
        <v>4650</v>
      </c>
      <c r="B77" t="s">
        <v>297</v>
      </c>
      <c r="C77" s="5">
        <f>+'Results of Operations Co'!J76</f>
        <v>94798.200000000012</v>
      </c>
      <c r="E77" s="300">
        <f t="shared" si="14"/>
        <v>0.85910272785100583</v>
      </c>
      <c r="F77" s="5">
        <f t="shared" si="6"/>
        <v>81441.392215365224</v>
      </c>
      <c r="H77" s="300">
        <f t="shared" si="15"/>
        <v>0.10130785133068518</v>
      </c>
      <c r="I77" s="5">
        <f t="shared" si="11"/>
        <v>9603.8019520165617</v>
      </c>
      <c r="K77" s="300">
        <f t="shared" si="16"/>
        <v>3.9589420818309004E-2</v>
      </c>
      <c r="L77" s="5">
        <f t="shared" si="7"/>
        <v>3753.0058326182211</v>
      </c>
      <c r="N77" s="5">
        <f t="shared" si="8"/>
        <v>94798.200000000012</v>
      </c>
      <c r="O77" s="10">
        <f t="shared" si="13"/>
        <v>1</v>
      </c>
      <c r="P77" t="str">
        <f t="shared" si="10"/>
        <v xml:space="preserve"> </v>
      </c>
    </row>
    <row r="78" spans="1:16">
      <c r="A78">
        <v>4652</v>
      </c>
      <c r="B78" t="s">
        <v>298</v>
      </c>
      <c r="C78" s="5">
        <f>+'Results of Operations Co'!J77</f>
        <v>12972.55</v>
      </c>
      <c r="E78" s="300">
        <f t="shared" si="14"/>
        <v>0.85910272785100583</v>
      </c>
      <c r="F78" s="5">
        <f t="shared" si="6"/>
        <v>11144.753092183566</v>
      </c>
      <c r="H78" s="300">
        <f t="shared" si="15"/>
        <v>0.10130785133068518</v>
      </c>
      <c r="I78" s="5">
        <f t="shared" si="11"/>
        <v>1314.2211667798799</v>
      </c>
      <c r="K78" s="300">
        <f t="shared" si="16"/>
        <v>3.9589420818309004E-2</v>
      </c>
      <c r="L78" s="5">
        <f t="shared" si="7"/>
        <v>513.5757410365544</v>
      </c>
      <c r="N78" s="5">
        <f t="shared" si="8"/>
        <v>12972.550000000001</v>
      </c>
      <c r="O78" s="10">
        <f t="shared" si="13"/>
        <v>1</v>
      </c>
      <c r="P78" t="str">
        <f t="shared" si="10"/>
        <v xml:space="preserve"> </v>
      </c>
    </row>
    <row r="79" spans="1:16">
      <c r="A79">
        <v>4660</v>
      </c>
      <c r="B79" t="s">
        <v>299</v>
      </c>
      <c r="C79" s="5">
        <f>+'Results of Operations Co'!J78</f>
        <v>0</v>
      </c>
      <c r="E79" s="297">
        <v>1</v>
      </c>
      <c r="F79" s="5">
        <f t="shared" si="6"/>
        <v>0</v>
      </c>
      <c r="H79" s="14">
        <v>0</v>
      </c>
      <c r="I79" s="5">
        <f t="shared" si="11"/>
        <v>0</v>
      </c>
      <c r="K79" s="14">
        <v>0</v>
      </c>
      <c r="L79" s="5">
        <f t="shared" si="7"/>
        <v>0</v>
      </c>
      <c r="N79" s="5">
        <f t="shared" si="8"/>
        <v>0</v>
      </c>
      <c r="O79" s="10">
        <f t="shared" si="13"/>
        <v>1</v>
      </c>
      <c r="P79" t="str">
        <f t="shared" si="10"/>
        <v xml:space="preserve"> </v>
      </c>
    </row>
    <row r="80" spans="1:16">
      <c r="A80">
        <v>4670</v>
      </c>
      <c r="B80" t="s">
        <v>300</v>
      </c>
      <c r="C80" s="5">
        <f>+'Results of Operations Co'!J79</f>
        <v>0</v>
      </c>
      <c r="E80" s="297">
        <v>1</v>
      </c>
      <c r="F80" s="5">
        <f t="shared" si="6"/>
        <v>0</v>
      </c>
      <c r="H80" s="14">
        <v>0</v>
      </c>
      <c r="I80" s="5">
        <f t="shared" si="11"/>
        <v>0</v>
      </c>
      <c r="K80" s="14">
        <v>0</v>
      </c>
      <c r="L80" s="5">
        <f t="shared" si="7"/>
        <v>0</v>
      </c>
      <c r="N80" s="5">
        <f t="shared" si="8"/>
        <v>0</v>
      </c>
      <c r="O80" s="10">
        <f t="shared" si="13"/>
        <v>1</v>
      </c>
      <c r="P80" t="str">
        <f t="shared" si="10"/>
        <v xml:space="preserve"> </v>
      </c>
    </row>
    <row r="81" spans="1:16">
      <c r="A81">
        <v>4680</v>
      </c>
      <c r="B81" t="s">
        <v>301</v>
      </c>
      <c r="C81" s="5">
        <f>+'Results of Operations Co'!J80</f>
        <v>14726.46</v>
      </c>
      <c r="E81" s="297">
        <v>1</v>
      </c>
      <c r="F81" s="5">
        <f t="shared" si="6"/>
        <v>14726.46</v>
      </c>
      <c r="H81" s="14">
        <v>0</v>
      </c>
      <c r="I81" s="5">
        <f t="shared" si="11"/>
        <v>0</v>
      </c>
      <c r="K81" s="14">
        <v>0</v>
      </c>
      <c r="L81" s="5">
        <f t="shared" si="7"/>
        <v>0</v>
      </c>
      <c r="N81" s="5">
        <f t="shared" si="8"/>
        <v>14726.46</v>
      </c>
      <c r="O81" s="10">
        <f t="shared" si="13"/>
        <v>1</v>
      </c>
      <c r="P81" t="str">
        <f t="shared" si="10"/>
        <v xml:space="preserve"> </v>
      </c>
    </row>
    <row r="82" spans="1:16">
      <c r="A82">
        <v>4692</v>
      </c>
      <c r="B82" t="s">
        <v>302</v>
      </c>
      <c r="C82" s="5">
        <f>+'Results of Operations Co'!J81</f>
        <v>14146.630000000001</v>
      </c>
      <c r="E82" s="300">
        <f>+$E$65</f>
        <v>0.85910272785100583</v>
      </c>
      <c r="F82" s="5">
        <f t="shared" si="6"/>
        <v>12153.408422898876</v>
      </c>
      <c r="H82" s="300">
        <f>+$H$65</f>
        <v>0.10130785133068518</v>
      </c>
      <c r="I82" s="5">
        <f t="shared" si="11"/>
        <v>1433.164688870211</v>
      </c>
      <c r="K82" s="300">
        <f>+$K$65</f>
        <v>3.9589420818309004E-2</v>
      </c>
      <c r="L82" s="5">
        <f t="shared" si="7"/>
        <v>560.05688823091475</v>
      </c>
      <c r="N82" s="5">
        <f t="shared" si="8"/>
        <v>14146.630000000001</v>
      </c>
      <c r="O82" s="10">
        <f t="shared" si="13"/>
        <v>1</v>
      </c>
      <c r="P82" t="str">
        <f t="shared" si="10"/>
        <v xml:space="preserve"> </v>
      </c>
    </row>
    <row r="83" spans="1:16">
      <c r="A83">
        <v>4694</v>
      </c>
      <c r="B83" t="s">
        <v>303</v>
      </c>
      <c r="C83" s="5">
        <f>+'Results of Operations Co'!J82</f>
        <v>0</v>
      </c>
      <c r="E83" s="300">
        <f>+$E$65</f>
        <v>0.85910272785100583</v>
      </c>
      <c r="F83" s="5">
        <f t="shared" si="6"/>
        <v>0</v>
      </c>
      <c r="H83" s="300">
        <f>+$H$65</f>
        <v>0.10130785133068518</v>
      </c>
      <c r="I83" s="5">
        <f t="shared" si="11"/>
        <v>0</v>
      </c>
      <c r="K83" s="300">
        <f>+$K$65</f>
        <v>3.9589420818309004E-2</v>
      </c>
      <c r="L83" s="5">
        <f t="shared" si="7"/>
        <v>0</v>
      </c>
      <c r="N83" s="5">
        <f t="shared" si="8"/>
        <v>0</v>
      </c>
      <c r="O83" s="10">
        <f t="shared" si="13"/>
        <v>1</v>
      </c>
      <c r="P83" t="str">
        <f t="shared" si="10"/>
        <v xml:space="preserve"> </v>
      </c>
    </row>
    <row r="84" spans="1:16">
      <c r="A84">
        <v>4698</v>
      </c>
      <c r="B84" t="s">
        <v>304</v>
      </c>
      <c r="C84" s="5">
        <f>+'Results of Operations Co'!J83</f>
        <v>1453.9499999999998</v>
      </c>
      <c r="E84" s="300">
        <f>+$E$65</f>
        <v>0.85910272785100583</v>
      </c>
      <c r="F84" s="5">
        <f t="shared" si="6"/>
        <v>1249.0924111589698</v>
      </c>
      <c r="H84" s="300">
        <f>+$H$65</f>
        <v>0.10130785133068518</v>
      </c>
      <c r="I84" s="5">
        <f t="shared" si="11"/>
        <v>147.2965504422497</v>
      </c>
      <c r="K84" s="300">
        <f>+$K$65</f>
        <v>3.9589420818309004E-2</v>
      </c>
      <c r="L84" s="5">
        <f t="shared" si="7"/>
        <v>57.561038398780369</v>
      </c>
      <c r="N84" s="5">
        <f t="shared" si="8"/>
        <v>1453.9499999999998</v>
      </c>
      <c r="O84" s="10">
        <f t="shared" si="13"/>
        <v>1</v>
      </c>
      <c r="P84" t="str">
        <f t="shared" si="10"/>
        <v xml:space="preserve"> </v>
      </c>
    </row>
    <row r="85" spans="1:16">
      <c r="A85" t="s">
        <v>305</v>
      </c>
      <c r="C85" s="5"/>
      <c r="E85" s="10"/>
      <c r="F85" s="5"/>
      <c r="H85" s="10"/>
      <c r="I85" s="5"/>
      <c r="K85" s="10"/>
      <c r="L85" s="5"/>
      <c r="N85" s="5"/>
      <c r="O85" s="10"/>
    </row>
    <row r="86" spans="1:16">
      <c r="A86">
        <v>5010</v>
      </c>
      <c r="B86" t="s">
        <v>306</v>
      </c>
      <c r="C86" s="5">
        <f>+'Results of Operations Co'!J85</f>
        <v>287167</v>
      </c>
      <c r="E86" s="540">
        <f>+'Depr Allocation'!N12</f>
        <v>0.88039179857188177</v>
      </c>
      <c r="F86" s="5">
        <f t="shared" si="6"/>
        <v>252819.47162049156</v>
      </c>
      <c r="H86" s="24">
        <f>+'Depr Allocation'!N14</f>
        <v>8.6483356140239567E-2</v>
      </c>
      <c r="I86" s="5">
        <f t="shared" si="11"/>
        <v>24835.165932724176</v>
      </c>
      <c r="K86" s="24">
        <f>+'Depr Allocation'!N16</f>
        <v>3.3124845287878547E-2</v>
      </c>
      <c r="L86" s="5">
        <f t="shared" si="7"/>
        <v>9512.3624467842183</v>
      </c>
      <c r="N86" s="5">
        <f t="shared" si="8"/>
        <v>287166.99999999994</v>
      </c>
      <c r="O86" s="10">
        <f>+E86+H86+K86</f>
        <v>0.99999999999999989</v>
      </c>
      <c r="P86" t="str">
        <f t="shared" si="10"/>
        <v xml:space="preserve"> </v>
      </c>
    </row>
    <row r="87" spans="1:16">
      <c r="A87">
        <v>5100</v>
      </c>
      <c r="B87" t="s">
        <v>307</v>
      </c>
      <c r="C87" s="5">
        <f>+'Results of Operations Co'!J86</f>
        <v>-21515.5</v>
      </c>
      <c r="E87" s="299">
        <f>+E86</f>
        <v>0.88039179857188177</v>
      </c>
      <c r="F87" s="5">
        <f t="shared" si="6"/>
        <v>-18942.069742173324</v>
      </c>
      <c r="H87" s="10">
        <f>+H86</f>
        <v>8.6483356140239567E-2</v>
      </c>
      <c r="I87" s="5">
        <f t="shared" si="11"/>
        <v>-1860.7326490353244</v>
      </c>
      <c r="K87" s="10">
        <f>+K86</f>
        <v>3.3124845287878547E-2</v>
      </c>
      <c r="L87" s="5">
        <f t="shared" si="7"/>
        <v>-712.69760879135083</v>
      </c>
      <c r="N87" s="5">
        <f t="shared" si="8"/>
        <v>-21515.5</v>
      </c>
      <c r="O87" s="10">
        <f>+E87+H87+K87</f>
        <v>0.99999999999999989</v>
      </c>
      <c r="P87" t="str">
        <f t="shared" si="10"/>
        <v xml:space="preserve"> </v>
      </c>
    </row>
    <row r="88" spans="1:16">
      <c r="A88" t="s">
        <v>308</v>
      </c>
      <c r="C88" s="5"/>
      <c r="E88" s="10"/>
      <c r="F88" s="5"/>
      <c r="H88" s="10"/>
      <c r="I88" s="5"/>
      <c r="K88" s="10"/>
      <c r="L88" s="5"/>
      <c r="N88" s="5"/>
      <c r="O88" s="10"/>
    </row>
    <row r="89" spans="1:16">
      <c r="A89">
        <v>5151</v>
      </c>
      <c r="B89" t="s">
        <v>309</v>
      </c>
      <c r="C89" s="5">
        <f>+'Results of Operations Co'!J88</f>
        <v>0</v>
      </c>
      <c r="E89" s="297">
        <v>1</v>
      </c>
      <c r="F89" s="5">
        <f t="shared" si="6"/>
        <v>0</v>
      </c>
      <c r="H89" s="14">
        <v>0</v>
      </c>
      <c r="I89" s="5">
        <f t="shared" si="11"/>
        <v>0</v>
      </c>
      <c r="K89" s="14">
        <v>0</v>
      </c>
      <c r="L89" s="5">
        <f t="shared" si="7"/>
        <v>0</v>
      </c>
      <c r="N89" s="5">
        <f t="shared" si="8"/>
        <v>0</v>
      </c>
      <c r="O89" s="10">
        <f>+E89+H89+K89</f>
        <v>1</v>
      </c>
      <c r="P89" t="str">
        <f t="shared" si="10"/>
        <v xml:space="preserve"> </v>
      </c>
    </row>
    <row r="90" spans="1:16">
      <c r="A90" t="s">
        <v>310</v>
      </c>
      <c r="C90" s="5"/>
      <c r="E90" s="10"/>
      <c r="F90" s="5"/>
      <c r="H90" s="10"/>
      <c r="I90" s="5"/>
      <c r="K90" s="10"/>
      <c r="L90" s="5"/>
      <c r="N90" s="5"/>
      <c r="O90" s="10"/>
    </row>
    <row r="91" spans="1:16">
      <c r="A91">
        <v>5220</v>
      </c>
      <c r="B91" t="s">
        <v>311</v>
      </c>
      <c r="C91" s="5">
        <f>+'Results of Operations Co'!J90</f>
        <v>8440.630000000001</v>
      </c>
      <c r="E91" s="299">
        <f>+E26</f>
        <v>0.87268768866286206</v>
      </c>
      <c r="F91" s="5">
        <f t="shared" si="6"/>
        <v>7366.0338855584141</v>
      </c>
      <c r="H91" s="10">
        <f>+H26</f>
        <v>9.2241138316527235E-2</v>
      </c>
      <c r="I91" s="5">
        <f t="shared" si="11"/>
        <v>778.57331930862938</v>
      </c>
      <c r="K91" s="10">
        <f>+K26</f>
        <v>3.507117302061067E-2</v>
      </c>
      <c r="L91" s="5">
        <f t="shared" si="7"/>
        <v>296.02279513295707</v>
      </c>
      <c r="N91" s="5">
        <f t="shared" si="8"/>
        <v>8440.630000000001</v>
      </c>
      <c r="O91" s="10">
        <f t="shared" ref="O91:O98" si="17">+E91+H91+K91</f>
        <v>1</v>
      </c>
      <c r="P91" t="str">
        <f t="shared" si="10"/>
        <v xml:space="preserve"> </v>
      </c>
    </row>
    <row r="92" spans="1:16">
      <c r="A92">
        <v>5230</v>
      </c>
      <c r="B92" t="s">
        <v>312</v>
      </c>
      <c r="C92" s="5">
        <f>+'Results of Operations Co'!J91</f>
        <v>2655.59</v>
      </c>
      <c r="E92" s="299">
        <f>'Container Count'!K27</f>
        <v>0.91930116472545753</v>
      </c>
      <c r="F92" s="5">
        <f t="shared" si="6"/>
        <v>2441.2869800332778</v>
      </c>
      <c r="H92" s="10">
        <f>'Container Count'!K23</f>
        <v>5.6572379367720464E-2</v>
      </c>
      <c r="I92" s="5">
        <f t="shared" si="11"/>
        <v>150.2330449251248</v>
      </c>
      <c r="K92" s="10">
        <f>'Container Count'!K25</f>
        <v>2.4126455906821963E-2</v>
      </c>
      <c r="L92" s="5">
        <f t="shared" si="7"/>
        <v>64.069975041597345</v>
      </c>
      <c r="N92" s="5">
        <f t="shared" si="8"/>
        <v>2655.59</v>
      </c>
      <c r="O92" s="10">
        <f t="shared" si="17"/>
        <v>0.99999999999999989</v>
      </c>
      <c r="P92" t="str">
        <f t="shared" si="10"/>
        <v xml:space="preserve"> </v>
      </c>
    </row>
    <row r="93" spans="1:16">
      <c r="A93">
        <v>5240</v>
      </c>
      <c r="B93" t="s">
        <v>313</v>
      </c>
      <c r="C93" s="5">
        <f>+'Results of Operations Co'!J92</f>
        <v>63250.929999999993</v>
      </c>
      <c r="E93" s="299">
        <f>+E26</f>
        <v>0.87268768866286206</v>
      </c>
      <c r="F93" s="5">
        <f t="shared" si="6"/>
        <v>55198.307907476476</v>
      </c>
      <c r="H93" s="10">
        <f>+H26</f>
        <v>9.2241138316527235E-2</v>
      </c>
      <c r="I93" s="5">
        <f t="shared" si="11"/>
        <v>5834.3377827789809</v>
      </c>
      <c r="K93" s="10">
        <f>+K26</f>
        <v>3.507117302061067E-2</v>
      </c>
      <c r="L93" s="5">
        <f t="shared" si="7"/>
        <v>2218.2843097445339</v>
      </c>
      <c r="N93" s="5">
        <f t="shared" si="8"/>
        <v>63250.929999999993</v>
      </c>
      <c r="O93" s="10">
        <f t="shared" si="17"/>
        <v>1</v>
      </c>
      <c r="P93" t="str">
        <f t="shared" si="10"/>
        <v xml:space="preserve"> </v>
      </c>
    </row>
    <row r="94" spans="1:16">
      <c r="A94">
        <v>5241</v>
      </c>
      <c r="B94" t="s">
        <v>314</v>
      </c>
      <c r="C94" s="5">
        <f>+'Results of Operations Co'!J93</f>
        <v>637.81000000000006</v>
      </c>
      <c r="E94" s="299">
        <f>+E26</f>
        <v>0.87268768866286206</v>
      </c>
      <c r="F94" s="5">
        <f t="shared" si="6"/>
        <v>556.60893470606015</v>
      </c>
      <c r="H94" s="10">
        <f>+H26</f>
        <v>9.2241138316527235E-2</v>
      </c>
      <c r="I94" s="5">
        <f t="shared" si="11"/>
        <v>58.832320429664243</v>
      </c>
      <c r="K94" s="10">
        <f>+K26</f>
        <v>3.507117302061067E-2</v>
      </c>
      <c r="L94" s="5">
        <f t="shared" si="7"/>
        <v>22.368744864275694</v>
      </c>
      <c r="N94" s="5">
        <f t="shared" si="8"/>
        <v>637.81000000000006</v>
      </c>
      <c r="O94" s="10">
        <f t="shared" si="17"/>
        <v>1</v>
      </c>
      <c r="P94" t="str">
        <f t="shared" si="10"/>
        <v xml:space="preserve"> </v>
      </c>
    </row>
    <row r="95" spans="1:16">
      <c r="A95">
        <v>5242</v>
      </c>
      <c r="B95" t="s">
        <v>315</v>
      </c>
      <c r="C95" s="5">
        <f>+'Results of Operations Co'!J94</f>
        <v>6701.8908524999988</v>
      </c>
      <c r="E95" s="299">
        <f>+E26</f>
        <v>0.87268768866286206</v>
      </c>
      <c r="F95" s="5">
        <f t="shared" si="6"/>
        <v>5848.657637739002</v>
      </c>
      <c r="H95" s="10">
        <f>+H26</f>
        <v>9.2241138316527235E-2</v>
      </c>
      <c r="I95" s="5">
        <f t="shared" si="11"/>
        <v>618.19004110772107</v>
      </c>
      <c r="K95" s="10">
        <f>+K26</f>
        <v>3.507117302061067E-2</v>
      </c>
      <c r="L95" s="5">
        <f t="shared" si="7"/>
        <v>235.0431736532754</v>
      </c>
      <c r="N95" s="5">
        <f t="shared" si="8"/>
        <v>6701.8908524999988</v>
      </c>
      <c r="O95" s="10">
        <f t="shared" si="17"/>
        <v>1</v>
      </c>
      <c r="P95" t="str">
        <f t="shared" si="10"/>
        <v xml:space="preserve"> </v>
      </c>
    </row>
    <row r="96" spans="1:16">
      <c r="A96">
        <v>5260</v>
      </c>
      <c r="B96" t="s">
        <v>316</v>
      </c>
      <c r="C96" s="5">
        <f>+'Results of Operations Co'!J95</f>
        <v>60851.468399375008</v>
      </c>
      <c r="E96" s="299">
        <f>+E22</f>
        <v>0.87443330190109392</v>
      </c>
      <c r="F96" s="5">
        <f t="shared" si="6"/>
        <v>53210.55043799556</v>
      </c>
      <c r="H96" s="10">
        <f>+H22</f>
        <v>9.1953326410921146E-2</v>
      </c>
      <c r="I96" s="5">
        <f t="shared" si="11"/>
        <v>5595.4949363115838</v>
      </c>
      <c r="K96" s="10">
        <f>+K22</f>
        <v>3.3613371687985033E-2</v>
      </c>
      <c r="L96" s="5">
        <f t="shared" si="7"/>
        <v>2045.4230250678679</v>
      </c>
      <c r="N96" s="5">
        <f t="shared" si="8"/>
        <v>60851.468399375008</v>
      </c>
      <c r="O96" s="10">
        <f t="shared" si="17"/>
        <v>1</v>
      </c>
      <c r="P96" t="str">
        <f t="shared" si="10"/>
        <v xml:space="preserve"> </v>
      </c>
    </row>
    <row r="97" spans="1:16">
      <c r="A97">
        <v>5270</v>
      </c>
      <c r="B97" t="s">
        <v>317</v>
      </c>
      <c r="C97" s="5">
        <f>+'Results of Operations Co'!J96</f>
        <v>10854.68</v>
      </c>
      <c r="E97" s="297">
        <v>1</v>
      </c>
      <c r="F97" s="5">
        <f t="shared" si="6"/>
        <v>10854.68</v>
      </c>
      <c r="H97" s="14">
        <v>0</v>
      </c>
      <c r="I97" s="5">
        <f t="shared" si="11"/>
        <v>0</v>
      </c>
      <c r="K97" s="14">
        <v>0</v>
      </c>
      <c r="L97" s="5">
        <f t="shared" si="7"/>
        <v>0</v>
      </c>
      <c r="N97" s="5">
        <f t="shared" si="8"/>
        <v>10854.68</v>
      </c>
      <c r="O97" s="10">
        <f t="shared" si="17"/>
        <v>1</v>
      </c>
      <c r="P97" t="str">
        <f t="shared" si="10"/>
        <v xml:space="preserve"> </v>
      </c>
    </row>
    <row r="98" spans="1:16">
      <c r="A98">
        <v>5290</v>
      </c>
      <c r="B98" t="s">
        <v>318</v>
      </c>
      <c r="C98" s="5">
        <f>+'Results of Operations Co'!J97</f>
        <v>274.92</v>
      </c>
      <c r="E98" s="299">
        <f>+E26</f>
        <v>0.87268768866286206</v>
      </c>
      <c r="F98" s="5">
        <f t="shared" si="6"/>
        <v>239.91929936719404</v>
      </c>
      <c r="H98" s="10">
        <f>+H26</f>
        <v>9.2241138316527235E-2</v>
      </c>
      <c r="I98" s="5">
        <f t="shared" si="11"/>
        <v>25.35893374597967</v>
      </c>
      <c r="K98" s="10">
        <f>+K26</f>
        <v>3.507117302061067E-2</v>
      </c>
      <c r="L98" s="5">
        <f t="shared" si="7"/>
        <v>9.6417668868262858</v>
      </c>
      <c r="N98" s="5">
        <f t="shared" si="8"/>
        <v>274.92</v>
      </c>
      <c r="O98" s="10">
        <f t="shared" si="17"/>
        <v>1</v>
      </c>
      <c r="P98" t="str">
        <f t="shared" si="10"/>
        <v xml:space="preserve"> </v>
      </c>
    </row>
    <row r="99" spans="1:16">
      <c r="A99" t="s">
        <v>319</v>
      </c>
      <c r="C99" s="5"/>
      <c r="E99" s="10"/>
      <c r="F99" s="5"/>
      <c r="H99" s="10"/>
      <c r="I99" s="5"/>
      <c r="K99" s="10"/>
      <c r="L99" s="5"/>
      <c r="N99" s="5"/>
      <c r="O99" s="10"/>
    </row>
    <row r="100" spans="1:16">
      <c r="A100">
        <v>5320</v>
      </c>
      <c r="B100" t="s">
        <v>320</v>
      </c>
      <c r="C100" s="5">
        <f>+'Results of Operations Co'!J99</f>
        <v>95760</v>
      </c>
      <c r="E100" s="300">
        <f>E65</f>
        <v>0.85910272785100583</v>
      </c>
      <c r="F100" s="5">
        <f t="shared" si="6"/>
        <v>82267.677219012316</v>
      </c>
      <c r="H100" s="300">
        <f>H65</f>
        <v>0.10130785133068518</v>
      </c>
      <c r="I100" s="5">
        <f t="shared" si="11"/>
        <v>9701.2398434264123</v>
      </c>
      <c r="K100" s="300">
        <f>K65</f>
        <v>3.9589420818309004E-2</v>
      </c>
      <c r="L100" s="5">
        <f t="shared" si="7"/>
        <v>3791.0829375612702</v>
      </c>
      <c r="N100" s="5">
        <f>+F100+I100+L100</f>
        <v>95760</v>
      </c>
      <c r="O100" s="10">
        <f>+E100+H100+K100</f>
        <v>1</v>
      </c>
    </row>
    <row r="101" spans="1:16" ht="13.5" thickBot="1">
      <c r="A101">
        <v>5322</v>
      </c>
      <c r="B101" s="459" t="s">
        <v>321</v>
      </c>
      <c r="C101" s="6">
        <f>+'Results of Operations Co'!J100</f>
        <v>30840</v>
      </c>
      <c r="D101" s="4"/>
      <c r="E101" s="301">
        <v>1</v>
      </c>
      <c r="F101" s="6">
        <f t="shared" si="6"/>
        <v>30840</v>
      </c>
      <c r="G101" s="4"/>
      <c r="H101" s="78">
        <v>0</v>
      </c>
      <c r="I101" s="6">
        <f t="shared" si="11"/>
        <v>0</v>
      </c>
      <c r="J101" s="4"/>
      <c r="K101" s="78">
        <v>0</v>
      </c>
      <c r="L101" s="6">
        <f t="shared" si="7"/>
        <v>0</v>
      </c>
      <c r="M101" s="4"/>
      <c r="N101" s="6">
        <f t="shared" si="8"/>
        <v>30840</v>
      </c>
      <c r="O101" s="11">
        <f>+E101+H101+K101</f>
        <v>1</v>
      </c>
      <c r="P101" t="str">
        <f t="shared" si="10"/>
        <v xml:space="preserve"> </v>
      </c>
    </row>
    <row r="102" spans="1:16">
      <c r="C102" s="5"/>
      <c r="E102" s="10"/>
      <c r="H102" s="10"/>
      <c r="K102" s="10"/>
      <c r="O102" s="10"/>
    </row>
    <row r="103" spans="1:16" ht="13.5" thickBot="1">
      <c r="B103" t="s">
        <v>322</v>
      </c>
      <c r="C103" s="6">
        <f>SUM(C26:C101)</f>
        <v>3204144.6735734562</v>
      </c>
      <c r="D103" s="4"/>
      <c r="E103" s="11">
        <f>+F103/C103</f>
        <v>0.88675704795716059</v>
      </c>
      <c r="F103" s="6">
        <f>SUM(F26:F101)</f>
        <v>2841297.8719656579</v>
      </c>
      <c r="G103" s="4"/>
      <c r="H103" s="11">
        <f>+I103/C103</f>
        <v>8.1523341489918119E-2</v>
      </c>
      <c r="I103" s="6">
        <f>SUM(I26:I101)</f>
        <v>261212.58040683108</v>
      </c>
      <c r="J103" s="4"/>
      <c r="K103" s="11">
        <f>+L103/C103</f>
        <v>3.171961055292169E-2</v>
      </c>
      <c r="L103" s="6">
        <f>SUM(L26:L101)</f>
        <v>101634.22120096843</v>
      </c>
      <c r="M103" s="4"/>
      <c r="N103" s="6">
        <f>SUM(N26:N101)</f>
        <v>3204144.6735734558</v>
      </c>
      <c r="O103" s="11">
        <f>+E103+H103+K103</f>
        <v>1.0000000000000004</v>
      </c>
    </row>
    <row r="104" spans="1:16">
      <c r="C104" s="5"/>
      <c r="E104" s="10"/>
      <c r="F104" s="5"/>
      <c r="H104" s="10"/>
      <c r="I104" s="5"/>
      <c r="K104" s="10"/>
      <c r="L104" s="5"/>
      <c r="N104" s="5"/>
      <c r="O104" s="10"/>
    </row>
    <row r="105" spans="1:16" ht="13.5" thickBot="1">
      <c r="B105" t="s">
        <v>323</v>
      </c>
      <c r="C105" s="7">
        <f>+C22-C103</f>
        <v>217745.61067654332</v>
      </c>
      <c r="D105" s="12"/>
      <c r="E105" s="13">
        <f>+F105/C105</f>
        <v>0.69308835923460232</v>
      </c>
      <c r="F105" s="7">
        <f>+F22-F103</f>
        <v>150916.94803434191</v>
      </c>
      <c r="G105" s="12"/>
      <c r="H105" s="13">
        <f>+I105/C105</f>
        <v>0.24543141731823606</v>
      </c>
      <c r="I105" s="7">
        <f>+I22-I103</f>
        <v>53441.61384316886</v>
      </c>
      <c r="J105" s="12"/>
      <c r="K105" s="13">
        <f>+L105/C105</f>
        <v>6.1480223447157097E-2</v>
      </c>
      <c r="L105" s="7">
        <f>+L22-L103</f>
        <v>13387.04879903156</v>
      </c>
      <c r="M105" s="12"/>
      <c r="N105" s="7">
        <f>+N22-N103</f>
        <v>217745.61067654379</v>
      </c>
      <c r="O105" s="13">
        <f>+E105+H105+K105</f>
        <v>0.99999999999999545</v>
      </c>
    </row>
    <row r="106" spans="1:16" ht="13.5" thickTop="1">
      <c r="C106" s="5"/>
      <c r="E106" s="10"/>
      <c r="F106" s="5"/>
      <c r="H106" s="10"/>
      <c r="I106" s="5"/>
      <c r="K106" s="10"/>
      <c r="L106" s="5"/>
      <c r="N106" s="5"/>
      <c r="O106" s="10"/>
    </row>
    <row r="107" spans="1:16">
      <c r="B107" t="s">
        <v>324</v>
      </c>
      <c r="C107" s="9">
        <f>+C103/C22</f>
        <v>0.93636686375400013</v>
      </c>
      <c r="E107" s="10"/>
      <c r="F107" s="9">
        <f>+F103/F22</f>
        <v>0.94956346482023579</v>
      </c>
      <c r="H107" s="10"/>
      <c r="I107" s="9">
        <f>+I103/I22</f>
        <v>0.83015763075858362</v>
      </c>
      <c r="K107" s="10"/>
      <c r="L107" s="9">
        <f>+L103/L22</f>
        <v>0.88361240665286034</v>
      </c>
      <c r="N107" s="9">
        <f>+N103/N22</f>
        <v>0.93636686375400002</v>
      </c>
      <c r="O107" s="10"/>
    </row>
  </sheetData>
  <mergeCells count="6">
    <mergeCell ref="K7:L7"/>
    <mergeCell ref="K8:L8"/>
    <mergeCell ref="E7:F7"/>
    <mergeCell ref="E8:F8"/>
    <mergeCell ref="H7:I7"/>
    <mergeCell ref="H8:I8"/>
  </mergeCells>
  <phoneticPr fontId="0" type="noConversion"/>
  <pageMargins left="0.25" right="0.25" top="0.28000000000000003" bottom="0.5" header="0.3" footer="0.5"/>
  <pageSetup scale="10" fitToHeight="2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</sheetPr>
  <dimension ref="A1:N116"/>
  <sheetViews>
    <sheetView topLeftCell="A79" workbookViewId="0">
      <selection activeCell="I89" sqref="I89"/>
    </sheetView>
  </sheetViews>
  <sheetFormatPr defaultRowHeight="12.75"/>
  <cols>
    <col min="1" max="1" width="6.5703125" customWidth="1"/>
    <col min="2" max="2" width="23.28515625" customWidth="1"/>
    <col min="4" max="4" width="12.7109375" customWidth="1"/>
    <col min="7" max="7" width="13" customWidth="1"/>
    <col min="9" max="9" width="12.28515625" bestFit="1" customWidth="1"/>
    <col min="10" max="10" width="13.5703125" customWidth="1"/>
    <col min="12" max="12" width="12" customWidth="1"/>
  </cols>
  <sheetData>
    <row r="1" spans="1:14">
      <c r="A1" t="s">
        <v>4</v>
      </c>
    </row>
    <row r="3" spans="1:14">
      <c r="A3" s="459" t="s">
        <v>764</v>
      </c>
      <c r="E3" s="459" t="s">
        <v>11</v>
      </c>
      <c r="F3" s="459" t="s">
        <v>12</v>
      </c>
    </row>
    <row r="5" spans="1:14">
      <c r="A5" s="459" t="s">
        <v>1420</v>
      </c>
    </row>
    <row r="6" spans="1:14">
      <c r="A6" s="459"/>
      <c r="I6" s="791"/>
      <c r="J6" s="790"/>
    </row>
    <row r="7" spans="1:14">
      <c r="A7" s="1"/>
      <c r="C7" s="791" t="s">
        <v>758</v>
      </c>
      <c r="D7" s="790"/>
      <c r="F7" s="790" t="s">
        <v>369</v>
      </c>
      <c r="G7" s="790"/>
      <c r="I7" s="791" t="s">
        <v>361</v>
      </c>
      <c r="J7" s="790"/>
    </row>
    <row r="8" spans="1:14">
      <c r="C8" s="791" t="s">
        <v>765</v>
      </c>
      <c r="D8" s="790"/>
      <c r="F8" s="790" t="s">
        <v>376</v>
      </c>
      <c r="G8" s="790"/>
      <c r="I8" s="790" t="s">
        <v>376</v>
      </c>
      <c r="J8" s="790"/>
      <c r="L8" s="530" t="s">
        <v>27</v>
      </c>
      <c r="M8" s="530" t="s">
        <v>27</v>
      </c>
    </row>
    <row r="9" spans="1:14" ht="13.5" thickBot="1">
      <c r="C9" s="2"/>
      <c r="D9" s="2" t="s">
        <v>174</v>
      </c>
      <c r="E9" s="2"/>
      <c r="F9" s="2" t="s">
        <v>392</v>
      </c>
      <c r="G9" s="2" t="s">
        <v>174</v>
      </c>
      <c r="H9" s="2"/>
      <c r="I9" s="2" t="s">
        <v>392</v>
      </c>
      <c r="J9" s="2" t="s">
        <v>174</v>
      </c>
      <c r="K9" s="2"/>
      <c r="L9" s="2" t="s">
        <v>174</v>
      </c>
      <c r="M9" s="2" t="s">
        <v>392</v>
      </c>
    </row>
    <row r="10" spans="1:14" ht="13.5" thickTop="1"/>
    <row r="11" spans="1:14">
      <c r="A11" t="s">
        <v>230</v>
      </c>
    </row>
    <row r="12" spans="1:14">
      <c r="A12">
        <v>3100</v>
      </c>
      <c r="B12" t="s">
        <v>231</v>
      </c>
      <c r="C12" s="14"/>
      <c r="D12" s="5">
        <f>'Cost Allocations-Recycle'!G12</f>
        <v>2122236.2999999998</v>
      </c>
      <c r="F12" s="531">
        <v>1</v>
      </c>
      <c r="G12" s="5">
        <f t="shared" ref="G12:G20" si="0">+D12*F12</f>
        <v>2122236.2999999998</v>
      </c>
      <c r="I12" s="10"/>
      <c r="J12" s="5">
        <f t="shared" ref="J12:J20" si="1">+D12*I12</f>
        <v>0</v>
      </c>
      <c r="L12" s="5">
        <f>+G12+J12</f>
        <v>2122236.2999999998</v>
      </c>
      <c r="M12" s="10">
        <f>+F12+I12</f>
        <v>1</v>
      </c>
      <c r="N12" t="str">
        <f t="shared" ref="N12:N20" si="2">IF(M12&lt;&gt;1,"ERR"," ")</f>
        <v xml:space="preserve"> </v>
      </c>
    </row>
    <row r="13" spans="1:14">
      <c r="A13">
        <v>3112</v>
      </c>
      <c r="B13" t="s">
        <v>232</v>
      </c>
      <c r="C13" s="14"/>
      <c r="D13" s="5">
        <f>'Cost Allocations-Recycle'!G13</f>
        <v>0</v>
      </c>
      <c r="F13" s="531">
        <v>1</v>
      </c>
      <c r="G13" s="5">
        <f t="shared" si="0"/>
        <v>0</v>
      </c>
      <c r="I13" s="14"/>
      <c r="J13" s="5">
        <f t="shared" si="1"/>
        <v>0</v>
      </c>
      <c r="L13" s="5">
        <f t="shared" ref="L13:L20" si="3">+G13+J13</f>
        <v>0</v>
      </c>
      <c r="M13" s="10">
        <f t="shared" ref="M13:M20" si="4">+F13+I13</f>
        <v>1</v>
      </c>
      <c r="N13" t="str">
        <f t="shared" si="2"/>
        <v xml:space="preserve"> </v>
      </c>
    </row>
    <row r="14" spans="1:14">
      <c r="A14">
        <v>3114</v>
      </c>
      <c r="B14" t="s">
        <v>233</v>
      </c>
      <c r="C14" s="14"/>
      <c r="D14" s="5">
        <f>'Cost Allocations-Recycle'!G14</f>
        <v>0</v>
      </c>
      <c r="F14" s="531">
        <v>1</v>
      </c>
      <c r="G14" s="5">
        <f t="shared" si="0"/>
        <v>0</v>
      </c>
      <c r="I14" s="10"/>
      <c r="J14" s="5">
        <f t="shared" si="1"/>
        <v>0</v>
      </c>
      <c r="L14" s="5">
        <f t="shared" si="3"/>
        <v>0</v>
      </c>
      <c r="M14" s="10">
        <f t="shared" si="4"/>
        <v>1</v>
      </c>
      <c r="N14" t="str">
        <f t="shared" si="2"/>
        <v xml:space="preserve"> </v>
      </c>
    </row>
    <row r="15" spans="1:14">
      <c r="A15">
        <v>3300</v>
      </c>
      <c r="B15" t="s">
        <v>234</v>
      </c>
      <c r="C15" s="14"/>
      <c r="D15" s="5">
        <f>'Cost Allocations-Recycle'!G15</f>
        <v>275552.33999999997</v>
      </c>
      <c r="F15" s="531">
        <v>0</v>
      </c>
      <c r="G15" s="5">
        <f t="shared" si="0"/>
        <v>0</v>
      </c>
      <c r="I15" s="10">
        <v>1</v>
      </c>
      <c r="J15" s="5">
        <f t="shared" si="1"/>
        <v>275552.33999999997</v>
      </c>
      <c r="L15" s="5">
        <f t="shared" si="3"/>
        <v>275552.33999999997</v>
      </c>
      <c r="M15" s="10">
        <f t="shared" si="4"/>
        <v>1</v>
      </c>
      <c r="N15" t="str">
        <f t="shared" si="2"/>
        <v xml:space="preserve"> </v>
      </c>
    </row>
    <row r="16" spans="1:14">
      <c r="A16">
        <v>3310</v>
      </c>
      <c r="B16" t="s">
        <v>235</v>
      </c>
      <c r="C16" s="14"/>
      <c r="D16" s="5">
        <f>'Cost Allocations-Recycle'!G16</f>
        <v>466537.93999999994</v>
      </c>
      <c r="F16" s="531">
        <v>0</v>
      </c>
      <c r="G16" s="5">
        <f t="shared" si="0"/>
        <v>0</v>
      </c>
      <c r="I16" s="10">
        <v>1</v>
      </c>
      <c r="J16" s="5">
        <f t="shared" si="1"/>
        <v>466537.93999999994</v>
      </c>
      <c r="L16" s="5">
        <f t="shared" si="3"/>
        <v>466537.93999999994</v>
      </c>
      <c r="M16" s="10">
        <f t="shared" si="4"/>
        <v>1</v>
      </c>
      <c r="N16" t="str">
        <f t="shared" si="2"/>
        <v xml:space="preserve"> </v>
      </c>
    </row>
    <row r="17" spans="1:14">
      <c r="A17">
        <v>3510</v>
      </c>
      <c r="B17" t="s">
        <v>236</v>
      </c>
      <c r="C17" s="14"/>
      <c r="D17" s="5">
        <f>'Cost Allocations-Recycle'!G17</f>
        <v>0</v>
      </c>
      <c r="F17" s="531">
        <v>1</v>
      </c>
      <c r="G17" s="5">
        <f t="shared" si="0"/>
        <v>0</v>
      </c>
      <c r="I17" s="10"/>
      <c r="J17" s="5">
        <f t="shared" si="1"/>
        <v>0</v>
      </c>
      <c r="L17" s="5">
        <f t="shared" si="3"/>
        <v>0</v>
      </c>
      <c r="M17" s="10">
        <f t="shared" si="4"/>
        <v>1</v>
      </c>
    </row>
    <row r="18" spans="1:14">
      <c r="A18">
        <v>3550</v>
      </c>
      <c r="B18" t="s">
        <v>237</v>
      </c>
      <c r="C18" s="14"/>
      <c r="D18" s="5">
        <f>'Cost Allocations-Recycle'!G18</f>
        <v>0</v>
      </c>
      <c r="F18" s="531">
        <v>1</v>
      </c>
      <c r="G18" s="5">
        <f t="shared" si="0"/>
        <v>0</v>
      </c>
      <c r="I18" s="71"/>
      <c r="J18" s="5">
        <f t="shared" si="1"/>
        <v>0</v>
      </c>
      <c r="L18" s="5">
        <f t="shared" si="3"/>
        <v>0</v>
      </c>
      <c r="M18" s="10">
        <f t="shared" si="4"/>
        <v>1</v>
      </c>
    </row>
    <row r="19" spans="1:14">
      <c r="A19">
        <v>3400</v>
      </c>
      <c r="B19" t="s">
        <v>238</v>
      </c>
      <c r="C19" s="14"/>
      <c r="D19" s="5">
        <f>'Cost Allocations-Recycle'!G19</f>
        <v>0</v>
      </c>
      <c r="F19" s="531">
        <v>1</v>
      </c>
      <c r="G19" s="5">
        <f t="shared" si="0"/>
        <v>0</v>
      </c>
      <c r="I19" s="10"/>
      <c r="J19" s="5">
        <f t="shared" si="1"/>
        <v>0</v>
      </c>
      <c r="L19" s="5">
        <f t="shared" si="3"/>
        <v>0</v>
      </c>
      <c r="M19" s="10">
        <f t="shared" si="4"/>
        <v>1</v>
      </c>
      <c r="N19" t="str">
        <f t="shared" si="2"/>
        <v xml:space="preserve"> </v>
      </c>
    </row>
    <row r="20" spans="1:14" ht="13.5" thickBot="1">
      <c r="A20">
        <v>3500</v>
      </c>
      <c r="B20" t="s">
        <v>239</v>
      </c>
      <c r="C20" s="23"/>
      <c r="D20" s="6">
        <f>'Cost Allocations-Recycle'!G20</f>
        <v>0</v>
      </c>
      <c r="E20" s="4"/>
      <c r="F20" s="532">
        <v>1</v>
      </c>
      <c r="G20" s="6">
        <f t="shared" si="0"/>
        <v>0</v>
      </c>
      <c r="H20" s="4"/>
      <c r="I20" s="11"/>
      <c r="J20" s="6">
        <f t="shared" si="1"/>
        <v>0</v>
      </c>
      <c r="K20" s="4"/>
      <c r="L20" s="6">
        <f t="shared" si="3"/>
        <v>0</v>
      </c>
      <c r="M20" s="11">
        <f t="shared" si="4"/>
        <v>1</v>
      </c>
      <c r="N20" t="str">
        <f t="shared" si="2"/>
        <v xml:space="preserve"> </v>
      </c>
    </row>
    <row r="21" spans="1:14">
      <c r="C21" s="10"/>
      <c r="D21" s="5"/>
      <c r="F21" s="10"/>
      <c r="I21" s="10"/>
      <c r="M21" s="10"/>
    </row>
    <row r="22" spans="1:14" ht="13.5" thickBot="1">
      <c r="B22" t="s">
        <v>240</v>
      </c>
      <c r="C22" s="11"/>
      <c r="D22" s="6">
        <f>SUM(D12:D20)</f>
        <v>2864326.5799999996</v>
      </c>
      <c r="E22" s="4"/>
      <c r="F22" s="11">
        <f>+G22/D22</f>
        <v>0.74091980810372537</v>
      </c>
      <c r="G22" s="6">
        <f>SUM(G12:G20)</f>
        <v>2122236.2999999998</v>
      </c>
      <c r="H22" s="4"/>
      <c r="I22" s="11">
        <f>+J22/D22</f>
        <v>0.25908019189627463</v>
      </c>
      <c r="J22" s="6">
        <f>SUM(J12:J20)</f>
        <v>742090.27999999991</v>
      </c>
      <c r="K22" s="4"/>
      <c r="L22" s="6">
        <f>SUM(L12:L20)</f>
        <v>2864326.5799999996</v>
      </c>
      <c r="M22" s="11">
        <f>+F22+I22</f>
        <v>1</v>
      </c>
    </row>
    <row r="23" spans="1:14">
      <c r="C23" s="10"/>
      <c r="D23" s="5"/>
      <c r="F23" s="10"/>
      <c r="I23" s="10"/>
      <c r="M23" s="10"/>
    </row>
    <row r="24" spans="1:14">
      <c r="A24" t="s">
        <v>241</v>
      </c>
      <c r="C24" s="10"/>
      <c r="D24" s="5"/>
      <c r="F24" s="10"/>
      <c r="I24" s="10"/>
      <c r="M24" s="10"/>
    </row>
    <row r="25" spans="1:14">
      <c r="A25" t="s">
        <v>242</v>
      </c>
      <c r="C25" s="10"/>
      <c r="D25" s="5"/>
      <c r="F25" s="10"/>
      <c r="I25" s="10"/>
      <c r="M25" s="10"/>
    </row>
    <row r="26" spans="1:14">
      <c r="A26">
        <v>4116</v>
      </c>
      <c r="B26" t="s">
        <v>243</v>
      </c>
      <c r="C26" s="531"/>
      <c r="D26" s="5">
        <f>'Cost Allocations-Recycle'!G26</f>
        <v>107985.47407732034</v>
      </c>
      <c r="F26" s="531">
        <v>1</v>
      </c>
      <c r="G26" s="5">
        <f t="shared" ref="G26:G39" si="5">+D26*F26</f>
        <v>107985.47407732034</v>
      </c>
      <c r="I26" s="531">
        <v>0</v>
      </c>
      <c r="J26" s="5">
        <f t="shared" ref="J26:J39" si="6">+D26*I26</f>
        <v>0</v>
      </c>
      <c r="L26" s="5">
        <f>+G26+J26</f>
        <v>107985.47407732034</v>
      </c>
      <c r="M26" s="10">
        <f>+F26+I26</f>
        <v>1</v>
      </c>
      <c r="N26" t="str">
        <f t="shared" ref="N26:N99" si="7">IF(M26&lt;&gt;1,"ERR"," ")</f>
        <v xml:space="preserve"> </v>
      </c>
    </row>
    <row r="27" spans="1:14">
      <c r="A27">
        <v>4117</v>
      </c>
      <c r="B27" t="s">
        <v>754</v>
      </c>
      <c r="C27" s="14"/>
      <c r="D27" s="5">
        <f>'Cost Allocations-Recycle'!G27</f>
        <v>1875.4300000000003</v>
      </c>
      <c r="F27" s="531">
        <v>0</v>
      </c>
      <c r="G27" s="514">
        <f t="shared" si="5"/>
        <v>0</v>
      </c>
      <c r="H27" s="459"/>
      <c r="I27" s="531">
        <v>1</v>
      </c>
      <c r="J27" s="5">
        <f t="shared" si="6"/>
        <v>1875.4300000000003</v>
      </c>
      <c r="L27" s="5">
        <f t="shared" ref="L27:L39" si="8">+G27+J27</f>
        <v>1875.4300000000003</v>
      </c>
      <c r="M27" s="10">
        <f t="shared" ref="M27:M39" si="9">+F27+I27</f>
        <v>1</v>
      </c>
      <c r="N27" t="str">
        <f t="shared" si="7"/>
        <v xml:space="preserve"> </v>
      </c>
    </row>
    <row r="28" spans="1:14">
      <c r="A28">
        <v>4118</v>
      </c>
      <c r="B28" t="s">
        <v>246</v>
      </c>
      <c r="C28" s="531"/>
      <c r="D28" s="5">
        <f>'Cost Allocations-Recycle'!G28</f>
        <v>8899.3868552412623</v>
      </c>
      <c r="F28" s="531">
        <v>1</v>
      </c>
      <c r="G28" s="514">
        <f t="shared" si="5"/>
        <v>8899.3868552412623</v>
      </c>
      <c r="H28" s="459"/>
      <c r="I28" s="531">
        <f>+'Allocations-Hours &amp; Miles'!E28</f>
        <v>0</v>
      </c>
      <c r="J28" s="5">
        <f t="shared" si="6"/>
        <v>0</v>
      </c>
      <c r="L28" s="5">
        <f t="shared" si="8"/>
        <v>8899.3868552412623</v>
      </c>
      <c r="M28" s="10">
        <f t="shared" si="9"/>
        <v>1</v>
      </c>
      <c r="N28" s="459"/>
    </row>
    <row r="29" spans="1:14">
      <c r="A29">
        <v>4120</v>
      </c>
      <c r="B29" t="s">
        <v>247</v>
      </c>
      <c r="C29" s="531"/>
      <c r="D29" s="5">
        <f>'Cost Allocations-Recycle'!G29</f>
        <v>0</v>
      </c>
      <c r="F29" s="531">
        <f>+F27</f>
        <v>0</v>
      </c>
      <c r="G29" s="514">
        <f t="shared" si="5"/>
        <v>0</v>
      </c>
      <c r="H29" s="459"/>
      <c r="I29" s="531">
        <v>1</v>
      </c>
      <c r="J29" s="5">
        <f t="shared" si="6"/>
        <v>0</v>
      </c>
      <c r="L29" s="5">
        <f t="shared" si="8"/>
        <v>0</v>
      </c>
      <c r="M29" s="10">
        <f t="shared" si="9"/>
        <v>1</v>
      </c>
      <c r="N29" t="str">
        <f t="shared" si="7"/>
        <v xml:space="preserve"> </v>
      </c>
    </row>
    <row r="30" spans="1:14">
      <c r="A30">
        <v>4122</v>
      </c>
      <c r="B30" t="s">
        <v>248</v>
      </c>
      <c r="C30" s="71"/>
      <c r="D30" s="5">
        <f>'Cost Allocations-Recycle'!G30</f>
        <v>0</v>
      </c>
      <c r="F30" s="531">
        <v>1</v>
      </c>
      <c r="G30" s="514">
        <f t="shared" si="5"/>
        <v>0</v>
      </c>
      <c r="H30" s="459"/>
      <c r="I30" s="531">
        <v>0</v>
      </c>
      <c r="J30" s="5">
        <f t="shared" si="6"/>
        <v>0</v>
      </c>
      <c r="L30" s="5">
        <f t="shared" si="8"/>
        <v>0</v>
      </c>
      <c r="M30" s="10">
        <f t="shared" si="9"/>
        <v>1</v>
      </c>
      <c r="N30" s="459"/>
    </row>
    <row r="31" spans="1:14">
      <c r="A31">
        <v>4132</v>
      </c>
      <c r="B31" t="s">
        <v>249</v>
      </c>
      <c r="C31" s="10"/>
      <c r="D31" s="5">
        <f>'Cost Allocations-Recycle'!G31</f>
        <v>60980.09920372624</v>
      </c>
      <c r="F31" s="10">
        <f>+F26</f>
        <v>1</v>
      </c>
      <c r="G31" s="5">
        <f t="shared" si="5"/>
        <v>60980.09920372624</v>
      </c>
      <c r="I31" s="10">
        <f>+I26</f>
        <v>0</v>
      </c>
      <c r="J31" s="5">
        <f t="shared" si="6"/>
        <v>0</v>
      </c>
      <c r="L31" s="5">
        <f t="shared" si="8"/>
        <v>60980.09920372624</v>
      </c>
      <c r="M31" s="10">
        <f t="shared" si="9"/>
        <v>1</v>
      </c>
      <c r="N31" t="str">
        <f t="shared" si="7"/>
        <v xml:space="preserve"> </v>
      </c>
    </row>
    <row r="32" spans="1:14">
      <c r="A32">
        <v>4133</v>
      </c>
      <c r="B32" t="s">
        <v>250</v>
      </c>
      <c r="C32" s="10"/>
      <c r="D32" s="5">
        <f>'Cost Allocations-Recycle'!G32</f>
        <v>13243.509999999998</v>
      </c>
      <c r="F32" s="10">
        <f>+F27</f>
        <v>0</v>
      </c>
      <c r="G32" s="5">
        <f t="shared" si="5"/>
        <v>0</v>
      </c>
      <c r="I32" s="10">
        <f>+I27</f>
        <v>1</v>
      </c>
      <c r="J32" s="5">
        <f t="shared" si="6"/>
        <v>13243.509999999998</v>
      </c>
      <c r="L32" s="5">
        <f t="shared" si="8"/>
        <v>13243.509999999998</v>
      </c>
      <c r="M32" s="10">
        <f t="shared" si="9"/>
        <v>1</v>
      </c>
      <c r="N32" t="str">
        <f t="shared" si="7"/>
        <v xml:space="preserve"> </v>
      </c>
    </row>
    <row r="33" spans="1:14">
      <c r="A33">
        <v>4134</v>
      </c>
      <c r="B33" t="s">
        <v>251</v>
      </c>
      <c r="C33" s="10"/>
      <c r="D33" s="5">
        <f>'Cost Allocations-Recycle'!G33</f>
        <v>12266.924916805325</v>
      </c>
      <c r="F33" s="10">
        <f>+F28</f>
        <v>1</v>
      </c>
      <c r="G33" s="5">
        <f t="shared" si="5"/>
        <v>12266.924916805325</v>
      </c>
      <c r="I33" s="10">
        <f>+I28</f>
        <v>0</v>
      </c>
      <c r="J33" s="5">
        <f t="shared" si="6"/>
        <v>0</v>
      </c>
      <c r="L33" s="5">
        <f t="shared" si="8"/>
        <v>12266.924916805325</v>
      </c>
      <c r="M33" s="10">
        <f t="shared" si="9"/>
        <v>1</v>
      </c>
      <c r="N33" t="str">
        <f t="shared" si="7"/>
        <v xml:space="preserve"> </v>
      </c>
    </row>
    <row r="34" spans="1:14">
      <c r="A34">
        <v>4136</v>
      </c>
      <c r="B34" t="s">
        <v>252</v>
      </c>
      <c r="C34" s="10"/>
      <c r="D34" s="5">
        <f>'Cost Allocations-Recycle'!G34</f>
        <v>37.83</v>
      </c>
      <c r="F34" s="10">
        <f>+F27</f>
        <v>0</v>
      </c>
      <c r="G34" s="5">
        <f t="shared" si="5"/>
        <v>0</v>
      </c>
      <c r="I34" s="10">
        <f>+I29</f>
        <v>1</v>
      </c>
      <c r="J34" s="5">
        <f t="shared" si="6"/>
        <v>37.83</v>
      </c>
      <c r="L34" s="5">
        <f t="shared" si="8"/>
        <v>37.83</v>
      </c>
      <c r="M34" s="10">
        <f t="shared" si="9"/>
        <v>1</v>
      </c>
      <c r="N34" t="str">
        <f t="shared" si="7"/>
        <v xml:space="preserve"> </v>
      </c>
    </row>
    <row r="35" spans="1:14">
      <c r="A35">
        <v>4138</v>
      </c>
      <c r="B35" t="s">
        <v>253</v>
      </c>
      <c r="C35" s="10"/>
      <c r="D35" s="5">
        <f>'Cost Allocations-Recycle'!G35</f>
        <v>0</v>
      </c>
      <c r="F35" s="10">
        <v>1</v>
      </c>
      <c r="G35" s="5">
        <f t="shared" si="5"/>
        <v>0</v>
      </c>
      <c r="I35" s="10">
        <f>+I30</f>
        <v>0</v>
      </c>
      <c r="J35" s="5">
        <f t="shared" si="6"/>
        <v>0</v>
      </c>
      <c r="L35" s="5">
        <f t="shared" si="8"/>
        <v>0</v>
      </c>
      <c r="M35" s="10">
        <f t="shared" si="9"/>
        <v>1</v>
      </c>
      <c r="N35" t="str">
        <f>IF(M35&lt;&gt;1,"ERR"," ")</f>
        <v xml:space="preserve"> </v>
      </c>
    </row>
    <row r="36" spans="1:14">
      <c r="A36">
        <v>4160</v>
      </c>
      <c r="B36" t="s">
        <v>254</v>
      </c>
      <c r="C36" s="531"/>
      <c r="D36" s="5">
        <f>'Cost Allocations-Recycle'!G36</f>
        <v>18151.884985541346</v>
      </c>
      <c r="F36" s="531">
        <v>1</v>
      </c>
      <c r="G36" s="5">
        <f t="shared" si="5"/>
        <v>18151.884985541346</v>
      </c>
      <c r="I36" s="531">
        <v>0</v>
      </c>
      <c r="J36" s="5">
        <f t="shared" si="6"/>
        <v>0</v>
      </c>
      <c r="L36" s="5">
        <f t="shared" si="8"/>
        <v>18151.884985541346</v>
      </c>
      <c r="M36" s="10">
        <f t="shared" si="9"/>
        <v>1</v>
      </c>
      <c r="N36" t="str">
        <f t="shared" si="7"/>
        <v xml:space="preserve"> </v>
      </c>
    </row>
    <row r="37" spans="1:14">
      <c r="A37">
        <v>4161</v>
      </c>
      <c r="B37" t="s">
        <v>256</v>
      </c>
      <c r="C37" s="531"/>
      <c r="D37" s="5">
        <f>'Cost Allocations-Recycle'!G37</f>
        <v>0</v>
      </c>
      <c r="F37" s="531">
        <f>+F27</f>
        <v>0</v>
      </c>
      <c r="G37" s="5">
        <f t="shared" si="5"/>
        <v>0</v>
      </c>
      <c r="I37" s="531">
        <v>1</v>
      </c>
      <c r="J37" s="5">
        <f t="shared" si="6"/>
        <v>0</v>
      </c>
      <c r="L37" s="5">
        <f t="shared" si="8"/>
        <v>0</v>
      </c>
      <c r="M37" s="10">
        <f t="shared" si="9"/>
        <v>1</v>
      </c>
      <c r="N37" t="str">
        <f t="shared" si="7"/>
        <v xml:space="preserve"> </v>
      </c>
    </row>
    <row r="38" spans="1:14">
      <c r="A38">
        <v>4162</v>
      </c>
      <c r="B38" t="s">
        <v>257</v>
      </c>
      <c r="C38" s="531"/>
      <c r="D38" s="5">
        <f>'Cost Allocations-Recycle'!G38</f>
        <v>0</v>
      </c>
      <c r="F38" s="531">
        <f>+F28</f>
        <v>1</v>
      </c>
      <c r="G38" s="5">
        <f>+D38*F38</f>
        <v>0</v>
      </c>
      <c r="I38" s="531">
        <v>0</v>
      </c>
      <c r="J38" s="5">
        <f>+D38*I38</f>
        <v>0</v>
      </c>
      <c r="L38" s="5">
        <f>+G38+J38</f>
        <v>0</v>
      </c>
      <c r="M38" s="10">
        <f>+F38+I38</f>
        <v>1</v>
      </c>
      <c r="N38" t="str">
        <f>IF(M38&lt;&gt;1,"ERR"," ")</f>
        <v xml:space="preserve"> </v>
      </c>
    </row>
    <row r="39" spans="1:14">
      <c r="A39">
        <v>4180</v>
      </c>
      <c r="B39" t="s">
        <v>258</v>
      </c>
      <c r="C39" s="10"/>
      <c r="D39" s="5">
        <f>'Cost Allocations-Recycle'!G39</f>
        <v>12769.953277658082</v>
      </c>
      <c r="F39" s="10">
        <f>+F26</f>
        <v>1</v>
      </c>
      <c r="G39" s="5">
        <f t="shared" si="5"/>
        <v>12769.953277658082</v>
      </c>
      <c r="I39" s="10">
        <f>+I26</f>
        <v>0</v>
      </c>
      <c r="J39" s="5">
        <f t="shared" si="6"/>
        <v>0</v>
      </c>
      <c r="L39" s="5">
        <f t="shared" si="8"/>
        <v>12769.953277658082</v>
      </c>
      <c r="M39" s="10">
        <f t="shared" si="9"/>
        <v>1</v>
      </c>
      <c r="N39" t="str">
        <f t="shared" si="7"/>
        <v xml:space="preserve"> </v>
      </c>
    </row>
    <row r="40" spans="1:14">
      <c r="A40" t="s">
        <v>259</v>
      </c>
      <c r="C40" s="10"/>
      <c r="D40" s="5"/>
      <c r="F40" s="10"/>
      <c r="G40" s="5"/>
      <c r="I40" s="10"/>
      <c r="J40" s="5"/>
      <c r="L40" s="5"/>
      <c r="M40" s="10"/>
    </row>
    <row r="41" spans="1:14">
      <c r="A41">
        <v>4210</v>
      </c>
      <c r="B41" t="s">
        <v>260</v>
      </c>
      <c r="C41" s="10"/>
      <c r="D41" s="5">
        <f>'Cost Allocations-Recycle'!G41</f>
        <v>0</v>
      </c>
      <c r="F41" s="531">
        <f>1-I41</f>
        <v>0.87228841229087017</v>
      </c>
      <c r="G41" s="5">
        <f t="shared" ref="G41:G50" si="10">+D41*F41</f>
        <v>0</v>
      </c>
      <c r="I41" s="531">
        <f>'Allocations-Hours &amp; Miles'!I80</f>
        <v>0.1277115877091298</v>
      </c>
      <c r="J41" s="5">
        <f t="shared" ref="J41:J50" si="11">+D41*I41</f>
        <v>0</v>
      </c>
      <c r="L41" s="5">
        <f t="shared" ref="L41:L50" si="12">+G41+J41</f>
        <v>0</v>
      </c>
      <c r="M41" s="10">
        <f t="shared" ref="M41:M50" si="13">+F41+I41</f>
        <v>1</v>
      </c>
      <c r="N41" t="s">
        <v>766</v>
      </c>
    </row>
    <row r="42" spans="1:14">
      <c r="A42">
        <v>4213</v>
      </c>
      <c r="B42" t="s">
        <v>261</v>
      </c>
      <c r="C42" s="10"/>
      <c r="D42" s="5">
        <f>'Cost Allocations-Recycle'!G42</f>
        <v>318929.60365172644</v>
      </c>
      <c r="F42" s="10">
        <v>1</v>
      </c>
      <c r="G42" s="5">
        <f t="shared" si="10"/>
        <v>318929.60365172644</v>
      </c>
      <c r="I42" s="10">
        <v>0</v>
      </c>
      <c r="J42" s="5">
        <f t="shared" si="11"/>
        <v>0</v>
      </c>
      <c r="L42" s="5">
        <f t="shared" si="12"/>
        <v>318929.60365172644</v>
      </c>
      <c r="M42" s="10">
        <f t="shared" si="13"/>
        <v>1</v>
      </c>
      <c r="N42" t="str">
        <f t="shared" si="7"/>
        <v xml:space="preserve"> </v>
      </c>
    </row>
    <row r="43" spans="1:14">
      <c r="A43">
        <v>4215</v>
      </c>
      <c r="B43" t="s">
        <v>262</v>
      </c>
      <c r="C43" s="531"/>
      <c r="D43" s="5">
        <f>'Cost Allocations-Recycle'!G43</f>
        <v>54742.020000000004</v>
      </c>
      <c r="F43" s="531">
        <f>+F27</f>
        <v>0</v>
      </c>
      <c r="G43" s="5">
        <f t="shared" si="10"/>
        <v>0</v>
      </c>
      <c r="I43" s="531">
        <f>+I27</f>
        <v>1</v>
      </c>
      <c r="J43" s="5">
        <f t="shared" si="11"/>
        <v>54742.020000000004</v>
      </c>
      <c r="L43" s="5">
        <f t="shared" si="12"/>
        <v>54742.020000000004</v>
      </c>
      <c r="M43" s="10">
        <f t="shared" si="13"/>
        <v>1</v>
      </c>
      <c r="N43" t="str">
        <f t="shared" si="7"/>
        <v xml:space="preserve"> </v>
      </c>
    </row>
    <row r="44" spans="1:14">
      <c r="A44">
        <v>4217</v>
      </c>
      <c r="B44" t="s">
        <v>264</v>
      </c>
      <c r="C44" s="10"/>
      <c r="D44" s="5">
        <f>'Cost Allocations-Recycle'!G44</f>
        <v>19114.629865717736</v>
      </c>
      <c r="F44" s="10">
        <v>1</v>
      </c>
      <c r="G44" s="5">
        <f t="shared" si="10"/>
        <v>19114.629865717736</v>
      </c>
      <c r="I44" s="10">
        <f>'Allocations-Hours &amp; Miles'!J51</f>
        <v>0</v>
      </c>
      <c r="J44" s="5">
        <f t="shared" si="11"/>
        <v>0</v>
      </c>
      <c r="L44" s="5">
        <f t="shared" si="12"/>
        <v>19114.629865717736</v>
      </c>
      <c r="M44" s="10">
        <f t="shared" si="13"/>
        <v>1</v>
      </c>
      <c r="N44" t="str">
        <f t="shared" si="7"/>
        <v xml:space="preserve"> </v>
      </c>
    </row>
    <row r="45" spans="1:14">
      <c r="A45">
        <v>4222</v>
      </c>
      <c r="B45" t="s">
        <v>265</v>
      </c>
      <c r="C45" s="10"/>
      <c r="D45" s="5">
        <f>'Cost Allocations-Recycle'!G45</f>
        <v>0</v>
      </c>
      <c r="F45" s="10">
        <v>1</v>
      </c>
      <c r="G45" s="5">
        <f t="shared" si="10"/>
        <v>0</v>
      </c>
      <c r="I45" s="10">
        <v>0</v>
      </c>
      <c r="J45" s="5">
        <f t="shared" si="11"/>
        <v>0</v>
      </c>
      <c r="L45" s="5">
        <f t="shared" si="12"/>
        <v>0</v>
      </c>
      <c r="M45" s="10">
        <f t="shared" si="13"/>
        <v>1</v>
      </c>
      <c r="N45" t="str">
        <f>IF(M45&lt;&gt;1,"ERR"," ")</f>
        <v xml:space="preserve"> </v>
      </c>
    </row>
    <row r="46" spans="1:14">
      <c r="A46">
        <v>4240</v>
      </c>
      <c r="B46" t="s">
        <v>266</v>
      </c>
      <c r="C46" s="10"/>
      <c r="D46" s="5">
        <f>'Cost Allocations-Recycle'!G46</f>
        <v>87760.758213382462</v>
      </c>
      <c r="F46" s="10">
        <f>'Allocations-Hours &amp; Miles'!I74</f>
        <v>0.96080333903186554</v>
      </c>
      <c r="G46" s="5">
        <f t="shared" si="10"/>
        <v>84320.829527386086</v>
      </c>
      <c r="I46" s="10">
        <f>'Allocations-Hours &amp; Miles'!J74</f>
        <v>3.9196660968134456E-2</v>
      </c>
      <c r="J46" s="5">
        <f t="shared" si="11"/>
        <v>3439.9286859963736</v>
      </c>
      <c r="L46" s="5">
        <f t="shared" si="12"/>
        <v>87760.758213382462</v>
      </c>
      <c r="M46" s="10">
        <f t="shared" si="13"/>
        <v>1</v>
      </c>
      <c r="N46" t="str">
        <f t="shared" si="7"/>
        <v xml:space="preserve"> </v>
      </c>
    </row>
    <row r="47" spans="1:14">
      <c r="A47">
        <v>4241</v>
      </c>
      <c r="B47" t="s">
        <v>267</v>
      </c>
      <c r="C47" s="10"/>
      <c r="D47" s="5">
        <f>'Cost Allocations-Recycle'!G47</f>
        <v>25731.398991948474</v>
      </c>
      <c r="F47" s="10">
        <f>+F27</f>
        <v>0</v>
      </c>
      <c r="G47" s="5">
        <f t="shared" si="10"/>
        <v>0</v>
      </c>
      <c r="I47" s="10">
        <f>+I27</f>
        <v>1</v>
      </c>
      <c r="J47" s="5">
        <f t="shared" si="11"/>
        <v>25731.398991948474</v>
      </c>
      <c r="L47" s="5">
        <f t="shared" si="12"/>
        <v>25731.398991948474</v>
      </c>
      <c r="M47" s="10">
        <f t="shared" si="13"/>
        <v>1</v>
      </c>
      <c r="N47" t="str">
        <f t="shared" si="7"/>
        <v xml:space="preserve"> </v>
      </c>
    </row>
    <row r="48" spans="1:14">
      <c r="A48">
        <v>4244</v>
      </c>
      <c r="B48" t="s">
        <v>268</v>
      </c>
      <c r="C48" s="10"/>
      <c r="D48" s="5">
        <f>'Cost Allocations-Recycle'!G48</f>
        <v>0</v>
      </c>
      <c r="F48" s="10">
        <f>F45</f>
        <v>1</v>
      </c>
      <c r="G48" s="5">
        <f t="shared" si="10"/>
        <v>0</v>
      </c>
      <c r="I48" s="10">
        <v>0</v>
      </c>
      <c r="J48" s="5">
        <f t="shared" si="11"/>
        <v>0</v>
      </c>
      <c r="L48" s="5">
        <f t="shared" si="12"/>
        <v>0</v>
      </c>
      <c r="M48" s="10">
        <f t="shared" si="13"/>
        <v>1</v>
      </c>
      <c r="N48" t="str">
        <f>IF(M48&lt;&gt;1,"ERR"," ")</f>
        <v xml:space="preserve"> </v>
      </c>
    </row>
    <row r="49" spans="1:14">
      <c r="A49">
        <v>4280</v>
      </c>
      <c r="B49" t="s">
        <v>269</v>
      </c>
      <c r="C49" s="10"/>
      <c r="D49" s="5">
        <f>'Cost Allocations-Recycle'!G49</f>
        <v>4349.3604723524531</v>
      </c>
      <c r="F49" s="10">
        <f>F42</f>
        <v>1</v>
      </c>
      <c r="G49" s="5">
        <f t="shared" si="10"/>
        <v>4349.3604723524531</v>
      </c>
      <c r="I49" s="10">
        <f>+I42</f>
        <v>0</v>
      </c>
      <c r="J49" s="5">
        <f t="shared" si="11"/>
        <v>0</v>
      </c>
      <c r="L49" s="5">
        <f t="shared" si="12"/>
        <v>4349.3604723524531</v>
      </c>
      <c r="M49" s="10">
        <f t="shared" si="13"/>
        <v>1</v>
      </c>
      <c r="N49" t="str">
        <f t="shared" si="7"/>
        <v xml:space="preserve"> </v>
      </c>
    </row>
    <row r="50" spans="1:14">
      <c r="A50">
        <v>4282</v>
      </c>
      <c r="B50" t="s">
        <v>270</v>
      </c>
      <c r="C50" s="10"/>
      <c r="D50" s="5">
        <f>'Cost Allocations-Recycle'!G50</f>
        <v>0</v>
      </c>
      <c r="F50" s="10">
        <f>F48</f>
        <v>1</v>
      </c>
      <c r="G50" s="5">
        <f t="shared" si="10"/>
        <v>0</v>
      </c>
      <c r="I50" s="10">
        <v>0</v>
      </c>
      <c r="J50" s="5">
        <f t="shared" si="11"/>
        <v>0</v>
      </c>
      <c r="L50" s="5">
        <f t="shared" si="12"/>
        <v>0</v>
      </c>
      <c r="M50" s="10">
        <f t="shared" si="13"/>
        <v>1</v>
      </c>
      <c r="N50" t="str">
        <f>IF(M50&lt;&gt;1,"ERR"," ")</f>
        <v xml:space="preserve"> </v>
      </c>
    </row>
    <row r="51" spans="1:14">
      <c r="A51" t="s">
        <v>271</v>
      </c>
      <c r="C51" s="10"/>
      <c r="D51" s="5"/>
      <c r="F51" s="10"/>
      <c r="G51" s="5"/>
      <c r="I51" s="10"/>
      <c r="J51" s="5"/>
      <c r="L51" s="5"/>
      <c r="M51" s="10"/>
    </row>
    <row r="52" spans="1:14">
      <c r="A52">
        <v>4360</v>
      </c>
      <c r="B52" t="s">
        <v>272</v>
      </c>
      <c r="C52" s="531"/>
      <c r="D52" s="5">
        <f>'Cost Allocations-Recycle'!G52</f>
        <v>438756.17167657119</v>
      </c>
      <c r="F52" s="531">
        <v>1</v>
      </c>
      <c r="G52" s="5">
        <f>+D52*F52</f>
        <v>438756.17167657119</v>
      </c>
      <c r="I52" s="531">
        <v>0</v>
      </c>
      <c r="J52" s="5">
        <f>+D52*I52</f>
        <v>0</v>
      </c>
      <c r="L52" s="5">
        <f>+G52+J52</f>
        <v>438756.17167657119</v>
      </c>
      <c r="M52" s="10">
        <f>+F52+I52</f>
        <v>1</v>
      </c>
      <c r="N52" t="str">
        <f t="shared" si="7"/>
        <v xml:space="preserve"> </v>
      </c>
    </row>
    <row r="53" spans="1:14">
      <c r="A53">
        <v>4361</v>
      </c>
      <c r="B53" t="s">
        <v>273</v>
      </c>
      <c r="C53" s="14"/>
      <c r="D53" s="5">
        <f>'Cost Allocations-Recycle'!G53</f>
        <v>333898.95999999996</v>
      </c>
      <c r="F53" s="531">
        <v>0</v>
      </c>
      <c r="G53" s="5">
        <f>+D53*F53</f>
        <v>0</v>
      </c>
      <c r="I53" s="531">
        <v>1</v>
      </c>
      <c r="J53" s="5">
        <f>+D53*I53</f>
        <v>333898.95999999996</v>
      </c>
      <c r="L53" s="5">
        <f>+G53+J53</f>
        <v>333898.95999999996</v>
      </c>
      <c r="M53" s="10">
        <f>+F53+I53</f>
        <v>1</v>
      </c>
      <c r="N53" t="str">
        <f t="shared" si="7"/>
        <v xml:space="preserve"> </v>
      </c>
    </row>
    <row r="54" spans="1:14">
      <c r="A54">
        <v>4362</v>
      </c>
      <c r="B54" t="s">
        <v>274</v>
      </c>
      <c r="C54" s="531"/>
      <c r="D54" s="5">
        <f>'Cost Allocations-Recycle'!G54</f>
        <v>116474.65497745844</v>
      </c>
      <c r="F54" s="531">
        <v>1</v>
      </c>
      <c r="G54" s="5">
        <f>+D54*F54</f>
        <v>116474.65497745844</v>
      </c>
      <c r="I54" s="531">
        <v>0</v>
      </c>
      <c r="J54" s="5">
        <f>+D54*I54</f>
        <v>0</v>
      </c>
      <c r="L54" s="5">
        <f>+G54+J54</f>
        <v>116474.65497745844</v>
      </c>
      <c r="M54" s="10">
        <f>+F54+I54</f>
        <v>1</v>
      </c>
      <c r="N54" t="str">
        <f t="shared" si="7"/>
        <v xml:space="preserve"> </v>
      </c>
    </row>
    <row r="55" spans="1:14">
      <c r="A55">
        <v>4363</v>
      </c>
      <c r="B55" t="s">
        <v>275</v>
      </c>
      <c r="C55" s="14"/>
      <c r="D55" s="5">
        <f>'Cost Allocations-Recycle'!G55</f>
        <v>132638.97999999998</v>
      </c>
      <c r="F55" s="531">
        <v>0</v>
      </c>
      <c r="G55" s="5">
        <f>+D55*F55</f>
        <v>0</v>
      </c>
      <c r="I55" s="531">
        <v>1</v>
      </c>
      <c r="J55" s="5">
        <f>+D55*I55</f>
        <v>132638.97999999998</v>
      </c>
      <c r="L55" s="5">
        <f>+G55+J55</f>
        <v>132638.97999999998</v>
      </c>
      <c r="M55" s="10">
        <f>+F55+I55</f>
        <v>1</v>
      </c>
      <c r="N55" t="str">
        <f t="shared" si="7"/>
        <v xml:space="preserve"> </v>
      </c>
    </row>
    <row r="56" spans="1:14">
      <c r="A56">
        <v>4380</v>
      </c>
      <c r="B56" t="s">
        <v>276</v>
      </c>
      <c r="C56" s="14"/>
      <c r="D56" s="5">
        <f>'Cost Allocations-Recycle'!G56</f>
        <v>0</v>
      </c>
      <c r="F56" s="531">
        <v>1</v>
      </c>
      <c r="G56" s="514">
        <f>+D56*F56</f>
        <v>0</v>
      </c>
      <c r="H56" s="459"/>
      <c r="I56" s="531">
        <v>0</v>
      </c>
      <c r="J56" s="5">
        <f>+D56*I56</f>
        <v>0</v>
      </c>
      <c r="L56" s="5">
        <f>+G56+J56</f>
        <v>0</v>
      </c>
      <c r="M56" s="10">
        <f>+F56+I56</f>
        <v>1</v>
      </c>
      <c r="N56" t="str">
        <f>IF(M56&lt;&gt;1,"ERR"," ")</f>
        <v xml:space="preserve"> </v>
      </c>
    </row>
    <row r="57" spans="1:14">
      <c r="A57" t="s">
        <v>277</v>
      </c>
      <c r="C57" s="10"/>
      <c r="D57" s="5"/>
      <c r="F57" s="10"/>
      <c r="G57" s="5"/>
      <c r="I57" s="10"/>
      <c r="J57" s="5"/>
      <c r="L57" s="5"/>
      <c r="M57" s="10"/>
    </row>
    <row r="58" spans="1:14">
      <c r="A58">
        <v>4430</v>
      </c>
      <c r="B58" t="s">
        <v>278</v>
      </c>
      <c r="C58" s="10"/>
      <c r="D58" s="5">
        <f>'Cost Allocations-Recycle'!G58</f>
        <v>0</v>
      </c>
      <c r="F58" s="10">
        <v>1</v>
      </c>
      <c r="G58" s="5">
        <f>+D58*F58</f>
        <v>0</v>
      </c>
      <c r="I58" s="10">
        <v>0</v>
      </c>
      <c r="J58" s="5">
        <f>+D58*I58</f>
        <v>0</v>
      </c>
      <c r="L58" s="5">
        <f>+G58+J58</f>
        <v>0</v>
      </c>
      <c r="M58" s="10">
        <f>+F58+I58</f>
        <v>1</v>
      </c>
      <c r="N58" t="str">
        <f t="shared" si="7"/>
        <v xml:space="preserve"> </v>
      </c>
    </row>
    <row r="59" spans="1:14">
      <c r="A59">
        <v>4450</v>
      </c>
      <c r="B59" t="s">
        <v>279</v>
      </c>
      <c r="C59" s="14"/>
      <c r="D59" s="5">
        <f>'Cost Allocations-Recycle'!G59</f>
        <v>1995</v>
      </c>
      <c r="F59" s="531">
        <v>1</v>
      </c>
      <c r="G59" s="514">
        <f>+D59*F59</f>
        <v>1995</v>
      </c>
      <c r="H59" s="459"/>
      <c r="I59" s="531">
        <v>0</v>
      </c>
      <c r="J59" s="5">
        <f>+D59*I59</f>
        <v>0</v>
      </c>
      <c r="L59" s="5">
        <f>+G59+J59</f>
        <v>1995</v>
      </c>
      <c r="M59" s="10">
        <f>+F59+I59</f>
        <v>1</v>
      </c>
      <c r="N59" t="str">
        <f t="shared" si="7"/>
        <v xml:space="preserve"> </v>
      </c>
    </row>
    <row r="60" spans="1:14">
      <c r="A60" t="s">
        <v>280</v>
      </c>
      <c r="C60" s="10"/>
      <c r="D60" s="5"/>
      <c r="F60" s="10"/>
      <c r="G60" s="5"/>
      <c r="I60" s="10"/>
      <c r="J60" s="5"/>
      <c r="L60" s="5"/>
      <c r="M60" s="10"/>
    </row>
    <row r="61" spans="1:14">
      <c r="A61">
        <v>4530</v>
      </c>
      <c r="B61" t="s">
        <v>281</v>
      </c>
      <c r="C61" s="10"/>
      <c r="D61" s="5">
        <f>'Cost Allocations-Recycle'!G61</f>
        <v>78582.469133823906</v>
      </c>
      <c r="F61" s="79">
        <f>F65</f>
        <v>0.90663667658665437</v>
      </c>
      <c r="G61" s="5">
        <f>+D61*F61</f>
        <v>71245.748653463452</v>
      </c>
      <c r="I61" s="10">
        <f>I65</f>
        <v>9.3363323413345634E-2</v>
      </c>
      <c r="J61" s="5">
        <f>+D61*I61</f>
        <v>7336.7204803604518</v>
      </c>
      <c r="L61" s="5">
        <f>+G61+J61</f>
        <v>78582.469133823906</v>
      </c>
      <c r="M61" s="10">
        <f>+F61+I61</f>
        <v>1</v>
      </c>
      <c r="N61" t="str">
        <f t="shared" si="7"/>
        <v xml:space="preserve"> </v>
      </c>
    </row>
    <row r="62" spans="1:14">
      <c r="A62">
        <v>4540</v>
      </c>
      <c r="B62" t="s">
        <v>282</v>
      </c>
      <c r="C62" s="10"/>
      <c r="D62" s="5">
        <f>'Cost Allocations-Recycle'!G62</f>
        <v>20747.468827861889</v>
      </c>
      <c r="F62" s="79">
        <f>1-I62</f>
        <v>0.88228518398681555</v>
      </c>
      <c r="G62" s="5">
        <f>+D62*F62</f>
        <v>18305.184352050848</v>
      </c>
      <c r="I62" s="10">
        <f>J62/D62</f>
        <v>0.11771481601318443</v>
      </c>
      <c r="J62" s="5">
        <f>'Allocations-Hours &amp; Miles'!I78*'L&amp;I'!$E$25</f>
        <v>2442.2844758110414</v>
      </c>
      <c r="L62" s="5">
        <f>+G62+J62</f>
        <v>20747.468827861889</v>
      </c>
      <c r="M62" s="10">
        <f>+F62+I62</f>
        <v>1</v>
      </c>
      <c r="N62" t="s">
        <v>767</v>
      </c>
    </row>
    <row r="63" spans="1:14">
      <c r="A63">
        <v>4580</v>
      </c>
      <c r="B63" t="s">
        <v>283</v>
      </c>
      <c r="C63" s="10"/>
      <c r="D63" s="5">
        <f>'Cost Allocations-Recycle'!G63</f>
        <v>0</v>
      </c>
      <c r="F63" s="10">
        <f>+F26</f>
        <v>1</v>
      </c>
      <c r="G63" s="5">
        <f>+D63*F63</f>
        <v>0</v>
      </c>
      <c r="I63" s="10">
        <f>+I26</f>
        <v>0</v>
      </c>
      <c r="J63" s="5">
        <f>+D63*I63</f>
        <v>0</v>
      </c>
      <c r="L63" s="5">
        <f>+G63+J63</f>
        <v>0</v>
      </c>
      <c r="M63" s="10">
        <f>+F63+I63</f>
        <v>1</v>
      </c>
      <c r="N63" t="str">
        <f t="shared" si="7"/>
        <v xml:space="preserve"> </v>
      </c>
    </row>
    <row r="64" spans="1:14">
      <c r="A64" t="s">
        <v>284</v>
      </c>
      <c r="C64" s="10"/>
      <c r="D64" s="5"/>
      <c r="F64" s="10"/>
      <c r="G64" s="5"/>
      <c r="I64" s="10"/>
      <c r="J64" s="5"/>
      <c r="L64" s="5"/>
      <c r="M64" s="10"/>
    </row>
    <row r="65" spans="1:14">
      <c r="A65">
        <v>4611</v>
      </c>
      <c r="B65" t="s">
        <v>285</v>
      </c>
      <c r="C65" s="14"/>
      <c r="D65" s="5">
        <f>'Cost Allocations-Recycle'!G65</f>
        <v>63674.283922664821</v>
      </c>
      <c r="F65" s="543">
        <f>1-I65</f>
        <v>0.90663667658665437</v>
      </c>
      <c r="G65" s="5">
        <f t="shared" ref="G65:G82" si="14">+D65*F65</f>
        <v>57729.441159679875</v>
      </c>
      <c r="I65" s="531">
        <f>+'Allocations-Hours &amp; Miles'!I86</f>
        <v>9.3363323413345634E-2</v>
      </c>
      <c r="J65" s="5">
        <f t="shared" ref="J65:J82" si="15">+D65*I65</f>
        <v>5944.8427629849502</v>
      </c>
      <c r="L65" s="5">
        <f t="shared" ref="L65:L82" si="16">+G65+J65</f>
        <v>63674.283922664821</v>
      </c>
      <c r="M65" s="10">
        <f t="shared" ref="M65:M82" si="17">+F65+I65</f>
        <v>1</v>
      </c>
      <c r="N65" s="459" t="s">
        <v>29</v>
      </c>
    </row>
    <row r="66" spans="1:14">
      <c r="A66">
        <v>4612</v>
      </c>
      <c r="B66" t="s">
        <v>286</v>
      </c>
      <c r="C66" s="14"/>
      <c r="D66" s="5">
        <f>'Cost Allocations-Recycle'!G66</f>
        <v>43234.356362584826</v>
      </c>
      <c r="F66" s="543">
        <f t="shared" ref="F66:F71" si="18">+F65</f>
        <v>0.90663667658665437</v>
      </c>
      <c r="G66" s="514">
        <f t="shared" si="14"/>
        <v>39197.853166936984</v>
      </c>
      <c r="H66" s="459"/>
      <c r="I66" s="531">
        <f>+I65</f>
        <v>9.3363323413345634E-2</v>
      </c>
      <c r="J66" s="5">
        <f t="shared" si="15"/>
        <v>4036.5031956478447</v>
      </c>
      <c r="L66" s="5">
        <f t="shared" si="16"/>
        <v>43234.356362584826</v>
      </c>
      <c r="M66" s="10">
        <f t="shared" si="17"/>
        <v>1</v>
      </c>
      <c r="N66" s="459" t="s">
        <v>29</v>
      </c>
    </row>
    <row r="67" spans="1:14">
      <c r="A67">
        <v>4613</v>
      </c>
      <c r="B67" t="s">
        <v>287</v>
      </c>
      <c r="C67" s="531"/>
      <c r="D67" s="5">
        <f>'Cost Allocations-Recycle'!G67</f>
        <v>103245.4485774341</v>
      </c>
      <c r="F67" s="531">
        <f t="shared" si="18"/>
        <v>0.90663667658665437</v>
      </c>
      <c r="G67" s="5">
        <f t="shared" si="14"/>
        <v>93606.110370943177</v>
      </c>
      <c r="I67" s="531">
        <f>+I66</f>
        <v>9.3363323413345634E-2</v>
      </c>
      <c r="J67" s="5">
        <f t="shared" si="15"/>
        <v>9639.3382064909256</v>
      </c>
      <c r="L67" s="5">
        <f t="shared" si="16"/>
        <v>103245.4485774341</v>
      </c>
      <c r="M67" s="10">
        <f t="shared" si="17"/>
        <v>1</v>
      </c>
      <c r="N67" t="str">
        <f t="shared" si="7"/>
        <v xml:space="preserve"> </v>
      </c>
    </row>
    <row r="68" spans="1:14">
      <c r="A68">
        <v>4620</v>
      </c>
      <c r="B68" t="s">
        <v>288</v>
      </c>
      <c r="C68" s="531"/>
      <c r="D68" s="5">
        <f>'Cost Allocations-Recycle'!G68</f>
        <v>38715.932545803094</v>
      </c>
      <c r="F68" s="10">
        <f t="shared" si="18"/>
        <v>0.90663667658665437</v>
      </c>
      <c r="G68" s="5">
        <f t="shared" si="14"/>
        <v>35101.28441428001</v>
      </c>
      <c r="I68" s="531">
        <f t="shared" ref="I68:I74" si="19">+I67</f>
        <v>9.3363323413345634E-2</v>
      </c>
      <c r="J68" s="5">
        <f t="shared" si="15"/>
        <v>3614.6481315230881</v>
      </c>
      <c r="L68" s="5">
        <f t="shared" si="16"/>
        <v>38715.932545803094</v>
      </c>
      <c r="M68" s="10">
        <f t="shared" si="17"/>
        <v>1</v>
      </c>
      <c r="N68" t="str">
        <f t="shared" si="7"/>
        <v xml:space="preserve"> </v>
      </c>
    </row>
    <row r="69" spans="1:14">
      <c r="A69">
        <v>4622</v>
      </c>
      <c r="B69" t="s">
        <v>289</v>
      </c>
      <c r="C69" s="531"/>
      <c r="D69" s="5">
        <f>'Cost Allocations-Recycle'!G69</f>
        <v>0</v>
      </c>
      <c r="F69" s="10">
        <f t="shared" si="18"/>
        <v>0.90663667658665437</v>
      </c>
      <c r="G69" s="5">
        <f t="shared" si="14"/>
        <v>0</v>
      </c>
      <c r="I69" s="531">
        <f t="shared" si="19"/>
        <v>9.3363323413345634E-2</v>
      </c>
      <c r="J69" s="5">
        <f t="shared" si="15"/>
        <v>0</v>
      </c>
      <c r="L69" s="5">
        <f t="shared" si="16"/>
        <v>0</v>
      </c>
      <c r="M69" s="10">
        <f t="shared" si="17"/>
        <v>1</v>
      </c>
      <c r="N69" t="str">
        <f t="shared" si="7"/>
        <v xml:space="preserve"> </v>
      </c>
    </row>
    <row r="70" spans="1:14">
      <c r="A70">
        <v>4624</v>
      </c>
      <c r="B70" t="s">
        <v>290</v>
      </c>
      <c r="C70" s="531"/>
      <c r="D70" s="5">
        <f>'Cost Allocations-Recycle'!G70</f>
        <v>227.03830574675604</v>
      </c>
      <c r="F70" s="10">
        <f t="shared" si="18"/>
        <v>0.90663667658665437</v>
      </c>
      <c r="G70" s="5">
        <f t="shared" si="14"/>
        <v>205.8412549801036</v>
      </c>
      <c r="I70" s="531">
        <f t="shared" si="19"/>
        <v>9.3363323413345634E-2</v>
      </c>
      <c r="J70" s="5">
        <f t="shared" si="15"/>
        <v>21.197050766652431</v>
      </c>
      <c r="L70" s="5">
        <f t="shared" si="16"/>
        <v>227.03830574675604</v>
      </c>
      <c r="M70" s="10">
        <f t="shared" si="17"/>
        <v>1</v>
      </c>
      <c r="N70" t="str">
        <f t="shared" si="7"/>
        <v xml:space="preserve"> </v>
      </c>
    </row>
    <row r="71" spans="1:14">
      <c r="A71">
        <v>4625</v>
      </c>
      <c r="B71" t="s">
        <v>291</v>
      </c>
      <c r="C71" s="531"/>
      <c r="D71" s="5">
        <f>'Cost Allocations-Recycle'!G71</f>
        <v>2310.1012686703039</v>
      </c>
      <c r="F71" s="10">
        <f t="shared" si="18"/>
        <v>0.90663667658665437</v>
      </c>
      <c r="G71" s="5">
        <f t="shared" si="14"/>
        <v>2094.4225368058583</v>
      </c>
      <c r="I71" s="531">
        <f t="shared" si="19"/>
        <v>9.3363323413345634E-2</v>
      </c>
      <c r="J71" s="5">
        <f t="shared" si="15"/>
        <v>215.67873186444564</v>
      </c>
      <c r="L71" s="5">
        <f t="shared" si="16"/>
        <v>2310.1012686703039</v>
      </c>
      <c r="M71" s="10">
        <f t="shared" si="17"/>
        <v>1</v>
      </c>
      <c r="N71" t="str">
        <f t="shared" si="7"/>
        <v xml:space="preserve"> </v>
      </c>
    </row>
    <row r="72" spans="1:14">
      <c r="A72">
        <v>4627</v>
      </c>
      <c r="B72" t="s">
        <v>292</v>
      </c>
      <c r="C72" s="531"/>
      <c r="D72" s="5">
        <f>'Cost Allocations-Recycle'!G72</f>
        <v>872.91680284752863</v>
      </c>
      <c r="F72" s="10">
        <f>F71</f>
        <v>0.90663667658665437</v>
      </c>
      <c r="G72" s="5">
        <f t="shared" si="14"/>
        <v>791.41838907033116</v>
      </c>
      <c r="I72" s="531">
        <f t="shared" si="19"/>
        <v>9.3363323413345634E-2</v>
      </c>
      <c r="J72" s="5">
        <f t="shared" si="15"/>
        <v>81.498413777197484</v>
      </c>
      <c r="L72" s="5">
        <f t="shared" si="16"/>
        <v>872.91680284752863</v>
      </c>
      <c r="M72" s="10">
        <f t="shared" si="17"/>
        <v>1</v>
      </c>
      <c r="N72" t="str">
        <f t="shared" si="7"/>
        <v xml:space="preserve"> </v>
      </c>
    </row>
    <row r="73" spans="1:14">
      <c r="A73">
        <v>4630</v>
      </c>
      <c r="B73" t="s">
        <v>294</v>
      </c>
      <c r="C73" s="10"/>
      <c r="D73" s="5">
        <f>'Cost Allocations-Recycle'!G74</f>
        <v>1454.0713539650992</v>
      </c>
      <c r="F73" s="10">
        <f>F72</f>
        <v>0.90663667658665437</v>
      </c>
      <c r="G73" s="5">
        <f t="shared" si="14"/>
        <v>1318.3144198787743</v>
      </c>
      <c r="I73" s="531">
        <f t="shared" si="19"/>
        <v>9.3363323413345634E-2</v>
      </c>
      <c r="J73" s="5">
        <f t="shared" si="15"/>
        <v>135.75693408632495</v>
      </c>
      <c r="L73" s="5">
        <f t="shared" si="16"/>
        <v>1454.0713539650992</v>
      </c>
      <c r="M73" s="10">
        <f t="shared" si="17"/>
        <v>1</v>
      </c>
      <c r="N73" t="str">
        <f t="shared" si="7"/>
        <v xml:space="preserve"> </v>
      </c>
    </row>
    <row r="74" spans="1:14">
      <c r="A74">
        <v>4640</v>
      </c>
      <c r="B74" t="s">
        <v>295</v>
      </c>
      <c r="C74" s="531"/>
      <c r="D74" s="5">
        <f>'Cost Allocations-Recycle'!G75</f>
        <v>12496.66484168989</v>
      </c>
      <c r="F74" s="10">
        <f>F73</f>
        <v>0.90663667658665437</v>
      </c>
      <c r="G74" s="5">
        <f t="shared" si="14"/>
        <v>11329.934680487011</v>
      </c>
      <c r="I74" s="531">
        <f t="shared" si="19"/>
        <v>9.3363323413345634E-2</v>
      </c>
      <c r="J74" s="5">
        <f t="shared" si="15"/>
        <v>1166.7301612028789</v>
      </c>
      <c r="L74" s="5">
        <f t="shared" si="16"/>
        <v>12496.66484168989</v>
      </c>
      <c r="M74" s="10">
        <f t="shared" si="17"/>
        <v>1</v>
      </c>
      <c r="N74" t="str">
        <f t="shared" si="7"/>
        <v xml:space="preserve"> </v>
      </c>
    </row>
    <row r="75" spans="1:14">
      <c r="A75">
        <v>4650</v>
      </c>
      <c r="B75" t="s">
        <v>297</v>
      </c>
      <c r="C75" s="531"/>
      <c r="D75" s="5">
        <f>'Cost Allocations-Recycle'!G77</f>
        <v>74147.596085858444</v>
      </c>
      <c r="F75" s="79">
        <f>+$F$65</f>
        <v>0.90663667658665437</v>
      </c>
      <c r="G75" s="5">
        <f t="shared" si="14"/>
        <v>67224.930092172319</v>
      </c>
      <c r="I75" s="10">
        <f>+$I$65</f>
        <v>9.3363323413345634E-2</v>
      </c>
      <c r="J75" s="5">
        <f t="shared" si="15"/>
        <v>6922.6659936861224</v>
      </c>
      <c r="L75" s="5">
        <f t="shared" si="16"/>
        <v>74147.596085858444</v>
      </c>
      <c r="M75" s="10">
        <f t="shared" si="17"/>
        <v>1</v>
      </c>
      <c r="N75" t="str">
        <f t="shared" si="7"/>
        <v xml:space="preserve"> </v>
      </c>
    </row>
    <row r="76" spans="1:14">
      <c r="A76">
        <v>4652</v>
      </c>
      <c r="B76" t="s">
        <v>298</v>
      </c>
      <c r="C76" s="531"/>
      <c r="D76" s="5">
        <f>'Cost Allocations-Recycle'!G78</f>
        <v>10146.641999569643</v>
      </c>
      <c r="F76" s="79">
        <f>+$F$65</f>
        <v>0.90663667658665437</v>
      </c>
      <c r="G76" s="5">
        <f t="shared" si="14"/>
        <v>9199.3177810043871</v>
      </c>
      <c r="I76" s="10">
        <f>+$I$65</f>
        <v>9.3363323413345634E-2</v>
      </c>
      <c r="J76" s="5">
        <f t="shared" si="15"/>
        <v>947.32421856525661</v>
      </c>
      <c r="L76" s="5">
        <f t="shared" si="16"/>
        <v>10146.641999569643</v>
      </c>
      <c r="M76" s="10">
        <f t="shared" si="17"/>
        <v>1</v>
      </c>
      <c r="N76" t="str">
        <f t="shared" si="7"/>
        <v xml:space="preserve"> </v>
      </c>
    </row>
    <row r="77" spans="1:14">
      <c r="A77">
        <v>4660</v>
      </c>
      <c r="B77" t="s">
        <v>299</v>
      </c>
      <c r="C77" s="14"/>
      <c r="D77" s="5">
        <f>'Cost Allocations-Recycle'!G79</f>
        <v>0</v>
      </c>
      <c r="F77" s="531">
        <v>1</v>
      </c>
      <c r="G77" s="514">
        <f t="shared" si="14"/>
        <v>0</v>
      </c>
      <c r="H77" s="459"/>
      <c r="I77" s="531">
        <v>0</v>
      </c>
      <c r="J77" s="5">
        <f t="shared" si="15"/>
        <v>0</v>
      </c>
      <c r="L77" s="5">
        <f t="shared" si="16"/>
        <v>0</v>
      </c>
      <c r="M77" s="10">
        <f t="shared" si="17"/>
        <v>1</v>
      </c>
      <c r="N77" t="str">
        <f t="shared" si="7"/>
        <v xml:space="preserve"> </v>
      </c>
    </row>
    <row r="78" spans="1:14">
      <c r="A78">
        <v>4670</v>
      </c>
      <c r="B78" t="s">
        <v>300</v>
      </c>
      <c r="C78" s="14"/>
      <c r="D78" s="5">
        <f>'Cost Allocations-Recycle'!G80</f>
        <v>0</v>
      </c>
      <c r="F78" s="531">
        <v>1</v>
      </c>
      <c r="G78" s="514">
        <f t="shared" si="14"/>
        <v>0</v>
      </c>
      <c r="H78" s="459"/>
      <c r="I78" s="531">
        <v>0</v>
      </c>
      <c r="J78" s="5">
        <f t="shared" si="15"/>
        <v>0</v>
      </c>
      <c r="L78" s="5">
        <f t="shared" si="16"/>
        <v>0</v>
      </c>
      <c r="M78" s="10">
        <f t="shared" si="17"/>
        <v>1</v>
      </c>
      <c r="N78" t="str">
        <f t="shared" si="7"/>
        <v xml:space="preserve"> </v>
      </c>
    </row>
    <row r="79" spans="1:14">
      <c r="A79">
        <v>4680</v>
      </c>
      <c r="B79" t="s">
        <v>301</v>
      </c>
      <c r="C79" s="14"/>
      <c r="D79" s="5">
        <f>'Cost Allocations-Recycle'!G81</f>
        <v>13407.575412844433</v>
      </c>
      <c r="F79" s="543">
        <f>1-I79</f>
        <v>0.71772223452315609</v>
      </c>
      <c r="G79" s="544">
        <f t="shared" si="14"/>
        <v>9622.914984844434</v>
      </c>
      <c r="H79" s="468"/>
      <c r="I79" s="543">
        <f>J79/D79</f>
        <v>0.28227776547684391</v>
      </c>
      <c r="J79" s="5">
        <f>J22*D110</f>
        <v>3784.6604279999997</v>
      </c>
      <c r="L79" s="5">
        <f t="shared" si="16"/>
        <v>13407.575412844433</v>
      </c>
      <c r="M79" s="10">
        <f t="shared" si="17"/>
        <v>1</v>
      </c>
      <c r="N79" t="str">
        <f t="shared" si="7"/>
        <v xml:space="preserve"> </v>
      </c>
    </row>
    <row r="80" spans="1:14">
      <c r="A80">
        <v>4692</v>
      </c>
      <c r="B80" t="s">
        <v>302</v>
      </c>
      <c r="C80" s="531"/>
      <c r="D80" s="5">
        <f>'Cost Allocations-Recycle'!G82</f>
        <v>11064.963334916567</v>
      </c>
      <c r="F80" s="10">
        <f>F74</f>
        <v>0.90663667658665437</v>
      </c>
      <c r="G80" s="5">
        <f t="shared" si="14"/>
        <v>10031.90158452194</v>
      </c>
      <c r="I80" s="10">
        <f>I74</f>
        <v>9.3363323413345634E-2</v>
      </c>
      <c r="J80" s="5">
        <f t="shared" si="15"/>
        <v>1033.0617503946269</v>
      </c>
      <c r="L80" s="5">
        <f t="shared" si="16"/>
        <v>11064.963334916567</v>
      </c>
      <c r="M80" s="10">
        <f t="shared" si="17"/>
        <v>1</v>
      </c>
      <c r="N80" t="str">
        <f t="shared" si="7"/>
        <v xml:space="preserve"> </v>
      </c>
    </row>
    <row r="81" spans="1:14">
      <c r="A81">
        <v>4694</v>
      </c>
      <c r="B81" t="s">
        <v>303</v>
      </c>
      <c r="C81" s="10"/>
      <c r="D81" s="5">
        <f>'Cost Allocations-Recycle'!G83</f>
        <v>0</v>
      </c>
      <c r="F81" s="10">
        <f>+$F$65</f>
        <v>0.90663667658665437</v>
      </c>
      <c r="G81" s="5">
        <f t="shared" si="14"/>
        <v>0</v>
      </c>
      <c r="I81" s="10">
        <f>+$I$65</f>
        <v>9.3363323413345634E-2</v>
      </c>
      <c r="J81" s="5">
        <f t="shared" si="15"/>
        <v>0</v>
      </c>
      <c r="L81" s="5">
        <f t="shared" si="16"/>
        <v>0</v>
      </c>
      <c r="M81" s="10">
        <f t="shared" si="17"/>
        <v>1</v>
      </c>
      <c r="N81" t="str">
        <f t="shared" si="7"/>
        <v xml:space="preserve"> </v>
      </c>
    </row>
    <row r="82" spans="1:14">
      <c r="A82">
        <v>4698</v>
      </c>
      <c r="B82" t="s">
        <v>304</v>
      </c>
      <c r="C82" s="10"/>
      <c r="D82" s="5">
        <f>'Cost Allocations-Recycle'!G84</f>
        <v>1137.2251512057599</v>
      </c>
      <c r="F82" s="10">
        <f>+$F$65</f>
        <v>0.90663667658665437</v>
      </c>
      <c r="G82" s="5">
        <f t="shared" si="14"/>
        <v>1031.0500316199457</v>
      </c>
      <c r="I82" s="10">
        <f>+$I$65</f>
        <v>9.3363323413345634E-2</v>
      </c>
      <c r="J82" s="5">
        <f t="shared" si="15"/>
        <v>106.17511958581424</v>
      </c>
      <c r="L82" s="5">
        <f t="shared" si="16"/>
        <v>1137.2251512057599</v>
      </c>
      <c r="M82" s="10">
        <f t="shared" si="17"/>
        <v>1</v>
      </c>
      <c r="N82" t="str">
        <f t="shared" si="7"/>
        <v xml:space="preserve"> </v>
      </c>
    </row>
    <row r="83" spans="1:14">
      <c r="A83" t="s">
        <v>305</v>
      </c>
      <c r="C83" s="10"/>
      <c r="D83" s="5"/>
      <c r="F83" s="10"/>
      <c r="G83" s="5"/>
      <c r="I83" s="10"/>
      <c r="J83" s="5"/>
      <c r="L83" s="5"/>
      <c r="M83" s="10"/>
    </row>
    <row r="84" spans="1:14">
      <c r="A84">
        <v>5010</v>
      </c>
      <c r="B84" t="s">
        <v>306</v>
      </c>
      <c r="C84" s="531"/>
      <c r="D84" s="5">
        <f>'Cost Allocations-Recycle'!G86</f>
        <v>248690.43697680035</v>
      </c>
      <c r="F84" s="531">
        <f>G84/(G84+J84)</f>
        <v>0.95119183529097195</v>
      </c>
      <c r="G84" s="5">
        <f>D84-J84</f>
        <v>236552.31316727653</v>
      </c>
      <c r="I84" s="24">
        <f>J84/(J84+G84)</f>
        <v>4.880816470902799E-2</v>
      </c>
      <c r="J84" s="5">
        <f>'Depr Allocation'!E42+'Depr Allocation'!H42</f>
        <v>12138.123809523817</v>
      </c>
      <c r="L84" s="5">
        <f>+G84+J84</f>
        <v>248690.43697680035</v>
      </c>
      <c r="M84" s="10">
        <f>+F84+I84</f>
        <v>1</v>
      </c>
      <c r="N84" t="str">
        <f t="shared" si="7"/>
        <v xml:space="preserve"> </v>
      </c>
    </row>
    <row r="85" spans="1:14">
      <c r="A85">
        <v>5100</v>
      </c>
      <c r="B85" t="s">
        <v>307</v>
      </c>
      <c r="C85" s="531"/>
      <c r="D85" s="5">
        <f>'Cost Allocations-Recycle'!G87</f>
        <v>-18632.708830660726</v>
      </c>
      <c r="F85" s="531">
        <v>1</v>
      </c>
      <c r="G85" s="514">
        <f>+D85*F85</f>
        <v>-18632.708830660726</v>
      </c>
      <c r="H85" s="459"/>
      <c r="I85" s="531">
        <v>0</v>
      </c>
      <c r="J85" s="5">
        <f>+D85*I85</f>
        <v>0</v>
      </c>
      <c r="L85" s="5">
        <f>+G85+J85</f>
        <v>-18632.708830660726</v>
      </c>
      <c r="M85" s="10">
        <f>+F85+I85</f>
        <v>1</v>
      </c>
      <c r="N85" t="str">
        <f t="shared" si="7"/>
        <v xml:space="preserve"> </v>
      </c>
    </row>
    <row r="86" spans="1:14">
      <c r="A86" t="s">
        <v>308</v>
      </c>
      <c r="C86" s="10"/>
      <c r="D86" s="5"/>
      <c r="F86" s="10"/>
      <c r="G86" s="5"/>
      <c r="I86" s="10"/>
      <c r="J86" s="5"/>
      <c r="L86" s="5"/>
      <c r="M86" s="10"/>
    </row>
    <row r="87" spans="1:14">
      <c r="A87">
        <v>5151</v>
      </c>
      <c r="B87" t="s">
        <v>309</v>
      </c>
      <c r="C87" s="14"/>
      <c r="D87" s="5">
        <f>'Cost Allocations-Recycle'!G89</f>
        <v>0</v>
      </c>
      <c r="F87" s="531">
        <v>1</v>
      </c>
      <c r="G87" s="514">
        <f>+D87*F87</f>
        <v>0</v>
      </c>
      <c r="H87" s="459"/>
      <c r="I87" s="531">
        <v>0</v>
      </c>
      <c r="J87" s="5">
        <f>+D87*I87</f>
        <v>0</v>
      </c>
      <c r="L87" s="5">
        <f>+G87+J87</f>
        <v>0</v>
      </c>
      <c r="M87" s="10">
        <f>+F87+I87</f>
        <v>1</v>
      </c>
      <c r="N87" t="str">
        <f t="shared" si="7"/>
        <v xml:space="preserve"> </v>
      </c>
    </row>
    <row r="88" spans="1:14">
      <c r="A88" t="s">
        <v>310</v>
      </c>
      <c r="C88" s="10"/>
      <c r="D88" s="5"/>
      <c r="F88" s="10"/>
      <c r="G88" s="5"/>
      <c r="I88" s="10"/>
      <c r="J88" s="5"/>
      <c r="L88" s="5"/>
      <c r="M88" s="10"/>
    </row>
    <row r="89" spans="1:14">
      <c r="A89">
        <v>5220</v>
      </c>
      <c r="B89" t="s">
        <v>311</v>
      </c>
      <c r="C89" s="10"/>
      <c r="D89" s="5">
        <f>'Cost Allocations-Recycle'!G91</f>
        <v>7108.9206889000588</v>
      </c>
      <c r="F89" s="71">
        <v>0.77</v>
      </c>
      <c r="G89" s="5">
        <f t="shared" ref="G89:G96" si="20">+D89*F89</f>
        <v>5473.8689304530453</v>
      </c>
      <c r="I89" s="71">
        <v>0.23</v>
      </c>
      <c r="J89" s="5">
        <f t="shared" ref="J89:J96" si="21">+D89*I89</f>
        <v>1635.0517584470135</v>
      </c>
      <c r="L89" s="5">
        <f t="shared" ref="L89:L96" si="22">+G89+J89</f>
        <v>7108.9206889000588</v>
      </c>
      <c r="M89" s="10">
        <f t="shared" ref="M89:M96" si="23">+F89+I89</f>
        <v>1</v>
      </c>
      <c r="N89" t="str">
        <f t="shared" si="7"/>
        <v xml:space="preserve"> </v>
      </c>
    </row>
    <row r="90" spans="1:14">
      <c r="A90">
        <v>5230</v>
      </c>
      <c r="B90" t="s">
        <v>312</v>
      </c>
      <c r="C90" s="10"/>
      <c r="D90" s="5">
        <f>'Cost Allocations-Recycle'!G92</f>
        <v>2441.2869800332778</v>
      </c>
      <c r="F90" s="71">
        <v>0.8</v>
      </c>
      <c r="G90" s="5">
        <f t="shared" si="20"/>
        <v>1953.0295840266224</v>
      </c>
      <c r="I90" s="71">
        <v>0.2</v>
      </c>
      <c r="J90" s="5">
        <f t="shared" si="21"/>
        <v>488.2573960066556</v>
      </c>
      <c r="L90" s="5">
        <f t="shared" si="22"/>
        <v>2441.2869800332778</v>
      </c>
      <c r="M90" s="10">
        <f t="shared" si="23"/>
        <v>1</v>
      </c>
      <c r="N90" t="str">
        <f t="shared" si="7"/>
        <v xml:space="preserve"> </v>
      </c>
    </row>
    <row r="91" spans="1:14">
      <c r="A91">
        <v>5240</v>
      </c>
      <c r="B91" t="s">
        <v>313</v>
      </c>
      <c r="C91" s="9">
        <v>7.6499999999999999E-2</v>
      </c>
      <c r="D91" s="5">
        <f>'Cost Allocations-Recycle'!G93</f>
        <v>51632.313400079234</v>
      </c>
      <c r="F91" s="10">
        <f>G91/D91</f>
        <v>0.88704327039463982</v>
      </c>
      <c r="G91" s="5">
        <f>D91-J91</f>
        <v>45800.096136447268</v>
      </c>
      <c r="I91" s="10">
        <f>J91/D91</f>
        <v>0.11295672960536018</v>
      </c>
      <c r="J91" s="5">
        <f>+J116*C91</f>
        <v>5832.2172636319656</v>
      </c>
      <c r="L91" s="5">
        <f t="shared" si="22"/>
        <v>51632.313400079234</v>
      </c>
      <c r="M91" s="10">
        <f t="shared" si="23"/>
        <v>1</v>
      </c>
      <c r="N91" t="str">
        <f t="shared" si="7"/>
        <v xml:space="preserve"> </v>
      </c>
    </row>
    <row r="92" spans="1:14">
      <c r="A92">
        <v>5241</v>
      </c>
      <c r="B92" t="s">
        <v>314</v>
      </c>
      <c r="C92" s="10">
        <v>6.0000000000000001E-3</v>
      </c>
      <c r="D92" s="5">
        <f>'Cost Allocations-Recycle'!G94</f>
        <v>276.9230909886295</v>
      </c>
      <c r="F92" s="10">
        <f>G92/D92</f>
        <v>-0.65182615634434204</v>
      </c>
      <c r="G92" s="5">
        <f>D92-J92</f>
        <v>-180.50571400211288</v>
      </c>
      <c r="I92" s="10">
        <f>J92/D92</f>
        <v>1.6518261563443422</v>
      </c>
      <c r="J92" s="5">
        <f>J116*C92</f>
        <v>457.42880499074238</v>
      </c>
      <c r="L92" s="5">
        <f t="shared" si="22"/>
        <v>276.9230909886295</v>
      </c>
      <c r="M92" s="10">
        <f t="shared" si="23"/>
        <v>1</v>
      </c>
      <c r="N92" t="str">
        <f t="shared" si="7"/>
        <v xml:space="preserve"> </v>
      </c>
    </row>
    <row r="93" spans="1:14">
      <c r="A93">
        <v>5242</v>
      </c>
      <c r="B93" t="s">
        <v>315</v>
      </c>
      <c r="C93" s="76">
        <v>1.2999999999999999E-3</v>
      </c>
      <c r="D93" s="5">
        <f>'Cost Allocations-Recycle'!G95</f>
        <v>5788.0590382668915</v>
      </c>
      <c r="F93" s="10">
        <f>G93/D93</f>
        <v>0.9828768895134945</v>
      </c>
      <c r="G93" s="5">
        <f>D93-J93</f>
        <v>5688.949463852231</v>
      </c>
      <c r="I93" s="10">
        <f>J93/D93</f>
        <v>1.7123110486505517E-2</v>
      </c>
      <c r="J93" s="5">
        <f>J116*C93</f>
        <v>99.109574414660841</v>
      </c>
      <c r="L93" s="5">
        <f t="shared" si="22"/>
        <v>5788.0590382668915</v>
      </c>
      <c r="M93" s="10">
        <f t="shared" si="23"/>
        <v>1</v>
      </c>
      <c r="N93" t="str">
        <f t="shared" si="7"/>
        <v xml:space="preserve"> </v>
      </c>
    </row>
    <row r="94" spans="1:14">
      <c r="A94">
        <v>5260</v>
      </c>
      <c r="B94" t="s">
        <v>316</v>
      </c>
      <c r="C94" s="10"/>
      <c r="D94" s="5">
        <f>'Cost Allocations-Recycle'!G96</f>
        <v>50936.314109954619</v>
      </c>
      <c r="F94" s="10">
        <f>+F22</f>
        <v>0.74091980810372537</v>
      </c>
      <c r="G94" s="5">
        <f t="shared" si="20"/>
        <v>37739.724075858656</v>
      </c>
      <c r="I94" s="10">
        <f>+I22</f>
        <v>0.25908019189627463</v>
      </c>
      <c r="J94" s="5">
        <f t="shared" si="21"/>
        <v>13196.590034095963</v>
      </c>
      <c r="L94" s="5">
        <f t="shared" si="22"/>
        <v>50936.314109954619</v>
      </c>
      <c r="M94" s="10">
        <f t="shared" si="23"/>
        <v>1</v>
      </c>
      <c r="N94" t="str">
        <f t="shared" si="7"/>
        <v xml:space="preserve"> </v>
      </c>
    </row>
    <row r="95" spans="1:14">
      <c r="A95">
        <v>5270</v>
      </c>
      <c r="B95" t="s">
        <v>317</v>
      </c>
      <c r="C95" s="14"/>
      <c r="D95" s="5">
        <f>'Cost Allocations-Recycle'!G97</f>
        <v>10854.68</v>
      </c>
      <c r="F95" s="543">
        <f>1-I95</f>
        <v>0.7951283977965764</v>
      </c>
      <c r="G95" s="514">
        <f t="shared" si="20"/>
        <v>8630.8643169945426</v>
      </c>
      <c r="H95" s="459"/>
      <c r="I95" s="531">
        <f>E114</f>
        <v>0.2048716022034236</v>
      </c>
      <c r="J95" s="5">
        <f t="shared" si="21"/>
        <v>2223.8156830054581</v>
      </c>
      <c r="L95" s="5">
        <f t="shared" si="22"/>
        <v>10854.68</v>
      </c>
      <c r="M95" s="10">
        <f t="shared" si="23"/>
        <v>1</v>
      </c>
      <c r="N95" t="str">
        <f t="shared" si="7"/>
        <v xml:space="preserve"> </v>
      </c>
    </row>
    <row r="96" spans="1:14">
      <c r="A96">
        <v>5290</v>
      </c>
      <c r="B96" t="s">
        <v>318</v>
      </c>
      <c r="C96" s="10"/>
      <c r="D96" s="5">
        <f>'Cost Allocations-Recycle'!G98</f>
        <v>231.54485811988016</v>
      </c>
      <c r="F96" s="10">
        <f>F82</f>
        <v>0.90663667658665437</v>
      </c>
      <c r="G96" s="5">
        <f t="shared" si="20"/>
        <v>209.92706064653657</v>
      </c>
      <c r="I96" s="10">
        <f>I82</f>
        <v>9.3363323413345634E-2</v>
      </c>
      <c r="J96" s="5">
        <f t="shared" si="21"/>
        <v>21.6177974733436</v>
      </c>
      <c r="L96" s="5">
        <f t="shared" si="22"/>
        <v>231.54485811988019</v>
      </c>
      <c r="M96" s="10">
        <f t="shared" si="23"/>
        <v>1</v>
      </c>
      <c r="N96" t="str">
        <f t="shared" si="7"/>
        <v xml:space="preserve"> </v>
      </c>
    </row>
    <row r="97" spans="1:14">
      <c r="A97" t="s">
        <v>319</v>
      </c>
      <c r="C97" s="10"/>
      <c r="D97" s="5"/>
      <c r="F97" s="10"/>
      <c r="G97" s="5"/>
      <c r="I97" s="10"/>
      <c r="J97" s="5"/>
      <c r="L97" s="5"/>
      <c r="M97" s="10"/>
    </row>
    <row r="98" spans="1:14">
      <c r="A98">
        <v>5320</v>
      </c>
      <c r="B98" t="s">
        <v>320</v>
      </c>
      <c r="C98" s="10"/>
      <c r="D98" s="5">
        <f>'Cost Allocations-Recycle'!G100</f>
        <v>82267.677219012316</v>
      </c>
      <c r="F98" s="10">
        <f>D12/(D12+D15)</f>
        <v>0.88508063830012984</v>
      </c>
      <c r="G98" s="5">
        <f>+D98*F98</f>
        <v>72813.528264472465</v>
      </c>
      <c r="I98" s="10">
        <f>D15/(D15+D12)</f>
        <v>0.11491936169987026</v>
      </c>
      <c r="J98" s="5">
        <f>+D98*I98</f>
        <v>9454.1489545398526</v>
      </c>
      <c r="L98" s="5">
        <f>+G98+J98</f>
        <v>82267.677219012316</v>
      </c>
      <c r="M98" s="10">
        <f>+F98+I98</f>
        <v>1</v>
      </c>
      <c r="N98" s="459" t="s">
        <v>762</v>
      </c>
    </row>
    <row r="99" spans="1:14" ht="13.5" thickBot="1">
      <c r="A99">
        <v>5322</v>
      </c>
      <c r="B99" s="459" t="s">
        <v>749</v>
      </c>
      <c r="C99" s="11"/>
      <c r="D99" s="6">
        <f>'Cost Allocations-Recycle'!G101</f>
        <v>0</v>
      </c>
      <c r="E99" s="4"/>
      <c r="F99" s="11">
        <v>1</v>
      </c>
      <c r="G99" s="6">
        <f>+D99*F99</f>
        <v>0</v>
      </c>
      <c r="H99" s="4"/>
      <c r="I99" s="11">
        <v>0</v>
      </c>
      <c r="J99" s="6">
        <f>+D99*I99</f>
        <v>0</v>
      </c>
      <c r="K99" s="4"/>
      <c r="L99" s="6">
        <f>+G99+J99</f>
        <v>0</v>
      </c>
      <c r="M99" s="11">
        <f>+F99+I99</f>
        <v>1</v>
      </c>
      <c r="N99" t="str">
        <f t="shared" si="7"/>
        <v xml:space="preserve"> </v>
      </c>
    </row>
    <row r="100" spans="1:14">
      <c r="C100" s="10"/>
      <c r="D100" s="5"/>
      <c r="F100" s="10"/>
      <c r="I100" s="10"/>
      <c r="M100" s="10"/>
    </row>
    <row r="101" spans="1:14" ht="13.5" thickBot="1">
      <c r="B101" t="s">
        <v>322</v>
      </c>
      <c r="C101" s="11"/>
      <c r="D101" s="6">
        <f>SUM(D26:D99)</f>
        <v>2687662.2326244325</v>
      </c>
      <c r="E101" s="4"/>
      <c r="F101" s="11">
        <f>+G101/D101</f>
        <v>0.75496046459464006</v>
      </c>
      <c r="G101" s="6">
        <f>SUM(G26:G99)</f>
        <v>2029078.7278156092</v>
      </c>
      <c r="H101" s="4"/>
      <c r="I101" s="11">
        <f>+J101/D101</f>
        <v>0.24503953540535933</v>
      </c>
      <c r="J101" s="6">
        <f>SUM(J26:J99)</f>
        <v>658583.50480882172</v>
      </c>
      <c r="K101" s="4"/>
      <c r="L101" s="6">
        <f>SUM(L26:L99)</f>
        <v>2687662.2326244325</v>
      </c>
      <c r="M101" s="11">
        <f>+F101+I101</f>
        <v>0.99999999999999933</v>
      </c>
    </row>
    <row r="102" spans="1:14">
      <c r="C102" s="10"/>
      <c r="D102" s="5"/>
      <c r="F102" s="10"/>
      <c r="G102" s="5"/>
      <c r="I102" s="10"/>
      <c r="J102" s="5"/>
      <c r="L102" s="5"/>
      <c r="M102" s="10"/>
    </row>
    <row r="103" spans="1:14" ht="13.5" thickBot="1">
      <c r="B103" t="s">
        <v>323</v>
      </c>
      <c r="C103" s="13"/>
      <c r="D103" s="7">
        <f>+D22-D101</f>
        <v>176664.34737556707</v>
      </c>
      <c r="E103" s="12"/>
      <c r="F103" s="13">
        <f>+G103/D103</f>
        <v>0.52731393497494361</v>
      </c>
      <c r="G103" s="7">
        <f>+G22-G101</f>
        <v>93157.572184390621</v>
      </c>
      <c r="H103" s="12"/>
      <c r="I103" s="13">
        <f>+J103/D103</f>
        <v>0.47268606502506627</v>
      </c>
      <c r="J103" s="7">
        <f>+J22-J101</f>
        <v>83506.775191178196</v>
      </c>
      <c r="K103" s="12"/>
      <c r="L103" s="7">
        <f>+L22-L101</f>
        <v>176664.34737556707</v>
      </c>
      <c r="M103" s="13">
        <f>+F103+I103</f>
        <v>1.0000000000000098</v>
      </c>
    </row>
    <row r="104" spans="1:14" ht="13.5" thickTop="1">
      <c r="C104" s="10"/>
      <c r="D104" s="5"/>
      <c r="F104" s="10"/>
      <c r="G104" s="5"/>
      <c r="I104" s="10"/>
      <c r="J104" s="5"/>
      <c r="L104" s="5"/>
      <c r="M104" s="10"/>
    </row>
    <row r="105" spans="1:14">
      <c r="B105" t="s">
        <v>324</v>
      </c>
      <c r="C105" s="10"/>
      <c r="D105" s="9">
        <f>+D101/D22</f>
        <v>0.93832255420554489</v>
      </c>
      <c r="F105" s="10"/>
      <c r="G105" s="9">
        <f>+G101/G22</f>
        <v>0.95610405298204038</v>
      </c>
      <c r="I105" s="10"/>
      <c r="J105" s="9">
        <f>+J101/J22</f>
        <v>0.8874708678421469</v>
      </c>
      <c r="L105" s="9">
        <f>+L101/L22</f>
        <v>0.93832255420554489</v>
      </c>
      <c r="M105" s="10"/>
    </row>
    <row r="107" spans="1:14">
      <c r="J107" s="459" t="s">
        <v>14</v>
      </c>
    </row>
    <row r="110" spans="1:14">
      <c r="B110" s="459" t="s">
        <v>768</v>
      </c>
      <c r="D110">
        <v>5.1000000000000004E-3</v>
      </c>
    </row>
    <row r="112" spans="1:14">
      <c r="B112" s="459" t="s">
        <v>769</v>
      </c>
    </row>
    <row r="113" spans="2:10">
      <c r="B113" s="465" t="s">
        <v>770</v>
      </c>
      <c r="D113" s="508">
        <v>1897774</v>
      </c>
      <c r="F113" s="459" t="s">
        <v>1468</v>
      </c>
      <c r="G113" s="459"/>
    </row>
    <row r="114" spans="2:10">
      <c r="B114" s="465" t="s">
        <v>771</v>
      </c>
      <c r="D114" s="508">
        <v>388800</v>
      </c>
      <c r="E114" s="72">
        <f>D114/D113</f>
        <v>0.2048716022034236</v>
      </c>
    </row>
    <row r="116" spans="2:10">
      <c r="B116" s="459" t="s">
        <v>763</v>
      </c>
      <c r="D116" s="67">
        <f>+D26+D27+D28+D29+D30+D41+D42+D43+D44+D45+D65+D66+D67</f>
        <v>721700.63331268949</v>
      </c>
      <c r="G116" s="67">
        <f>+G26+G27+G28+G29+G30+G41+G42+G43+G44+G45+G65+G66+G67</f>
        <v>645462.49914756592</v>
      </c>
      <c r="J116" s="67">
        <f>+J26+J27+J28+J29+J30+J41+J42+J43+J44+J45+J65+J66+J67</f>
        <v>76238.134165123731</v>
      </c>
    </row>
  </sheetData>
  <mergeCells count="7">
    <mergeCell ref="C8:D8"/>
    <mergeCell ref="F8:G8"/>
    <mergeCell ref="I8:J8"/>
    <mergeCell ref="I6:J6"/>
    <mergeCell ref="C7:D7"/>
    <mergeCell ref="F7:G7"/>
    <mergeCell ref="I7:J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</sheetPr>
  <dimension ref="A1:M29"/>
  <sheetViews>
    <sheetView workbookViewId="0">
      <selection activeCell="D27" sqref="D27"/>
    </sheetView>
  </sheetViews>
  <sheetFormatPr defaultRowHeight="12.75"/>
  <cols>
    <col min="1" max="1" width="9.42578125" bestFit="1" customWidth="1"/>
    <col min="4" max="4" width="11.5703125" customWidth="1"/>
    <col min="5" max="5" width="11.140625" customWidth="1"/>
    <col min="6" max="7" width="11.5703125" customWidth="1"/>
    <col min="8" max="8" width="10.85546875" customWidth="1"/>
    <col min="9" max="9" width="10.28515625" customWidth="1"/>
    <col min="10" max="10" width="9.7109375" bestFit="1" customWidth="1"/>
    <col min="11" max="11" width="12.28515625" customWidth="1"/>
  </cols>
  <sheetData>
    <row r="1" spans="1:12">
      <c r="A1" t="s">
        <v>4</v>
      </c>
    </row>
    <row r="3" spans="1:12">
      <c r="A3" t="s">
        <v>358</v>
      </c>
      <c r="D3" s="459" t="s">
        <v>11</v>
      </c>
      <c r="E3" s="459" t="s">
        <v>12</v>
      </c>
    </row>
    <row r="5" spans="1:12">
      <c r="A5" s="458" t="s">
        <v>1420</v>
      </c>
    </row>
    <row r="9" spans="1:12">
      <c r="D9" s="530" t="s">
        <v>360</v>
      </c>
      <c r="E9" s="530" t="s">
        <v>361</v>
      </c>
      <c r="F9" s="530"/>
      <c r="G9" s="530"/>
      <c r="H9" s="530" t="s">
        <v>361</v>
      </c>
      <c r="I9" s="530" t="s">
        <v>362</v>
      </c>
      <c r="J9" s="530" t="s">
        <v>363</v>
      </c>
      <c r="K9" s="530"/>
      <c r="L9" s="530"/>
    </row>
    <row r="10" spans="1:12" ht="13.5" thickBot="1">
      <c r="D10" s="18" t="s">
        <v>366</v>
      </c>
      <c r="E10" s="18" t="s">
        <v>366</v>
      </c>
      <c r="F10" s="18" t="s">
        <v>367</v>
      </c>
      <c r="G10" s="18" t="s">
        <v>368</v>
      </c>
      <c r="H10" s="18" t="s">
        <v>367</v>
      </c>
      <c r="I10" s="18" t="s">
        <v>366</v>
      </c>
      <c r="J10" s="18" t="s">
        <v>366</v>
      </c>
      <c r="K10" s="18" t="s">
        <v>27</v>
      </c>
      <c r="L10" s="530"/>
    </row>
    <row r="12" spans="1:12">
      <c r="A12" t="s">
        <v>222</v>
      </c>
      <c r="D12" s="5">
        <f t="shared" ref="D12:J12" si="0">+D18-D14-D16</f>
        <v>147562.35124643071</v>
      </c>
      <c r="E12" s="5">
        <f t="shared" si="0"/>
        <v>340.33325976912289</v>
      </c>
      <c r="F12" s="5">
        <f>+F18-F14-F16</f>
        <v>23030.341941070437</v>
      </c>
      <c r="G12" s="5">
        <f>+G18-G14-G16</f>
        <v>14626.355001860624</v>
      </c>
      <c r="H12" s="5">
        <f t="shared" si="0"/>
        <v>5139.4944273703723</v>
      </c>
      <c r="I12" s="5">
        <f t="shared" si="0"/>
        <v>3164.1734211618664</v>
      </c>
      <c r="J12" s="5">
        <f t="shared" si="0"/>
        <v>420.43520123101155</v>
      </c>
      <c r="K12" s="5">
        <f>SUM(D12:J12)</f>
        <v>194283.48449889416</v>
      </c>
      <c r="L12" s="10">
        <f>+K12/K18</f>
        <v>0.77969127811947092</v>
      </c>
    </row>
    <row r="13" spans="1:12">
      <c r="D13" s="5"/>
      <c r="E13" s="5"/>
      <c r="F13" s="5"/>
      <c r="G13" s="5"/>
      <c r="H13" s="5"/>
      <c r="I13" s="5"/>
      <c r="J13" s="5"/>
      <c r="K13" s="5"/>
      <c r="L13" s="10"/>
    </row>
    <row r="14" spans="1:12">
      <c r="A14" t="s">
        <v>223</v>
      </c>
      <c r="D14" s="5">
        <f t="shared" ref="D14:J14" si="1">+D18*D26</f>
        <v>13607.475222731286</v>
      </c>
      <c r="E14" s="5">
        <f t="shared" si="1"/>
        <v>92.094836197601794</v>
      </c>
      <c r="F14" s="5">
        <f>+F18*F26</f>
        <v>1404.2891427481973</v>
      </c>
      <c r="G14" s="5">
        <f t="shared" si="1"/>
        <v>0</v>
      </c>
      <c r="H14" s="5">
        <f t="shared" si="1"/>
        <v>1390.7571001090389</v>
      </c>
      <c r="I14" s="5">
        <f t="shared" si="1"/>
        <v>291.78453084540729</v>
      </c>
      <c r="J14" s="5">
        <f t="shared" si="1"/>
        <v>42.774404057399103</v>
      </c>
      <c r="K14" s="5">
        <f>SUM(D14:J14)</f>
        <v>16829.175236688934</v>
      </c>
      <c r="L14" s="10">
        <f>+K14/K18</f>
        <v>6.7538222221175115E-2</v>
      </c>
    </row>
    <row r="15" spans="1:12">
      <c r="D15" s="5"/>
      <c r="E15" s="5"/>
      <c r="F15" s="5"/>
      <c r="G15" s="5"/>
      <c r="H15" s="5"/>
      <c r="I15" s="5"/>
      <c r="J15" s="5"/>
      <c r="K15" s="5"/>
      <c r="L15" s="10"/>
    </row>
    <row r="16" spans="1:12">
      <c r="A16" t="s">
        <v>224</v>
      </c>
      <c r="D16" s="38">
        <f t="shared" ref="D16:J16" si="2">+D18*D27</f>
        <v>28536.228432512784</v>
      </c>
      <c r="E16" s="38">
        <f t="shared" si="2"/>
        <v>321.42904689041819</v>
      </c>
      <c r="F16" s="38">
        <f t="shared" si="2"/>
        <v>3651.151771145313</v>
      </c>
      <c r="G16" s="38">
        <f t="shared" si="2"/>
        <v>0</v>
      </c>
      <c r="H16" s="38">
        <f t="shared" si="2"/>
        <v>4854.0151391872632</v>
      </c>
      <c r="I16" s="38">
        <f t="shared" si="2"/>
        <v>611.90117115692522</v>
      </c>
      <c r="J16" s="38">
        <f t="shared" si="2"/>
        <v>92.629859631190101</v>
      </c>
      <c r="K16" s="38">
        <f>SUM(D16:J16)</f>
        <v>38067.355420523891</v>
      </c>
      <c r="L16" s="123">
        <f>+K16/K18</f>
        <v>0.15277049965935413</v>
      </c>
    </row>
    <row r="17" spans="1:13">
      <c r="D17" s="5"/>
      <c r="E17" s="5"/>
      <c r="F17" s="5"/>
      <c r="G17" s="5"/>
      <c r="H17" s="5"/>
      <c r="I17" s="5"/>
      <c r="J17" s="5"/>
      <c r="K17" s="5"/>
      <c r="L17" s="10"/>
    </row>
    <row r="18" spans="1:13" ht="13.5" thickBot="1">
      <c r="B18" t="s">
        <v>27</v>
      </c>
      <c r="D18" s="573">
        <f>'Depr Allocation'!D12</f>
        <v>189706.05490167477</v>
      </c>
      <c r="E18" s="573">
        <f>'Depr Allocation'!E12</f>
        <v>753.85714285714289</v>
      </c>
      <c r="F18" s="573">
        <f>'Depr Allocation'!F12</f>
        <v>28085.782854963945</v>
      </c>
      <c r="G18" s="573">
        <f>'Depr Allocation'!G12</f>
        <v>14626.355001860624</v>
      </c>
      <c r="H18" s="573">
        <f>'Depr Allocation'!H12</f>
        <v>11384.266666666674</v>
      </c>
      <c r="I18" s="573">
        <f>'Depr Allocation'!I12</f>
        <v>4067.859123164199</v>
      </c>
      <c r="J18" s="573">
        <f>'Depr Allocation'!J12</f>
        <v>555.8394649196008</v>
      </c>
      <c r="K18" s="7">
        <f>SUM(D18:J18)</f>
        <v>249180.01515610694</v>
      </c>
      <c r="L18" s="13">
        <f>SUM(L12:L16)</f>
        <v>1.0000000000000002</v>
      </c>
      <c r="M18" s="5">
        <f>SUM(D18:J18)-SUM(K12:K16)</f>
        <v>0</v>
      </c>
    </row>
    <row r="19" spans="1:13" ht="13.5" thickTop="1"/>
    <row r="21" spans="1:13">
      <c r="D21" s="530" t="s">
        <v>372</v>
      </c>
      <c r="E21" s="530" t="s">
        <v>361</v>
      </c>
      <c r="F21" s="530"/>
      <c r="G21" s="530"/>
      <c r="H21" s="530" t="s">
        <v>361</v>
      </c>
      <c r="I21" s="530" t="s">
        <v>372</v>
      </c>
      <c r="J21" s="530" t="s">
        <v>363</v>
      </c>
    </row>
    <row r="22" spans="1:13" ht="13.5" thickBot="1">
      <c r="A22" t="s">
        <v>374</v>
      </c>
      <c r="D22" s="18" t="s">
        <v>375</v>
      </c>
      <c r="E22" s="18" t="s">
        <v>29</v>
      </c>
      <c r="F22" s="18" t="s">
        <v>7</v>
      </c>
      <c r="G22" s="18" t="s">
        <v>7</v>
      </c>
      <c r="H22" s="18" t="s">
        <v>29</v>
      </c>
      <c r="I22" s="18" t="s">
        <v>375</v>
      </c>
      <c r="J22" s="18" t="s">
        <v>376</v>
      </c>
    </row>
    <row r="25" spans="1:13">
      <c r="A25" t="s">
        <v>222</v>
      </c>
      <c r="D25" s="10">
        <f>+'Hours &amp; Miles by County'!D25</f>
        <v>0.77784734558373858</v>
      </c>
      <c r="E25" s="10">
        <f>+'Drop Box Allocation'!D10</f>
        <v>0.45145590645894634</v>
      </c>
      <c r="F25" s="10">
        <f>+'Container Count by County'!K22</f>
        <v>0.82</v>
      </c>
      <c r="G25" s="10">
        <f>+'Container Count by County'!G10</f>
        <v>1</v>
      </c>
      <c r="H25" s="10">
        <f>+E25</f>
        <v>0.45145590645894634</v>
      </c>
      <c r="I25" s="10">
        <f>+D25</f>
        <v>0.77784734558373858</v>
      </c>
      <c r="J25" s="10">
        <f>+'Cost Allocations'!E64</f>
        <v>0.75639681556584915</v>
      </c>
    </row>
    <row r="26" spans="1:13">
      <c r="A26" t="s">
        <v>223</v>
      </c>
      <c r="D26" s="10">
        <f>+'Hours &amp; Miles by County'!E25</f>
        <v>7.1729261513471892E-2</v>
      </c>
      <c r="E26" s="10">
        <f>+'Drop Box Allocation'!D11</f>
        <v>0.12216483861724702</v>
      </c>
      <c r="F26" s="10">
        <f>+'Container Count by County'!K24</f>
        <v>0.05</v>
      </c>
      <c r="G26" s="10">
        <f>+'Container Count by County'!G12</f>
        <v>0</v>
      </c>
      <c r="H26" s="10">
        <f>+E26</f>
        <v>0.12216483861724702</v>
      </c>
      <c r="I26" s="10">
        <f>+D26</f>
        <v>7.1729261513471892E-2</v>
      </c>
      <c r="J26" s="10">
        <f>+'Cost Allocations'!H64</f>
        <v>7.69546006661945E-2</v>
      </c>
    </row>
    <row r="27" spans="1:13">
      <c r="A27" t="s">
        <v>224</v>
      </c>
      <c r="D27" s="10">
        <f>+'Hours &amp; Miles by County'!F25</f>
        <v>0.15042339290278953</v>
      </c>
      <c r="E27" s="10">
        <f>+'Drop Box Allocation'!D12</f>
        <v>0.42637925492380657</v>
      </c>
      <c r="F27" s="10">
        <f>+'Container Count by County'!K26</f>
        <v>0.13</v>
      </c>
      <c r="G27" s="10">
        <f>+'Container Count by County'!G14</f>
        <v>0</v>
      </c>
      <c r="H27" s="10">
        <f>+E27</f>
        <v>0.42637925492380657</v>
      </c>
      <c r="I27" s="10">
        <f>+D27</f>
        <v>0.15042339290278953</v>
      </c>
      <c r="J27" s="10">
        <f>+'Cost Allocations'!K64</f>
        <v>0.1666485837679563</v>
      </c>
    </row>
    <row r="29" spans="1:13">
      <c r="D29" s="10">
        <f t="shared" ref="D29:J29" si="3">SUM(D25:D27)</f>
        <v>1</v>
      </c>
      <c r="E29" s="10">
        <f t="shared" si="3"/>
        <v>0.99999999999999989</v>
      </c>
      <c r="F29" s="10">
        <f t="shared" si="3"/>
        <v>1</v>
      </c>
      <c r="G29" s="10">
        <f t="shared" si="3"/>
        <v>1</v>
      </c>
      <c r="H29" s="10">
        <f t="shared" si="3"/>
        <v>0.99999999999999989</v>
      </c>
      <c r="I29" s="10">
        <f t="shared" si="3"/>
        <v>1</v>
      </c>
      <c r="J29" s="10">
        <f t="shared" si="3"/>
        <v>1</v>
      </c>
    </row>
  </sheetData>
  <pageMargins left="0.36" right="0.75" top="0.49" bottom="0.51" header="0.5" footer="0.5"/>
  <pageSetup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59999389629810485"/>
    <pageSetUpPr fitToPage="1"/>
  </sheetPr>
  <dimension ref="A1:AF66"/>
  <sheetViews>
    <sheetView topLeftCell="A16" workbookViewId="0">
      <selection activeCell="E69" sqref="E69"/>
    </sheetView>
  </sheetViews>
  <sheetFormatPr defaultRowHeight="12.75"/>
  <cols>
    <col min="1" max="1" width="13" customWidth="1"/>
    <col min="2" max="2" width="9.7109375" bestFit="1" customWidth="1"/>
    <col min="3" max="3" width="10.28515625" bestFit="1" customWidth="1"/>
    <col min="4" max="4" width="13" customWidth="1"/>
    <col min="5" max="5" width="11.5703125" customWidth="1"/>
    <col min="6" max="8" width="11.140625" customWidth="1"/>
    <col min="9" max="9" width="11.5703125" customWidth="1"/>
    <col min="10" max="12" width="10.28515625" customWidth="1"/>
    <col min="13" max="13" width="12.5703125" customWidth="1"/>
    <col min="14" max="14" width="9.7109375" bestFit="1" customWidth="1"/>
    <col min="16" max="16" width="3.85546875" customWidth="1"/>
    <col min="17" max="17" width="4.28515625" customWidth="1"/>
    <col min="21" max="21" width="11.5703125" customWidth="1"/>
    <col min="22" max="22" width="12.85546875" customWidth="1"/>
    <col min="23" max="23" width="10.42578125" customWidth="1"/>
    <col min="24" max="24" width="10.7109375" bestFit="1" customWidth="1"/>
    <col min="25" max="26" width="9.7109375" bestFit="1" customWidth="1"/>
    <col min="28" max="28" width="9.7109375" bestFit="1" customWidth="1"/>
    <col min="30" max="30" width="13" customWidth="1"/>
  </cols>
  <sheetData>
    <row r="1" spans="1:31">
      <c r="A1" t="s">
        <v>4</v>
      </c>
    </row>
    <row r="3" spans="1:31">
      <c r="A3" t="s">
        <v>358</v>
      </c>
      <c r="D3" s="459" t="s">
        <v>11</v>
      </c>
      <c r="E3" s="459" t="s">
        <v>12</v>
      </c>
    </row>
    <row r="5" spans="1:31">
      <c r="A5" s="482" t="s">
        <v>1417</v>
      </c>
    </row>
    <row r="6" spans="1:31">
      <c r="F6" s="93" t="s">
        <v>358</v>
      </c>
      <c r="V6" s="93" t="s">
        <v>359</v>
      </c>
    </row>
    <row r="9" spans="1:31">
      <c r="D9" s="530" t="s">
        <v>360</v>
      </c>
      <c r="E9" s="530" t="s">
        <v>361</v>
      </c>
      <c r="F9" s="530"/>
      <c r="G9" s="530"/>
      <c r="H9" s="530" t="s">
        <v>361</v>
      </c>
      <c r="I9" s="530" t="s">
        <v>362</v>
      </c>
      <c r="J9" s="530" t="s">
        <v>363</v>
      </c>
      <c r="K9" s="462" t="s">
        <v>364</v>
      </c>
      <c r="L9" s="462" t="s">
        <v>365</v>
      </c>
      <c r="M9" s="530"/>
      <c r="N9" s="530"/>
      <c r="U9" s="530" t="s">
        <v>360</v>
      </c>
      <c r="V9" s="530" t="s">
        <v>361</v>
      </c>
      <c r="W9" s="530"/>
      <c r="X9" s="530"/>
      <c r="Y9" s="530" t="s">
        <v>361</v>
      </c>
      <c r="Z9" s="530" t="s">
        <v>362</v>
      </c>
      <c r="AA9" s="530" t="s">
        <v>363</v>
      </c>
      <c r="AB9" s="462" t="s">
        <v>364</v>
      </c>
      <c r="AC9" s="462" t="s">
        <v>365</v>
      </c>
      <c r="AD9" s="530"/>
      <c r="AE9" s="530"/>
    </row>
    <row r="10" spans="1:31" ht="13.5" thickBot="1">
      <c r="D10" s="18" t="s">
        <v>366</v>
      </c>
      <c r="E10" s="18" t="s">
        <v>366</v>
      </c>
      <c r="F10" s="18" t="s">
        <v>367</v>
      </c>
      <c r="G10" s="18" t="s">
        <v>368</v>
      </c>
      <c r="H10" s="18" t="s">
        <v>367</v>
      </c>
      <c r="I10" s="18" t="s">
        <v>366</v>
      </c>
      <c r="J10" s="18" t="s">
        <v>366</v>
      </c>
      <c r="K10" s="534" t="s">
        <v>368</v>
      </c>
      <c r="L10" s="534" t="s">
        <v>366</v>
      </c>
      <c r="M10" s="18" t="s">
        <v>27</v>
      </c>
      <c r="N10" s="530"/>
      <c r="U10" s="18" t="s">
        <v>366</v>
      </c>
      <c r="V10" s="18" t="s">
        <v>366</v>
      </c>
      <c r="W10" s="18" t="s">
        <v>367</v>
      </c>
      <c r="X10" s="18" t="s">
        <v>368</v>
      </c>
      <c r="Y10" s="18" t="s">
        <v>367</v>
      </c>
      <c r="Z10" s="18" t="s">
        <v>366</v>
      </c>
      <c r="AA10" s="18" t="s">
        <v>366</v>
      </c>
      <c r="AB10" s="534" t="s">
        <v>368</v>
      </c>
      <c r="AC10" s="534" t="s">
        <v>366</v>
      </c>
      <c r="AD10" s="18" t="s">
        <v>27</v>
      </c>
      <c r="AE10" s="530"/>
    </row>
    <row r="12" spans="1:31">
      <c r="A12" t="s">
        <v>369</v>
      </c>
      <c r="D12" s="5">
        <f>+D18-D14-D16</f>
        <v>189706.05490167477</v>
      </c>
      <c r="E12" s="5">
        <f t="shared" ref="E12:J12" si="0">+E18-E14-E16</f>
        <v>753.85714285714289</v>
      </c>
      <c r="F12" s="5">
        <f t="shared" si="0"/>
        <v>28085.782854963945</v>
      </c>
      <c r="G12" s="5">
        <f>+G18-G14-G16</f>
        <v>14626.355001860624</v>
      </c>
      <c r="H12" s="5">
        <f t="shared" si="0"/>
        <v>11384.266666666674</v>
      </c>
      <c r="I12" s="5">
        <f t="shared" si="0"/>
        <v>4067.859123164199</v>
      </c>
      <c r="J12" s="5">
        <f t="shared" si="0"/>
        <v>555.8394649196008</v>
      </c>
      <c r="K12" s="5">
        <f>+K18-K14-K16</f>
        <v>2969.2999999999997</v>
      </c>
      <c r="L12" s="5">
        <f>+L18-L14-L16</f>
        <v>670.28571428571422</v>
      </c>
      <c r="M12" s="5">
        <f>SUM(D12:L12)</f>
        <v>252819.60087039263</v>
      </c>
      <c r="N12" s="9">
        <f>+M12/M18</f>
        <v>0.88039179857188177</v>
      </c>
      <c r="R12" t="s">
        <v>369</v>
      </c>
      <c r="U12" s="5">
        <f t="shared" ref="U12:AC12" si="1">+U18-U14-U16</f>
        <v>832825.51754224207</v>
      </c>
      <c r="V12" s="5">
        <f t="shared" si="1"/>
        <v>254164.07142857142</v>
      </c>
      <c r="W12" s="5">
        <f t="shared" si="1"/>
        <v>185839.63237659456</v>
      </c>
      <c r="X12" s="5">
        <f t="shared" si="1"/>
        <v>41755.959868469989</v>
      </c>
      <c r="Y12" s="5">
        <f t="shared" si="1"/>
        <v>76754.074999999997</v>
      </c>
      <c r="Z12" s="5">
        <f t="shared" si="1"/>
        <v>27054.983727554594</v>
      </c>
      <c r="AA12" s="5">
        <f t="shared" si="1"/>
        <v>887.48175462768438</v>
      </c>
      <c r="AB12" s="5">
        <f t="shared" si="1"/>
        <v>11323.483333333348</v>
      </c>
      <c r="AC12" s="5">
        <f t="shared" si="1"/>
        <v>518.7142857142826</v>
      </c>
      <c r="AD12" s="5">
        <f>SUM(U12:AC12)</f>
        <v>1431123.9193171079</v>
      </c>
      <c r="AE12" s="9">
        <f>+AD12/AD18</f>
        <v>0.90401114102850288</v>
      </c>
    </row>
    <row r="13" spans="1:31"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U13" s="5"/>
      <c r="V13" s="5"/>
      <c r="W13" s="5"/>
      <c r="X13" s="5"/>
      <c r="Y13" s="5"/>
      <c r="Z13" s="5"/>
      <c r="AA13" s="5"/>
      <c r="AB13" s="5"/>
      <c r="AC13" s="5"/>
      <c r="AD13" s="5"/>
      <c r="AE13" s="9"/>
    </row>
    <row r="14" spans="1:31">
      <c r="A14" t="s">
        <v>370</v>
      </c>
      <c r="D14" s="5">
        <f>+D18*D26</f>
        <v>20051.506027866304</v>
      </c>
      <c r="E14" s="5">
        <f t="shared" ref="E14:L14" si="2">+E18*E26</f>
        <v>0</v>
      </c>
      <c r="F14" s="5">
        <f t="shared" si="2"/>
        <v>1728.3558679977809</v>
      </c>
      <c r="G14" s="5">
        <f t="shared" si="2"/>
        <v>2559.80693559468</v>
      </c>
      <c r="H14" s="5">
        <f t="shared" si="2"/>
        <v>0</v>
      </c>
      <c r="I14" s="5">
        <f t="shared" si="2"/>
        <v>429.96361803482836</v>
      </c>
      <c r="J14" s="5">
        <f t="shared" si="2"/>
        <v>65.546179810953305</v>
      </c>
      <c r="K14" s="5">
        <f t="shared" si="2"/>
        <v>0</v>
      </c>
      <c r="L14" s="5">
        <f t="shared" si="2"/>
        <v>0</v>
      </c>
      <c r="M14" s="5">
        <f>SUM(D14:L14)</f>
        <v>24835.178629304544</v>
      </c>
      <c r="N14" s="9">
        <f>+M14/M18</f>
        <v>8.6483356140239567E-2</v>
      </c>
      <c r="R14" t="s">
        <v>370</v>
      </c>
      <c r="U14" s="5">
        <f>+U18*U26</f>
        <v>88027.795917291602</v>
      </c>
      <c r="V14" s="5">
        <f t="shared" ref="V14:AC14" si="3">+V18*V26</f>
        <v>0</v>
      </c>
      <c r="W14" s="5">
        <f t="shared" si="3"/>
        <v>11436.285069328896</v>
      </c>
      <c r="X14" s="5">
        <f t="shared" si="3"/>
        <v>7307.8491298840654</v>
      </c>
      <c r="Y14" s="5">
        <f t="shared" si="3"/>
        <v>0</v>
      </c>
      <c r="Z14" s="5">
        <f t="shared" si="3"/>
        <v>2859.6513146512984</v>
      </c>
      <c r="AA14" s="5">
        <f t="shared" si="3"/>
        <v>104.65438735297552</v>
      </c>
      <c r="AB14" s="5">
        <f t="shared" si="3"/>
        <v>0</v>
      </c>
      <c r="AC14" s="5">
        <f t="shared" si="3"/>
        <v>0</v>
      </c>
      <c r="AD14" s="5">
        <f>SUM(U14:AC14)</f>
        <v>109736.23581850884</v>
      </c>
      <c r="AE14" s="9">
        <f>+AD14/AD18</f>
        <v>6.9318092175973012E-2</v>
      </c>
    </row>
    <row r="15" spans="1:31"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U15" s="5"/>
      <c r="V15" s="5"/>
      <c r="W15" s="5"/>
      <c r="X15" s="5"/>
      <c r="Y15" s="5"/>
      <c r="Z15" s="5"/>
      <c r="AA15" s="5"/>
      <c r="AB15" s="5"/>
      <c r="AC15" s="5"/>
      <c r="AD15" s="5"/>
      <c r="AE15" s="9"/>
    </row>
    <row r="16" spans="1:31">
      <c r="A16" t="s">
        <v>371</v>
      </c>
      <c r="D16" s="38">
        <f t="shared" ref="D16:I16" si="4">+D18*D27</f>
        <v>7623.8200228402466</v>
      </c>
      <c r="E16" s="38">
        <f t="shared" si="4"/>
        <v>0</v>
      </c>
      <c r="F16" s="38">
        <f t="shared" si="4"/>
        <v>737.09294370493603</v>
      </c>
      <c r="G16" s="38">
        <f>+G18*G27</f>
        <v>962.36272921139414</v>
      </c>
      <c r="H16" s="38">
        <f t="shared" si="4"/>
        <v>0</v>
      </c>
      <c r="I16" s="38">
        <f t="shared" si="4"/>
        <v>163.47725880097249</v>
      </c>
      <c r="J16" s="38">
        <f>+J18*J27</f>
        <v>25.614355269445927</v>
      </c>
      <c r="K16" s="38">
        <f>+K18*K27</f>
        <v>0</v>
      </c>
      <c r="L16" s="38">
        <f>+L18*L27</f>
        <v>0</v>
      </c>
      <c r="M16" s="38">
        <f>SUM(D16:L16)</f>
        <v>9512.3673098269956</v>
      </c>
      <c r="N16" s="37">
        <f>+M16/M18</f>
        <v>3.3124845287878547E-2</v>
      </c>
      <c r="R16" t="s">
        <v>371</v>
      </c>
      <c r="U16" s="38">
        <f t="shared" ref="U16:AC16" si="5">+U18*U27</f>
        <v>33469.21034998964</v>
      </c>
      <c r="V16" s="38">
        <f t="shared" si="5"/>
        <v>0</v>
      </c>
      <c r="W16" s="38">
        <f t="shared" si="5"/>
        <v>4877.2392207432058</v>
      </c>
      <c r="X16" s="38">
        <f t="shared" si="5"/>
        <v>2747.395334979245</v>
      </c>
      <c r="Y16" s="38">
        <f t="shared" si="5"/>
        <v>0</v>
      </c>
      <c r="Z16" s="38">
        <f t="shared" si="5"/>
        <v>1087.2732911274452</v>
      </c>
      <c r="AA16" s="38">
        <f t="shared" si="5"/>
        <v>40.897191352673829</v>
      </c>
      <c r="AB16" s="38">
        <f t="shared" si="5"/>
        <v>0</v>
      </c>
      <c r="AC16" s="38">
        <f t="shared" si="5"/>
        <v>0</v>
      </c>
      <c r="AD16" s="38">
        <f>SUM(U16:AC16)</f>
        <v>42222.015388192209</v>
      </c>
      <c r="AE16" s="37">
        <f>+AD16/AD18</f>
        <v>2.6670766795523833E-2</v>
      </c>
    </row>
    <row r="17" spans="1:32"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0"/>
    </row>
    <row r="18" spans="1:32" ht="13.5" thickBot="1">
      <c r="B18" t="s">
        <v>27</v>
      </c>
      <c r="D18" s="44">
        <f>+'General Data'!$C$23</f>
        <v>217381.38095238133</v>
      </c>
      <c r="E18" s="44">
        <f>+'General Data'!$D$23</f>
        <v>753.85714285714289</v>
      </c>
      <c r="F18" s="44">
        <f>+'General Data'!$E$23</f>
        <v>30551.231666666659</v>
      </c>
      <c r="G18" s="44">
        <f>+'General Data'!$F$23</f>
        <v>18148.524666666697</v>
      </c>
      <c r="H18" s="44">
        <f>+'General Data'!$G$23</f>
        <v>11384.266666666674</v>
      </c>
      <c r="I18" s="44">
        <f>+'General Data'!$H$23</f>
        <v>4661.2999999999993</v>
      </c>
      <c r="J18" s="44">
        <f>+'General Data'!$I$23</f>
        <v>647</v>
      </c>
      <c r="K18" s="44">
        <f>+'General Data'!$J$23</f>
        <v>2969.2999999999997</v>
      </c>
      <c r="L18" s="44">
        <f>+'General Data'!$K$23</f>
        <v>670.28571428571422</v>
      </c>
      <c r="M18" s="7">
        <f>SUM(D18:L18)</f>
        <v>287167.14680952422</v>
      </c>
      <c r="N18" s="13">
        <f>SUM(N12:N16)</f>
        <v>0.99999999999999989</v>
      </c>
      <c r="O18" s="5">
        <f>SUM(D18:L18)-SUM(M12:M16)</f>
        <v>0</v>
      </c>
      <c r="S18" t="s">
        <v>27</v>
      </c>
      <c r="U18" s="44">
        <f>DEPN2K!AB38+DEPN2K!AB63</f>
        <v>954322.52380952332</v>
      </c>
      <c r="V18" s="44">
        <f>DEPN2K!AB73</f>
        <v>254164.07142857142</v>
      </c>
      <c r="W18" s="44">
        <f>DEPN2K!AB214</f>
        <v>202153.15666666668</v>
      </c>
      <c r="X18" s="44">
        <f>DEPN2K!AB244</f>
        <v>51811.204333333299</v>
      </c>
      <c r="Y18" s="44">
        <f>DEPN2K!AB283</f>
        <v>76754.074999999997</v>
      </c>
      <c r="Z18" s="44">
        <f>DEPN2K!AB329</f>
        <v>31001.908333333336</v>
      </c>
      <c r="AA18" s="44">
        <f>DEPN2K!AB354</f>
        <v>1033.0333333333338</v>
      </c>
      <c r="AB18" s="44">
        <f>DEPN2K!AB290</f>
        <v>11323.483333333348</v>
      </c>
      <c r="AC18" s="44">
        <f>DEPN2K!AB298</f>
        <v>518.7142857142826</v>
      </c>
      <c r="AD18" s="7">
        <f>SUM(U18:AC18)</f>
        <v>1583082.1705238093</v>
      </c>
      <c r="AE18" s="13">
        <f>SUM(AE12:AE16)</f>
        <v>0.99999999999999967</v>
      </c>
      <c r="AF18" s="5">
        <f>SUM(U18:AC18)-SUM(AD12:AD16)</f>
        <v>0</v>
      </c>
    </row>
    <row r="19" spans="1:32" ht="13.5" thickTop="1"/>
    <row r="21" spans="1:32">
      <c r="D21" s="530" t="s">
        <v>372</v>
      </c>
      <c r="E21" s="530" t="s">
        <v>373</v>
      </c>
      <c r="F21" s="530"/>
      <c r="G21" s="530"/>
      <c r="H21" s="530" t="s">
        <v>373</v>
      </c>
      <c r="I21" s="530" t="s">
        <v>372</v>
      </c>
      <c r="J21" s="530" t="s">
        <v>363</v>
      </c>
      <c r="K21" s="530"/>
      <c r="L21" s="530"/>
      <c r="M21" s="530"/>
      <c r="U21" s="530" t="s">
        <v>372</v>
      </c>
      <c r="V21" s="530" t="s">
        <v>373</v>
      </c>
      <c r="W21" s="530"/>
      <c r="X21" s="530"/>
      <c r="Y21" s="530" t="s">
        <v>373</v>
      </c>
      <c r="Z21" s="530" t="s">
        <v>372</v>
      </c>
      <c r="AA21" s="530" t="s">
        <v>363</v>
      </c>
      <c r="AB21" s="530"/>
      <c r="AC21" s="530"/>
      <c r="AD21" s="530"/>
    </row>
    <row r="22" spans="1:32" ht="13.5" thickBot="1">
      <c r="A22" t="s">
        <v>374</v>
      </c>
      <c r="D22" s="18" t="s">
        <v>375</v>
      </c>
      <c r="E22" s="18" t="s">
        <v>29</v>
      </c>
      <c r="F22" s="18" t="s">
        <v>7</v>
      </c>
      <c r="G22" s="18" t="s">
        <v>7</v>
      </c>
      <c r="H22" s="18" t="s">
        <v>29</v>
      </c>
      <c r="I22" s="18" t="s">
        <v>375</v>
      </c>
      <c r="J22" s="18" t="s">
        <v>376</v>
      </c>
      <c r="K22" s="534" t="s">
        <v>364</v>
      </c>
      <c r="L22" s="534" t="s">
        <v>364</v>
      </c>
      <c r="M22" s="530"/>
      <c r="R22" t="s">
        <v>374</v>
      </c>
      <c r="U22" s="18" t="s">
        <v>375</v>
      </c>
      <c r="V22" s="18" t="s">
        <v>29</v>
      </c>
      <c r="W22" s="18" t="s">
        <v>7</v>
      </c>
      <c r="X22" s="18" t="s">
        <v>7</v>
      </c>
      <c r="Y22" s="18" t="s">
        <v>29</v>
      </c>
      <c r="Z22" s="18" t="s">
        <v>375</v>
      </c>
      <c r="AA22" s="18" t="s">
        <v>376</v>
      </c>
      <c r="AB22" s="534" t="s">
        <v>364</v>
      </c>
      <c r="AC22" s="534" t="s">
        <v>364</v>
      </c>
      <c r="AD22" s="530"/>
    </row>
    <row r="25" spans="1:32">
      <c r="A25" t="s">
        <v>369</v>
      </c>
      <c r="D25" s="10">
        <f>+'Allocations-Hours &amp; Miles'!D25</f>
        <v>0.87268768866286206</v>
      </c>
      <c r="E25" s="10">
        <v>1</v>
      </c>
      <c r="F25" s="10">
        <f>+'Container Count'!K27</f>
        <v>0.91930116472545753</v>
      </c>
      <c r="G25" s="10">
        <f>+'Container Count'!G14</f>
        <v>0.80592528982395883</v>
      </c>
      <c r="H25" s="10">
        <v>1</v>
      </c>
      <c r="I25" s="10">
        <f>+D25</f>
        <v>0.87268768866286206</v>
      </c>
      <c r="J25" s="10">
        <f>+'Cost Allocations-Contracts'!E65</f>
        <v>0.85910272785100583</v>
      </c>
      <c r="K25" s="10">
        <v>1</v>
      </c>
      <c r="L25" s="10">
        <v>1</v>
      </c>
      <c r="M25" s="10"/>
      <c r="R25" t="s">
        <v>369</v>
      </c>
      <c r="U25" s="10">
        <f>D25</f>
        <v>0.87268768866286206</v>
      </c>
      <c r="V25" s="10">
        <f t="shared" ref="V25:AC25" si="6">E25</f>
        <v>1</v>
      </c>
      <c r="W25" s="10">
        <f t="shared" si="6"/>
        <v>0.91930116472545753</v>
      </c>
      <c r="X25" s="10">
        <f t="shared" si="6"/>
        <v>0.80592528982395883</v>
      </c>
      <c r="Y25" s="10">
        <f t="shared" si="6"/>
        <v>1</v>
      </c>
      <c r="Z25" s="10">
        <f t="shared" si="6"/>
        <v>0.87268768866286206</v>
      </c>
      <c r="AA25" s="10">
        <f t="shared" si="6"/>
        <v>0.85910272785100583</v>
      </c>
      <c r="AB25" s="10">
        <f t="shared" si="6"/>
        <v>1</v>
      </c>
      <c r="AC25" s="10">
        <f t="shared" si="6"/>
        <v>1</v>
      </c>
      <c r="AD25" s="10"/>
    </row>
    <row r="26" spans="1:32">
      <c r="A26" t="s">
        <v>377</v>
      </c>
      <c r="D26" s="10">
        <f>+'Allocations-Hours &amp; Miles'!E25</f>
        <v>9.2241138316527235E-2</v>
      </c>
      <c r="E26" s="10">
        <v>0</v>
      </c>
      <c r="F26" s="10">
        <f>+'Container Count'!K23</f>
        <v>5.6572379367720464E-2</v>
      </c>
      <c r="G26" s="10">
        <f>+'Container Count'!G10</f>
        <v>0.14104765993988835</v>
      </c>
      <c r="H26" s="10">
        <v>0</v>
      </c>
      <c r="I26" s="10">
        <f>+D26</f>
        <v>9.2241138316527235E-2</v>
      </c>
      <c r="J26" s="10">
        <f>+'Cost Allocations-Contracts'!H65</f>
        <v>0.10130785133068518</v>
      </c>
      <c r="K26" s="10">
        <v>0</v>
      </c>
      <c r="L26" s="10">
        <f>+'Cost Allocations-Contracts'!J65</f>
        <v>0</v>
      </c>
      <c r="M26" s="10"/>
      <c r="R26" t="s">
        <v>377</v>
      </c>
      <c r="U26" s="10">
        <f>D26</f>
        <v>9.2241138316527235E-2</v>
      </c>
      <c r="V26" s="10">
        <f t="shared" ref="V26:AC27" si="7">E26</f>
        <v>0</v>
      </c>
      <c r="W26" s="10">
        <f t="shared" si="7"/>
        <v>5.6572379367720464E-2</v>
      </c>
      <c r="X26" s="10">
        <f t="shared" si="7"/>
        <v>0.14104765993988835</v>
      </c>
      <c r="Y26" s="10">
        <f t="shared" si="7"/>
        <v>0</v>
      </c>
      <c r="Z26" s="10">
        <f t="shared" si="7"/>
        <v>9.2241138316527235E-2</v>
      </c>
      <c r="AA26" s="10">
        <f t="shared" si="7"/>
        <v>0.10130785133068518</v>
      </c>
      <c r="AB26" s="10">
        <f t="shared" si="7"/>
        <v>0</v>
      </c>
      <c r="AC26" s="10">
        <f t="shared" si="7"/>
        <v>0</v>
      </c>
      <c r="AD26" s="10"/>
    </row>
    <row r="27" spans="1:32">
      <c r="A27" t="s">
        <v>378</v>
      </c>
      <c r="D27" s="10">
        <f>+'Allocations-Hours &amp; Miles'!F25</f>
        <v>3.507117302061067E-2</v>
      </c>
      <c r="E27" s="10">
        <v>0</v>
      </c>
      <c r="F27" s="10">
        <f>+'Container Count'!K25</f>
        <v>2.4126455906821963E-2</v>
      </c>
      <c r="G27" s="10">
        <f>+'Container Count'!G12</f>
        <v>5.3027050236152853E-2</v>
      </c>
      <c r="H27" s="10">
        <v>0</v>
      </c>
      <c r="I27" s="10">
        <f>+D27</f>
        <v>3.507117302061067E-2</v>
      </c>
      <c r="J27" s="10">
        <f>+'Cost Allocations-Contracts'!K65</f>
        <v>3.9589420818309004E-2</v>
      </c>
      <c r="K27" s="10">
        <v>0</v>
      </c>
      <c r="L27" s="10">
        <f>+'Cost Allocations-Contracts'!M65</f>
        <v>0</v>
      </c>
      <c r="M27" s="10"/>
      <c r="R27" t="s">
        <v>378</v>
      </c>
      <c r="U27" s="10">
        <f>D27</f>
        <v>3.507117302061067E-2</v>
      </c>
      <c r="V27" s="10">
        <f t="shared" si="7"/>
        <v>0</v>
      </c>
      <c r="W27" s="10">
        <f t="shared" si="7"/>
        <v>2.4126455906821963E-2</v>
      </c>
      <c r="X27" s="10">
        <f t="shared" si="7"/>
        <v>5.3027050236152853E-2</v>
      </c>
      <c r="Y27" s="10">
        <f t="shared" si="7"/>
        <v>0</v>
      </c>
      <c r="Z27" s="10">
        <f t="shared" si="7"/>
        <v>3.507117302061067E-2</v>
      </c>
      <c r="AA27" s="10">
        <f t="shared" si="7"/>
        <v>3.9589420818309004E-2</v>
      </c>
      <c r="AB27" s="10">
        <f t="shared" si="7"/>
        <v>0</v>
      </c>
      <c r="AC27" s="10">
        <f t="shared" si="7"/>
        <v>0</v>
      </c>
      <c r="AD27" s="10"/>
    </row>
    <row r="29" spans="1:32">
      <c r="D29" s="10">
        <f t="shared" ref="D29:I29" si="8">SUM(D25:D27)</f>
        <v>1</v>
      </c>
      <c r="E29" s="10">
        <f t="shared" si="8"/>
        <v>1</v>
      </c>
      <c r="F29" s="10">
        <f t="shared" si="8"/>
        <v>0.99999999999999989</v>
      </c>
      <c r="G29" s="10">
        <f>SUM(G25:G27)</f>
        <v>1</v>
      </c>
      <c r="H29" s="10">
        <f t="shared" si="8"/>
        <v>1</v>
      </c>
      <c r="I29" s="10">
        <f t="shared" si="8"/>
        <v>1</v>
      </c>
      <c r="J29" s="10">
        <f>SUM(J25:J27)</f>
        <v>1</v>
      </c>
      <c r="K29" s="10">
        <f>SUM(K25:K27)</f>
        <v>1</v>
      </c>
      <c r="L29" s="10">
        <f>SUM(L25:L27)</f>
        <v>1</v>
      </c>
      <c r="M29" s="10"/>
      <c r="U29" s="10">
        <f t="shared" ref="U29:AC29" si="9">SUM(U25:U27)</f>
        <v>1</v>
      </c>
      <c r="V29" s="10">
        <f t="shared" si="9"/>
        <v>1</v>
      </c>
      <c r="W29" s="10">
        <f t="shared" si="9"/>
        <v>0.99999999999999989</v>
      </c>
      <c r="X29" s="10">
        <f t="shared" si="9"/>
        <v>1</v>
      </c>
      <c r="Y29" s="10">
        <f t="shared" si="9"/>
        <v>1</v>
      </c>
      <c r="Z29" s="10">
        <f t="shared" si="9"/>
        <v>1</v>
      </c>
      <c r="AA29" s="10">
        <f t="shared" si="9"/>
        <v>1</v>
      </c>
      <c r="AB29" s="10">
        <f t="shared" si="9"/>
        <v>1</v>
      </c>
      <c r="AC29" s="10">
        <f t="shared" si="9"/>
        <v>1</v>
      </c>
      <c r="AD29" s="10"/>
    </row>
    <row r="31" spans="1:32" ht="13.5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32">
      <c r="D33" s="530" t="s">
        <v>360</v>
      </c>
      <c r="E33" s="530" t="s">
        <v>361</v>
      </c>
      <c r="F33" s="530"/>
      <c r="G33" s="530"/>
      <c r="H33" s="530" t="s">
        <v>361</v>
      </c>
      <c r="I33" s="530" t="s">
        <v>362</v>
      </c>
      <c r="J33" s="530" t="s">
        <v>363</v>
      </c>
      <c r="K33" s="462" t="s">
        <v>364</v>
      </c>
      <c r="L33" s="462" t="s">
        <v>365</v>
      </c>
      <c r="M33" s="530"/>
      <c r="N33" s="530"/>
      <c r="U33" s="530" t="s">
        <v>360</v>
      </c>
      <c r="V33" s="530" t="s">
        <v>361</v>
      </c>
      <c r="W33" s="530"/>
      <c r="X33" s="530"/>
      <c r="Y33" s="530" t="s">
        <v>361</v>
      </c>
      <c r="Z33" s="530" t="s">
        <v>362</v>
      </c>
      <c r="AA33" s="530" t="s">
        <v>363</v>
      </c>
      <c r="AB33" s="462" t="s">
        <v>364</v>
      </c>
      <c r="AC33" s="462" t="s">
        <v>365</v>
      </c>
      <c r="AD33" s="530"/>
      <c r="AE33" s="530"/>
    </row>
    <row r="34" spans="1:32" ht="13.5" thickBot="1">
      <c r="D34" s="18" t="s">
        <v>366</v>
      </c>
      <c r="E34" s="18" t="s">
        <v>366</v>
      </c>
      <c r="F34" s="18" t="s">
        <v>367</v>
      </c>
      <c r="G34" s="18" t="s">
        <v>368</v>
      </c>
      <c r="H34" s="18" t="s">
        <v>367</v>
      </c>
      <c r="I34" s="18" t="s">
        <v>366</v>
      </c>
      <c r="J34" s="18" t="s">
        <v>366</v>
      </c>
      <c r="K34" s="534" t="s">
        <v>368</v>
      </c>
      <c r="L34" s="534" t="s">
        <v>366</v>
      </c>
      <c r="M34" s="18" t="s">
        <v>27</v>
      </c>
      <c r="N34" s="530"/>
      <c r="U34" s="18" t="s">
        <v>366</v>
      </c>
      <c r="V34" s="18" t="s">
        <v>366</v>
      </c>
      <c r="W34" s="18" t="s">
        <v>367</v>
      </c>
      <c r="X34" s="18" t="s">
        <v>368</v>
      </c>
      <c r="Y34" s="18" t="s">
        <v>367</v>
      </c>
      <c r="Z34" s="18" t="s">
        <v>366</v>
      </c>
      <c r="AA34" s="18" t="s">
        <v>366</v>
      </c>
      <c r="AB34" s="534" t="s">
        <v>368</v>
      </c>
      <c r="AC34" s="534" t="s">
        <v>366</v>
      </c>
      <c r="AD34" s="18" t="s">
        <v>27</v>
      </c>
      <c r="AE34" s="530"/>
    </row>
    <row r="36" spans="1:32">
      <c r="A36" t="s">
        <v>369</v>
      </c>
      <c r="D36" s="5">
        <f t="shared" ref="D36:L36" si="10">+D42-D38-D40</f>
        <v>189706.05490167477</v>
      </c>
      <c r="E36" s="5">
        <f t="shared" si="10"/>
        <v>753.85714285714289</v>
      </c>
      <c r="F36" s="5">
        <f t="shared" si="10"/>
        <v>28085.782854963945</v>
      </c>
      <c r="G36" s="5">
        <f t="shared" si="10"/>
        <v>14626.355001860624</v>
      </c>
      <c r="H36" s="5">
        <f t="shared" si="10"/>
        <v>11384.266666666674</v>
      </c>
      <c r="I36" s="5">
        <f t="shared" si="10"/>
        <v>3656.7243472159075</v>
      </c>
      <c r="J36" s="5">
        <f t="shared" si="10"/>
        <v>477.52320055967249</v>
      </c>
      <c r="K36" s="5">
        <f t="shared" si="10"/>
        <v>0</v>
      </c>
      <c r="L36" s="5">
        <f t="shared" si="10"/>
        <v>0</v>
      </c>
      <c r="M36" s="5">
        <f>SUM(D36:L36)</f>
        <v>248690.56411579868</v>
      </c>
      <c r="N36" s="9">
        <f>+M36/M42</f>
        <v>0.98366805128882906</v>
      </c>
      <c r="R36" t="s">
        <v>369</v>
      </c>
      <c r="U36" s="5">
        <f t="shared" ref="U36:AC36" si="11">+U42-U38-U40</f>
        <v>832825.51754224207</v>
      </c>
      <c r="V36" s="5">
        <f t="shared" si="11"/>
        <v>254164.07142857142</v>
      </c>
      <c r="W36" s="5">
        <f t="shared" si="11"/>
        <v>185839.63237659456</v>
      </c>
      <c r="X36" s="5">
        <f t="shared" si="11"/>
        <v>41755.959868469989</v>
      </c>
      <c r="Y36" s="5">
        <f t="shared" si="11"/>
        <v>76754.074999999997</v>
      </c>
      <c r="Z36" s="5">
        <f t="shared" si="11"/>
        <v>24320.561434075422</v>
      </c>
      <c r="AA36" s="5">
        <f t="shared" si="11"/>
        <v>762.43799631864067</v>
      </c>
      <c r="AB36" s="5">
        <f t="shared" si="11"/>
        <v>0</v>
      </c>
      <c r="AC36" s="5">
        <f t="shared" si="11"/>
        <v>0</v>
      </c>
      <c r="AD36" s="5">
        <f>SUM(U36:AC36)</f>
        <v>1416422.2556462719</v>
      </c>
      <c r="AE36" s="9">
        <f>+AD36/AD42</f>
        <v>0.98972719030658696</v>
      </c>
    </row>
    <row r="37" spans="1:32">
      <c r="D37" s="5"/>
      <c r="E37" s="5"/>
      <c r="F37" s="5"/>
      <c r="G37" s="5"/>
      <c r="H37" s="5"/>
      <c r="I37" s="5"/>
      <c r="J37" s="5"/>
      <c r="K37" s="5"/>
      <c r="L37" s="5"/>
      <c r="M37" s="5"/>
      <c r="N37" s="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9"/>
    </row>
    <row r="38" spans="1:32">
      <c r="A38" s="459" t="s">
        <v>236</v>
      </c>
      <c r="D38" s="5">
        <f>D58</f>
        <v>0</v>
      </c>
      <c r="E38" s="5">
        <f t="shared" ref="E38:L38" si="12">+E42*E50</f>
        <v>0</v>
      </c>
      <c r="F38" s="5">
        <f t="shared" si="12"/>
        <v>0</v>
      </c>
      <c r="G38" s="5">
        <f t="shared" si="12"/>
        <v>0</v>
      </c>
      <c r="H38" s="5">
        <f t="shared" si="12"/>
        <v>0</v>
      </c>
      <c r="I38" s="5">
        <f t="shared" si="12"/>
        <v>269.14516811290554</v>
      </c>
      <c r="J38" s="5">
        <f t="shared" si="12"/>
        <v>56.310901875802514</v>
      </c>
      <c r="K38" s="5">
        <f t="shared" si="12"/>
        <v>2969.2999999999997</v>
      </c>
      <c r="L38" s="5">
        <f t="shared" si="12"/>
        <v>670.28571428571422</v>
      </c>
      <c r="M38" s="5">
        <f>SUM(D38:L38)</f>
        <v>3965.0417842744218</v>
      </c>
      <c r="N38" s="9">
        <f>+M38/M42</f>
        <v>1.568328472406335E-2</v>
      </c>
      <c r="R38" s="459" t="s">
        <v>236</v>
      </c>
      <c r="U38" s="5">
        <f>U58</f>
        <v>0</v>
      </c>
      <c r="V38" s="5">
        <f t="shared" ref="V38:AC38" si="13">+V42*V50</f>
        <v>0</v>
      </c>
      <c r="W38" s="5">
        <f t="shared" si="13"/>
        <v>0</v>
      </c>
      <c r="X38" s="5">
        <f t="shared" si="13"/>
        <v>0</v>
      </c>
      <c r="Y38" s="5">
        <f t="shared" si="13"/>
        <v>0</v>
      </c>
      <c r="Z38" s="5">
        <f t="shared" si="13"/>
        <v>1790.0615343779391</v>
      </c>
      <c r="AA38" s="5">
        <f t="shared" si="13"/>
        <v>89.908869656517069</v>
      </c>
      <c r="AB38" s="5">
        <f t="shared" si="13"/>
        <v>11323.483333333348</v>
      </c>
      <c r="AC38" s="5">
        <f t="shared" si="13"/>
        <v>259.3571428571413</v>
      </c>
      <c r="AD38" s="5">
        <f>SUM(U38:AC38)</f>
        <v>13462.810880224946</v>
      </c>
      <c r="AE38" s="9">
        <f>+AD38/AD42</f>
        <v>9.4071594349768271E-3</v>
      </c>
    </row>
    <row r="39" spans="1:32">
      <c r="D39" s="5"/>
      <c r="E39" s="5"/>
      <c r="F39" s="5"/>
      <c r="G39" s="5"/>
      <c r="H39" s="5"/>
      <c r="I39" s="5"/>
      <c r="J39" s="5"/>
      <c r="K39" s="5"/>
      <c r="L39" s="5"/>
      <c r="M39" s="5"/>
      <c r="N39" s="9"/>
      <c r="U39" s="5"/>
      <c r="V39" s="5"/>
      <c r="W39" s="5"/>
      <c r="X39" s="5"/>
      <c r="Y39" s="5"/>
      <c r="Z39" s="5"/>
      <c r="AA39" s="5"/>
      <c r="AB39" s="5"/>
      <c r="AC39" s="5"/>
      <c r="AD39" s="5"/>
      <c r="AE39" s="9"/>
    </row>
    <row r="40" spans="1:32">
      <c r="A40" s="459" t="s">
        <v>379</v>
      </c>
      <c r="D40" s="38">
        <f>D64</f>
        <v>0</v>
      </c>
      <c r="E40" s="38">
        <f t="shared" ref="E40:L40" si="14">+E42*E51</f>
        <v>0</v>
      </c>
      <c r="F40" s="38">
        <f t="shared" si="14"/>
        <v>0</v>
      </c>
      <c r="G40" s="38">
        <f t="shared" si="14"/>
        <v>0</v>
      </c>
      <c r="H40" s="38">
        <f t="shared" si="14"/>
        <v>0</v>
      </c>
      <c r="I40" s="38">
        <f t="shared" si="14"/>
        <v>141.98960783538575</v>
      </c>
      <c r="J40" s="38">
        <f t="shared" si="14"/>
        <v>22.005362484125783</v>
      </c>
      <c r="K40" s="38">
        <f t="shared" si="14"/>
        <v>0</v>
      </c>
      <c r="L40" s="38">
        <f t="shared" si="14"/>
        <v>0</v>
      </c>
      <c r="M40" s="38">
        <f>SUM(D40:L40)</f>
        <v>163.99497031951154</v>
      </c>
      <c r="N40" s="37">
        <f>+M40/M42</f>
        <v>6.486639871074837E-4</v>
      </c>
      <c r="R40" s="459" t="s">
        <v>379</v>
      </c>
      <c r="U40" s="38">
        <f>U64</f>
        <v>0</v>
      </c>
      <c r="V40" s="38">
        <f t="shared" ref="V40:AC40" si="15">+V42*V51</f>
        <v>0</v>
      </c>
      <c r="W40" s="38">
        <f t="shared" si="15"/>
        <v>0</v>
      </c>
      <c r="X40" s="38">
        <f t="shared" si="15"/>
        <v>0</v>
      </c>
      <c r="Y40" s="38">
        <f t="shared" si="15"/>
        <v>0</v>
      </c>
      <c r="Z40" s="38">
        <f t="shared" si="15"/>
        <v>944.36075910123316</v>
      </c>
      <c r="AA40" s="38">
        <f t="shared" si="15"/>
        <v>35.134888652526648</v>
      </c>
      <c r="AB40" s="38">
        <f t="shared" si="15"/>
        <v>0</v>
      </c>
      <c r="AC40" s="38">
        <f t="shared" si="15"/>
        <v>259.3571428571413</v>
      </c>
      <c r="AD40" s="38">
        <f>SUM(U40:AC40)</f>
        <v>1238.8527906109011</v>
      </c>
      <c r="AE40" s="37">
        <f>+AD40/AD42</f>
        <v>8.6565025843607368E-4</v>
      </c>
    </row>
    <row r="41" spans="1:32">
      <c r="D41" s="5"/>
      <c r="E41" s="5"/>
      <c r="F41" s="5"/>
      <c r="G41" s="5"/>
      <c r="H41" s="5"/>
      <c r="I41" s="5"/>
      <c r="J41" s="5"/>
      <c r="K41" s="5"/>
      <c r="L41" s="5"/>
      <c r="M41" s="5"/>
      <c r="N41" s="10"/>
      <c r="U41" s="5"/>
      <c r="V41" s="5"/>
      <c r="W41" s="5"/>
      <c r="X41" s="5"/>
      <c r="Y41" s="5"/>
      <c r="Z41" s="5"/>
      <c r="AA41" s="5"/>
      <c r="AB41" s="5"/>
      <c r="AC41" s="5"/>
      <c r="AD41" s="5"/>
      <c r="AE41" s="10"/>
    </row>
    <row r="42" spans="1:32" ht="13.5" thickBot="1">
      <c r="B42" s="459" t="s">
        <v>380</v>
      </c>
      <c r="D42" s="44">
        <f t="shared" ref="D42:L42" si="16">D12</f>
        <v>189706.05490167477</v>
      </c>
      <c r="E42" s="44">
        <f t="shared" si="16"/>
        <v>753.85714285714289</v>
      </c>
      <c r="F42" s="44">
        <f t="shared" si="16"/>
        <v>28085.782854963945</v>
      </c>
      <c r="G42" s="44">
        <f t="shared" si="16"/>
        <v>14626.355001860624</v>
      </c>
      <c r="H42" s="44">
        <f t="shared" si="16"/>
        <v>11384.266666666674</v>
      </c>
      <c r="I42" s="44">
        <f t="shared" si="16"/>
        <v>4067.859123164199</v>
      </c>
      <c r="J42" s="44">
        <f t="shared" si="16"/>
        <v>555.8394649196008</v>
      </c>
      <c r="K42" s="44">
        <f t="shared" si="16"/>
        <v>2969.2999999999997</v>
      </c>
      <c r="L42" s="44">
        <f t="shared" si="16"/>
        <v>670.28571428571422</v>
      </c>
      <c r="M42" s="7">
        <f>SUM(D42:L42)</f>
        <v>252819.60087039263</v>
      </c>
      <c r="N42" s="13">
        <f>SUM(N36:N40)</f>
        <v>0.99999999999999989</v>
      </c>
      <c r="O42" s="5">
        <f>SUM(D42:L42)-SUM(M36:M40)</f>
        <v>0</v>
      </c>
      <c r="S42" s="459" t="s">
        <v>380</v>
      </c>
      <c r="U42" s="44">
        <f t="shared" ref="U42:AC42" si="17">U12</f>
        <v>832825.51754224207</v>
      </c>
      <c r="V42" s="44">
        <f t="shared" si="17"/>
        <v>254164.07142857142</v>
      </c>
      <c r="W42" s="44">
        <f t="shared" si="17"/>
        <v>185839.63237659456</v>
      </c>
      <c r="X42" s="44">
        <f t="shared" si="17"/>
        <v>41755.959868469989</v>
      </c>
      <c r="Y42" s="44">
        <f t="shared" si="17"/>
        <v>76754.074999999997</v>
      </c>
      <c r="Z42" s="44">
        <f t="shared" si="17"/>
        <v>27054.983727554594</v>
      </c>
      <c r="AA42" s="44">
        <f t="shared" si="17"/>
        <v>887.48175462768438</v>
      </c>
      <c r="AB42" s="44">
        <f t="shared" si="17"/>
        <v>11323.483333333348</v>
      </c>
      <c r="AC42" s="44">
        <f t="shared" si="17"/>
        <v>518.7142857142826</v>
      </c>
      <c r="AD42" s="7">
        <f>SUM(U42:AC42)</f>
        <v>1431123.9193171079</v>
      </c>
      <c r="AE42" s="13">
        <f>SUM(AE36:AE40)</f>
        <v>0.99999999999999989</v>
      </c>
      <c r="AF42" s="5">
        <f>SUM(U42:AC42)-SUM(AD36:AD40)</f>
        <v>0</v>
      </c>
    </row>
    <row r="43" spans="1:32" ht="13.5" thickTop="1"/>
    <row r="46" spans="1:32">
      <c r="D46" s="530"/>
      <c r="E46" s="530" t="s">
        <v>373</v>
      </c>
      <c r="F46" s="530"/>
      <c r="G46" s="530"/>
      <c r="H46" s="530" t="s">
        <v>373</v>
      </c>
      <c r="I46" s="530" t="s">
        <v>372</v>
      </c>
      <c r="J46" s="530" t="s">
        <v>363</v>
      </c>
      <c r="K46" s="530"/>
      <c r="L46" s="530"/>
      <c r="M46" s="530"/>
      <c r="U46" s="530"/>
      <c r="V46" s="530" t="s">
        <v>373</v>
      </c>
      <c r="W46" s="530"/>
      <c r="X46" s="530"/>
      <c r="Y46" s="530" t="s">
        <v>373</v>
      </c>
      <c r="Z46" s="530" t="s">
        <v>372</v>
      </c>
      <c r="AA46" s="530" t="s">
        <v>363</v>
      </c>
      <c r="AB46" s="530"/>
      <c r="AC46" s="530"/>
    </row>
    <row r="47" spans="1:32" ht="13.5" thickBot="1">
      <c r="A47" t="s">
        <v>374</v>
      </c>
      <c r="D47" s="534" t="s">
        <v>381</v>
      </c>
      <c r="E47" s="18" t="s">
        <v>29</v>
      </c>
      <c r="F47" s="18" t="s">
        <v>7</v>
      </c>
      <c r="G47" s="18" t="s">
        <v>7</v>
      </c>
      <c r="H47" s="18" t="s">
        <v>29</v>
      </c>
      <c r="I47" s="18" t="s">
        <v>375</v>
      </c>
      <c r="J47" s="18" t="s">
        <v>376</v>
      </c>
      <c r="K47" s="534" t="s">
        <v>364</v>
      </c>
      <c r="L47" s="534" t="s">
        <v>364</v>
      </c>
      <c r="M47" s="530"/>
      <c r="R47" t="s">
        <v>374</v>
      </c>
      <c r="U47" s="534" t="s">
        <v>381</v>
      </c>
      <c r="V47" s="18" t="s">
        <v>29</v>
      </c>
      <c r="W47" s="18" t="s">
        <v>7</v>
      </c>
      <c r="X47" s="18" t="s">
        <v>7</v>
      </c>
      <c r="Y47" s="18" t="s">
        <v>29</v>
      </c>
      <c r="Z47" s="18" t="s">
        <v>375</v>
      </c>
      <c r="AA47" s="18" t="s">
        <v>376</v>
      </c>
      <c r="AB47" s="534" t="s">
        <v>364</v>
      </c>
      <c r="AC47" s="534" t="s">
        <v>364</v>
      </c>
    </row>
    <row r="49" spans="1:29">
      <c r="A49" t="s">
        <v>369</v>
      </c>
      <c r="D49" s="10">
        <f>+'Allocations-Hours &amp; Miles'!D31</f>
        <v>0</v>
      </c>
      <c r="E49" s="10">
        <v>1</v>
      </c>
      <c r="F49" s="10">
        <v>1</v>
      </c>
      <c r="G49" s="10">
        <v>1</v>
      </c>
      <c r="H49" s="10">
        <v>1</v>
      </c>
      <c r="I49" s="10">
        <f>'Allocations-Hours &amp; Miles'!I25</f>
        <v>0.89893092078653702</v>
      </c>
      <c r="J49" s="302">
        <f>'Overhead Allocation'!O20</f>
        <v>0.85910272785100583</v>
      </c>
      <c r="K49" s="10">
        <v>0</v>
      </c>
      <c r="L49" s="10">
        <v>0</v>
      </c>
      <c r="R49" t="s">
        <v>369</v>
      </c>
      <c r="U49" s="10">
        <f>D49</f>
        <v>0</v>
      </c>
      <c r="V49" s="10">
        <f t="shared" ref="V49:AC49" si="18">E49</f>
        <v>1</v>
      </c>
      <c r="W49" s="10">
        <f t="shared" si="18"/>
        <v>1</v>
      </c>
      <c r="X49" s="10">
        <f t="shared" si="18"/>
        <v>1</v>
      </c>
      <c r="Y49" s="10">
        <f t="shared" si="18"/>
        <v>1</v>
      </c>
      <c r="Z49" s="10">
        <f t="shared" si="18"/>
        <v>0.89893092078653702</v>
      </c>
      <c r="AA49" s="10">
        <f t="shared" si="18"/>
        <v>0.85910272785100583</v>
      </c>
      <c r="AB49" s="10">
        <f t="shared" si="18"/>
        <v>0</v>
      </c>
      <c r="AC49" s="10">
        <f t="shared" si="18"/>
        <v>0</v>
      </c>
    </row>
    <row r="50" spans="1:29">
      <c r="A50" s="459" t="s">
        <v>236</v>
      </c>
      <c r="D50" s="10">
        <f>+'Allocations-Hours &amp; Miles'!E31</f>
        <v>0</v>
      </c>
      <c r="E50" s="10">
        <v>0</v>
      </c>
      <c r="F50" s="10">
        <v>0</v>
      </c>
      <c r="G50" s="10">
        <v>0</v>
      </c>
      <c r="H50" s="10">
        <v>0</v>
      </c>
      <c r="I50" s="10">
        <f>'Allocations-Hours &amp; Miles'!K25</f>
        <v>6.6163837036605624E-2</v>
      </c>
      <c r="J50" s="302">
        <f>'Overhead Allocation'!P20</f>
        <v>0.10130785133068518</v>
      </c>
      <c r="K50" s="10">
        <v>1</v>
      </c>
      <c r="L50" s="10">
        <v>1</v>
      </c>
      <c r="R50" s="459" t="s">
        <v>236</v>
      </c>
      <c r="U50" s="10">
        <f>D50</f>
        <v>0</v>
      </c>
      <c r="V50" s="10">
        <f t="shared" ref="V50:AB51" si="19">E50</f>
        <v>0</v>
      </c>
      <c r="W50" s="10">
        <f t="shared" si="19"/>
        <v>0</v>
      </c>
      <c r="X50" s="10">
        <f t="shared" si="19"/>
        <v>0</v>
      </c>
      <c r="Y50" s="10">
        <f t="shared" si="19"/>
        <v>0</v>
      </c>
      <c r="Z50" s="10">
        <f t="shared" si="19"/>
        <v>6.6163837036605624E-2</v>
      </c>
      <c r="AA50" s="10">
        <f t="shared" si="19"/>
        <v>0.10130785133068518</v>
      </c>
      <c r="AB50" s="10">
        <f t="shared" si="19"/>
        <v>1</v>
      </c>
      <c r="AC50" s="10">
        <v>0.5</v>
      </c>
    </row>
    <row r="51" spans="1:29">
      <c r="A51" s="459" t="s">
        <v>379</v>
      </c>
      <c r="D51" s="10">
        <f>+'Allocations-Hours &amp; Miles'!F31</f>
        <v>0</v>
      </c>
      <c r="E51" s="10">
        <v>0</v>
      </c>
      <c r="F51" s="10">
        <f>+'Container Count'!K31</f>
        <v>0</v>
      </c>
      <c r="G51" s="10">
        <f>+'Container Count'!G18</f>
        <v>0</v>
      </c>
      <c r="H51" s="10">
        <v>0</v>
      </c>
      <c r="I51" s="10">
        <f>'Allocations-Hours &amp; Miles'!J25</f>
        <v>3.4905242176857545E-2</v>
      </c>
      <c r="J51" s="302">
        <f>'Overhead Allocation'!Q20</f>
        <v>3.9589420818309004E-2</v>
      </c>
      <c r="K51" s="10">
        <v>0</v>
      </c>
      <c r="L51" s="10">
        <f>+'Cost Allocations-Contracts'!M71</f>
        <v>0</v>
      </c>
      <c r="R51" s="459" t="s">
        <v>379</v>
      </c>
      <c r="U51" s="10">
        <f>D51</f>
        <v>0</v>
      </c>
      <c r="V51" s="10">
        <f t="shared" si="19"/>
        <v>0</v>
      </c>
      <c r="W51" s="10">
        <f t="shared" si="19"/>
        <v>0</v>
      </c>
      <c r="X51" s="10">
        <f t="shared" si="19"/>
        <v>0</v>
      </c>
      <c r="Y51" s="10">
        <f t="shared" si="19"/>
        <v>0</v>
      </c>
      <c r="Z51" s="10">
        <f t="shared" si="19"/>
        <v>3.4905242176857545E-2</v>
      </c>
      <c r="AA51" s="10">
        <f t="shared" si="19"/>
        <v>3.9589420818309004E-2</v>
      </c>
      <c r="AB51" s="10">
        <f t="shared" si="19"/>
        <v>0</v>
      </c>
      <c r="AC51" s="10">
        <v>0.5</v>
      </c>
    </row>
    <row r="53" spans="1:29">
      <c r="D53" s="10">
        <f>SUM(D49:D51)</f>
        <v>0</v>
      </c>
      <c r="E53" s="10">
        <f>SUM(E49:E51)</f>
        <v>1</v>
      </c>
      <c r="F53" s="10">
        <f>SUM(F49:F51)</f>
        <v>1</v>
      </c>
      <c r="G53" s="10">
        <f t="shared" ref="G53:L53" si="20">SUM(G49:G51)</f>
        <v>1</v>
      </c>
      <c r="H53" s="10">
        <f t="shared" si="20"/>
        <v>1</v>
      </c>
      <c r="I53" s="10">
        <f t="shared" si="20"/>
        <v>1.0000000000000002</v>
      </c>
      <c r="J53" s="10">
        <f t="shared" si="20"/>
        <v>1</v>
      </c>
      <c r="K53" s="10">
        <f t="shared" si="20"/>
        <v>1</v>
      </c>
      <c r="L53" s="10">
        <f t="shared" si="20"/>
        <v>1</v>
      </c>
      <c r="U53" s="10">
        <f>SUM(U49:U51)</f>
        <v>0</v>
      </c>
      <c r="V53" s="10">
        <f>SUM(V49:V51)</f>
        <v>1</v>
      </c>
      <c r="W53" s="10">
        <f>SUM(W49:W51)</f>
        <v>1</v>
      </c>
      <c r="X53" s="10">
        <f t="shared" ref="X53:AC53" si="21">SUM(X49:X51)</f>
        <v>1</v>
      </c>
      <c r="Y53" s="10">
        <f t="shared" si="21"/>
        <v>1</v>
      </c>
      <c r="Z53" s="10">
        <f t="shared" si="21"/>
        <v>1.0000000000000002</v>
      </c>
      <c r="AA53" s="10">
        <f t="shared" si="21"/>
        <v>1</v>
      </c>
      <c r="AB53" s="10">
        <f t="shared" si="21"/>
        <v>1</v>
      </c>
      <c r="AC53" s="10">
        <f t="shared" si="21"/>
        <v>1</v>
      </c>
    </row>
    <row r="56" spans="1:29">
      <c r="A56" s="459" t="s">
        <v>382</v>
      </c>
    </row>
    <row r="57" spans="1:29">
      <c r="A57" s="459" t="s">
        <v>383</v>
      </c>
    </row>
    <row r="58" spans="1:29">
      <c r="A58" s="459" t="s">
        <v>1410</v>
      </c>
      <c r="C58" s="74">
        <f>DEPN2K!T14+DEPN2K!T18</f>
        <v>0</v>
      </c>
      <c r="D58" s="75">
        <f>ROUND(C58*C60,0)</f>
        <v>0</v>
      </c>
    </row>
    <row r="59" spans="1:29">
      <c r="A59" s="459" t="s">
        <v>384</v>
      </c>
      <c r="B59" s="464">
        <v>6006</v>
      </c>
    </row>
    <row r="60" spans="1:29">
      <c r="A60" s="459" t="s">
        <v>385</v>
      </c>
      <c r="B60" s="464">
        <v>6006</v>
      </c>
      <c r="C60" s="72">
        <f>B60/B59</f>
        <v>1</v>
      </c>
    </row>
    <row r="63" spans="1:29">
      <c r="A63" s="459" t="s">
        <v>386</v>
      </c>
    </row>
    <row r="64" spans="1:29">
      <c r="A64" s="459" t="s">
        <v>387</v>
      </c>
      <c r="C64" s="75">
        <f>DEPN2K!$T$24</f>
        <v>0</v>
      </c>
      <c r="D64" s="75">
        <f>ROUND(C64*C66,0)</f>
        <v>0</v>
      </c>
    </row>
    <row r="65" spans="1:4">
      <c r="A65" s="459" t="s">
        <v>384</v>
      </c>
      <c r="B65" s="464">
        <v>5769</v>
      </c>
    </row>
    <row r="66" spans="1:4">
      <c r="A66" s="459" t="s">
        <v>385</v>
      </c>
      <c r="B66" s="464">
        <v>2545</v>
      </c>
      <c r="C66" s="72">
        <f>B66/B65</f>
        <v>0.44115097937250825</v>
      </c>
      <c r="D66" s="16"/>
    </row>
  </sheetData>
  <phoneticPr fontId="0" type="noConversion"/>
  <pageMargins left="0.33" right="0.3" top="1" bottom="1" header="0.5" footer="0.5"/>
  <pageSetup scale="41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  <pageSetUpPr fitToPage="1"/>
  </sheetPr>
  <dimension ref="A1:FU392"/>
  <sheetViews>
    <sheetView zoomScale="75" zoomScaleNormal="75" workbookViewId="0">
      <selection activeCell="B38" sqref="B38"/>
    </sheetView>
  </sheetViews>
  <sheetFormatPr defaultColWidth="14.7109375" defaultRowHeight="15.75"/>
  <cols>
    <col min="1" max="1" width="1.5703125" style="247" customWidth="1"/>
    <col min="2" max="2" width="57.42578125" style="247" customWidth="1"/>
    <col min="3" max="3" width="10" style="247" customWidth="1"/>
    <col min="4" max="4" width="5.5703125" style="247" customWidth="1"/>
    <col min="5" max="5" width="10.140625" style="247" customWidth="1"/>
    <col min="6" max="6" width="3.42578125" style="247" customWidth="1"/>
    <col min="7" max="7" width="9" style="247" customWidth="1"/>
    <col min="8" max="8" width="6.140625" style="247" customWidth="1"/>
    <col min="9" max="9" width="9.7109375" style="247" customWidth="1"/>
    <col min="10" max="10" width="8.5703125" style="247" customWidth="1"/>
    <col min="11" max="11" width="5" style="247" customWidth="1"/>
    <col min="12" max="12" width="15.7109375" style="247" customWidth="1"/>
    <col min="13" max="13" width="13.28515625" style="247" customWidth="1"/>
    <col min="14" max="14" width="16.28515625" style="247" customWidth="1"/>
    <col min="15" max="15" width="11.85546875" style="247" customWidth="1"/>
    <col min="16" max="16" width="15.5703125" style="247" customWidth="1"/>
    <col min="17" max="17" width="13.28515625" style="247" customWidth="1"/>
    <col min="18" max="18" width="15.7109375" style="247" customWidth="1"/>
    <col min="19" max="19" width="10.5703125" style="247" customWidth="1"/>
    <col min="20" max="20" width="14.5703125" style="247" customWidth="1"/>
    <col min="21" max="21" width="3.42578125" style="247" customWidth="1"/>
    <col min="22" max="22" width="16.42578125" style="247" customWidth="1"/>
    <col min="23" max="23" width="15.140625" style="247" customWidth="1"/>
    <col min="24" max="24" width="10.85546875" style="247" customWidth="1"/>
    <col min="25" max="25" width="16" style="247" customWidth="1"/>
    <col min="26" max="26" width="14.5703125" style="247" customWidth="1"/>
    <col min="27" max="27" width="17.140625" style="247" customWidth="1"/>
    <col min="28" max="28" width="21.28515625" style="247" customWidth="1"/>
    <col min="29" max="34" width="14.7109375" style="247"/>
    <col min="35" max="36" width="15.7109375" style="247" bestFit="1" customWidth="1"/>
    <col min="37" max="37" width="15.5703125" style="247" bestFit="1" customWidth="1"/>
    <col min="38" max="38" width="14.85546875" style="247" bestFit="1" customWidth="1"/>
    <col min="39" max="43" width="14.85546875" style="247" customWidth="1"/>
    <col min="44" max="47" width="14.7109375" style="247"/>
    <col min="48" max="48" width="12.85546875" style="247" customWidth="1"/>
    <col min="49" max="49" width="14.7109375" style="247" customWidth="1"/>
    <col min="50" max="50" width="13.140625" style="247" customWidth="1"/>
    <col min="51" max="53" width="14.7109375" style="247"/>
    <col min="54" max="54" width="15.42578125" style="247" customWidth="1"/>
    <col min="55" max="55" width="14.7109375" style="247"/>
    <col min="56" max="56" width="15.5703125" style="247" bestFit="1" customWidth="1"/>
    <col min="57" max="16384" width="14.7109375" style="247"/>
  </cols>
  <sheetData>
    <row r="1" spans="1:56">
      <c r="A1" s="252" t="s">
        <v>772</v>
      </c>
      <c r="B1" s="282" t="s">
        <v>0</v>
      </c>
    </row>
    <row r="2" spans="1:56">
      <c r="B2" s="252" t="s">
        <v>773</v>
      </c>
      <c r="C2" s="472" t="s">
        <v>11</v>
      </c>
      <c r="D2" s="472" t="s">
        <v>12</v>
      </c>
      <c r="N2" s="247">
        <v>6</v>
      </c>
      <c r="O2" s="252" t="s">
        <v>774</v>
      </c>
    </row>
    <row r="3" spans="1:56">
      <c r="B3" s="281">
        <v>45473</v>
      </c>
      <c r="N3" s="247">
        <v>6</v>
      </c>
      <c r="O3" s="252" t="s">
        <v>775</v>
      </c>
      <c r="AD3" s="252" t="s">
        <v>776</v>
      </c>
      <c r="AE3" s="252" t="s">
        <v>777</v>
      </c>
    </row>
    <row r="4" spans="1:56">
      <c r="N4" s="247">
        <v>123</v>
      </c>
      <c r="O4" s="252" t="s">
        <v>778</v>
      </c>
      <c r="AD4" s="252" t="s">
        <v>779</v>
      </c>
      <c r="AE4" s="252" t="s">
        <v>780</v>
      </c>
    </row>
    <row r="5" spans="1:56">
      <c r="N5" s="247">
        <v>124</v>
      </c>
      <c r="O5" s="252" t="s">
        <v>781</v>
      </c>
      <c r="T5" s="250"/>
      <c r="AA5" s="250"/>
      <c r="AB5" s="250"/>
      <c r="AD5" s="252" t="s">
        <v>12</v>
      </c>
      <c r="AE5" s="252" t="s">
        <v>782</v>
      </c>
    </row>
    <row r="6" spans="1:56">
      <c r="B6" s="280" t="s">
        <v>783</v>
      </c>
      <c r="C6" s="280"/>
      <c r="T6" s="250"/>
      <c r="AD6" s="252" t="s">
        <v>784</v>
      </c>
      <c r="AE6" s="252" t="s">
        <v>785</v>
      </c>
    </row>
    <row r="7" spans="1:56">
      <c r="B7" s="292" t="s">
        <v>786</v>
      </c>
      <c r="T7" s="265" t="s">
        <v>27</v>
      </c>
      <c r="V7" s="265" t="s">
        <v>389</v>
      </c>
      <c r="W7" s="265" t="s">
        <v>787</v>
      </c>
      <c r="Y7" s="279" t="s">
        <v>787</v>
      </c>
      <c r="Z7" s="279" t="s">
        <v>787</v>
      </c>
      <c r="AD7" s="252" t="s">
        <v>788</v>
      </c>
      <c r="AE7" s="252" t="s">
        <v>789</v>
      </c>
      <c r="AR7" s="265" t="s">
        <v>790</v>
      </c>
      <c r="AS7" s="265" t="s">
        <v>791</v>
      </c>
      <c r="AT7" s="265" t="s">
        <v>792</v>
      </c>
      <c r="AU7" s="265" t="s">
        <v>791</v>
      </c>
      <c r="AV7" s="265" t="s">
        <v>792</v>
      </c>
      <c r="AW7" s="265" t="s">
        <v>791</v>
      </c>
      <c r="AX7" s="265" t="s">
        <v>792</v>
      </c>
      <c r="AY7" s="265" t="s">
        <v>791</v>
      </c>
      <c r="AZ7" s="265" t="s">
        <v>792</v>
      </c>
      <c r="BA7" s="265" t="s">
        <v>791</v>
      </c>
      <c r="BB7" s="265" t="s">
        <v>792</v>
      </c>
      <c r="BC7" s="265" t="s">
        <v>791</v>
      </c>
      <c r="BD7" s="265" t="s">
        <v>792</v>
      </c>
    </row>
    <row r="8" spans="1:56">
      <c r="A8" s="252"/>
      <c r="B8" s="295" t="s">
        <v>793</v>
      </c>
      <c r="C8" s="265" t="s">
        <v>794</v>
      </c>
      <c r="E8" s="265" t="s">
        <v>795</v>
      </c>
      <c r="I8" s="265" t="s">
        <v>331</v>
      </c>
      <c r="J8" s="252" t="s">
        <v>796</v>
      </c>
      <c r="Q8" s="279" t="s">
        <v>797</v>
      </c>
      <c r="R8" s="279" t="s">
        <v>27</v>
      </c>
      <c r="T8" s="265" t="s">
        <v>787</v>
      </c>
      <c r="V8" s="265" t="s">
        <v>798</v>
      </c>
      <c r="W8" s="265" t="s">
        <v>798</v>
      </c>
      <c r="X8" s="265" t="s">
        <v>799</v>
      </c>
      <c r="Y8" s="279" t="s">
        <v>800</v>
      </c>
      <c r="Z8" s="279" t="s">
        <v>800</v>
      </c>
      <c r="AH8" s="265" t="s">
        <v>801</v>
      </c>
      <c r="AI8" s="265" t="s">
        <v>802</v>
      </c>
      <c r="AJ8" s="265"/>
      <c r="AK8" s="265" t="s">
        <v>803</v>
      </c>
      <c r="AL8" s="265" t="s">
        <v>703</v>
      </c>
      <c r="AM8" s="265" t="s">
        <v>801</v>
      </c>
      <c r="AN8" s="265" t="s">
        <v>802</v>
      </c>
      <c r="AO8" s="265"/>
      <c r="AP8" s="265" t="s">
        <v>803</v>
      </c>
      <c r="AQ8" s="265" t="s">
        <v>703</v>
      </c>
      <c r="AR8" s="265" t="s">
        <v>791</v>
      </c>
      <c r="AS8" s="265" t="s">
        <v>804</v>
      </c>
      <c r="AT8" s="265" t="s">
        <v>805</v>
      </c>
      <c r="AU8" s="265" t="s">
        <v>804</v>
      </c>
      <c r="AV8" s="265" t="s">
        <v>805</v>
      </c>
      <c r="AW8" s="265" t="s">
        <v>804</v>
      </c>
      <c r="AX8" s="265" t="s">
        <v>805</v>
      </c>
      <c r="AY8" s="265" t="s">
        <v>804</v>
      </c>
      <c r="AZ8" s="265" t="s">
        <v>805</v>
      </c>
      <c r="BA8" s="265" t="s">
        <v>804</v>
      </c>
      <c r="BB8" s="265" t="s">
        <v>805</v>
      </c>
      <c r="BC8" s="265" t="s">
        <v>821</v>
      </c>
      <c r="BD8" s="265" t="s">
        <v>805</v>
      </c>
    </row>
    <row r="9" spans="1:56">
      <c r="C9" s="252" t="s">
        <v>806</v>
      </c>
      <c r="E9" s="265" t="s">
        <v>807</v>
      </c>
      <c r="G9" s="252" t="s">
        <v>808</v>
      </c>
      <c r="H9" s="252" t="s">
        <v>809</v>
      </c>
      <c r="I9" s="265" t="s">
        <v>810</v>
      </c>
      <c r="J9" s="252" t="s">
        <v>797</v>
      </c>
      <c r="L9" s="265" t="s">
        <v>811</v>
      </c>
      <c r="M9" s="265" t="s">
        <v>811</v>
      </c>
      <c r="N9" s="265" t="s">
        <v>812</v>
      </c>
      <c r="O9" s="265" t="s">
        <v>813</v>
      </c>
      <c r="P9" s="279" t="s">
        <v>814</v>
      </c>
      <c r="Q9" s="279" t="s">
        <v>331</v>
      </c>
      <c r="R9" s="279" t="s">
        <v>815</v>
      </c>
      <c r="S9" s="265" t="s">
        <v>392</v>
      </c>
      <c r="T9" s="252" t="s">
        <v>814</v>
      </c>
      <c r="V9" s="265" t="s">
        <v>326</v>
      </c>
      <c r="W9" s="265" t="s">
        <v>326</v>
      </c>
      <c r="X9" s="265" t="s">
        <v>816</v>
      </c>
      <c r="Y9" s="279" t="s">
        <v>817</v>
      </c>
      <c r="Z9" s="279" t="s">
        <v>817</v>
      </c>
      <c r="AA9" s="265" t="s">
        <v>643</v>
      </c>
      <c r="AB9" s="290" t="s">
        <v>818</v>
      </c>
      <c r="AH9" s="265" t="s">
        <v>330</v>
      </c>
      <c r="AI9" s="265" t="s">
        <v>645</v>
      </c>
      <c r="AJ9" s="265" t="s">
        <v>207</v>
      </c>
      <c r="AK9" s="265" t="s">
        <v>819</v>
      </c>
      <c r="AL9" s="265" t="s">
        <v>820</v>
      </c>
      <c r="AM9" s="265" t="s">
        <v>330</v>
      </c>
      <c r="AN9" s="265" t="s">
        <v>645</v>
      </c>
      <c r="AO9" s="265" t="s">
        <v>207</v>
      </c>
      <c r="AP9" s="265" t="s">
        <v>819</v>
      </c>
      <c r="AQ9" s="265" t="s">
        <v>820</v>
      </c>
      <c r="AR9" s="265" t="s">
        <v>821</v>
      </c>
      <c r="AS9" s="265" t="s">
        <v>822</v>
      </c>
      <c r="AT9" s="272">
        <v>44196</v>
      </c>
      <c r="AU9" s="265" t="s">
        <v>822</v>
      </c>
      <c r="AV9" s="272">
        <v>44561</v>
      </c>
      <c r="AW9" s="265" t="s">
        <v>822</v>
      </c>
      <c r="AX9" s="272">
        <v>44926</v>
      </c>
      <c r="AY9" s="265" t="s">
        <v>822</v>
      </c>
      <c r="AZ9" s="752">
        <v>45291</v>
      </c>
      <c r="BA9" s="265" t="s">
        <v>822</v>
      </c>
      <c r="BB9" s="752">
        <v>45657</v>
      </c>
      <c r="BC9" s="265" t="s">
        <v>1455</v>
      </c>
      <c r="BD9" s="752">
        <v>45473</v>
      </c>
    </row>
    <row r="10" spans="1:56">
      <c r="A10" s="265"/>
      <c r="B10" s="278" t="s">
        <v>823</v>
      </c>
      <c r="C10" s="274" t="s">
        <v>391</v>
      </c>
      <c r="D10" s="274" t="s">
        <v>390</v>
      </c>
      <c r="E10" s="274" t="s">
        <v>392</v>
      </c>
      <c r="F10" s="267"/>
      <c r="G10" s="274" t="s">
        <v>596</v>
      </c>
      <c r="H10" s="274" t="s">
        <v>596</v>
      </c>
      <c r="I10" s="274" t="s">
        <v>817</v>
      </c>
      <c r="J10" s="278" t="s">
        <v>824</v>
      </c>
      <c r="K10" s="278" t="s">
        <v>825</v>
      </c>
      <c r="L10" s="274" t="s">
        <v>207</v>
      </c>
      <c r="M10" s="274" t="s">
        <v>797</v>
      </c>
      <c r="N10" s="274" t="s">
        <v>207</v>
      </c>
      <c r="O10" s="274" t="s">
        <v>817</v>
      </c>
      <c r="P10" s="277" t="s">
        <v>817</v>
      </c>
      <c r="Q10" s="277" t="s">
        <v>826</v>
      </c>
      <c r="R10" s="277" t="s">
        <v>827</v>
      </c>
      <c r="S10" s="274" t="s">
        <v>816</v>
      </c>
      <c r="T10" s="274" t="s">
        <v>817</v>
      </c>
      <c r="U10" s="267"/>
      <c r="V10" s="276">
        <v>45107</v>
      </c>
      <c r="W10" s="276">
        <v>45473</v>
      </c>
      <c r="X10" s="274" t="s">
        <v>392</v>
      </c>
      <c r="Y10" s="275">
        <v>45107</v>
      </c>
      <c r="Z10" s="275">
        <v>45473</v>
      </c>
      <c r="AA10" s="274" t="s">
        <v>3</v>
      </c>
      <c r="AB10" s="291" t="s">
        <v>828</v>
      </c>
      <c r="AC10" s="274" t="s">
        <v>776</v>
      </c>
      <c r="AD10" s="274" t="s">
        <v>829</v>
      </c>
      <c r="AE10" s="274" t="s">
        <v>830</v>
      </c>
      <c r="AF10" s="274" t="s">
        <v>784</v>
      </c>
      <c r="AG10" s="265" t="s">
        <v>788</v>
      </c>
      <c r="AI10" s="267"/>
      <c r="AJ10" s="267"/>
      <c r="AK10" s="267"/>
      <c r="AL10" s="267"/>
      <c r="AS10" s="265">
        <v>2020</v>
      </c>
      <c r="AU10" s="265">
        <v>2021</v>
      </c>
      <c r="AW10" s="265">
        <v>2022</v>
      </c>
      <c r="AY10" s="265">
        <v>2023</v>
      </c>
      <c r="BA10" s="265">
        <v>2024</v>
      </c>
      <c r="BC10" s="752">
        <v>45473</v>
      </c>
    </row>
    <row r="11" spans="1:56"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V11" s="273"/>
      <c r="W11" s="273"/>
      <c r="X11" s="273"/>
      <c r="Y11" s="273"/>
      <c r="Z11" s="273"/>
      <c r="AA11" s="273"/>
      <c r="AB11" s="273"/>
    </row>
    <row r="12" spans="1:56"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V12" s="273"/>
      <c r="W12" s="273"/>
      <c r="X12" s="273"/>
      <c r="Y12" s="273"/>
      <c r="Z12" s="273"/>
      <c r="AA12" s="273"/>
      <c r="AB12" s="273"/>
    </row>
    <row r="13" spans="1:56">
      <c r="B13" s="296" t="s">
        <v>393</v>
      </c>
      <c r="C13" s="255">
        <v>105</v>
      </c>
      <c r="D13" s="255">
        <v>3</v>
      </c>
      <c r="E13" s="262">
        <v>0</v>
      </c>
      <c r="G13" s="265" t="s">
        <v>831</v>
      </c>
      <c r="H13" s="255">
        <v>7</v>
      </c>
      <c r="I13" s="247">
        <f>C13+H13</f>
        <v>112</v>
      </c>
      <c r="L13" s="286">
        <v>23945</v>
      </c>
      <c r="N13" s="250">
        <f t="shared" ref="N13:N18" si="0">L13-L13*E13</f>
        <v>23945</v>
      </c>
      <c r="O13" s="250">
        <f>N13/H13/12</f>
        <v>285.0595238095238</v>
      </c>
      <c r="P13" s="250">
        <f>IF(M13&gt;0,0,IF(OR(AC13&gt;AD13,AE13&lt;AF13),0,IF(AND(AE13&gt;=AF13,AE13&lt;=AD13),O13*((AE13-AF13)*12),IF(AND(AF13&lt;=AC13,AD13&gt;=AC13),((AD13-AC13)*12)*O13,IF(AE13&gt;AD13,12*O13,0)))))</f>
        <v>0</v>
      </c>
      <c r="Q13" s="247">
        <f>IF(M13=0,0,IF(AND(AG13&gt;=AF13,AG13&lt;=AE13),((AG13-AF13)*12)*O13,0))</f>
        <v>0</v>
      </c>
      <c r="R13" s="250">
        <f>IF(Q13&gt;0,Q13,P13)</f>
        <v>0</v>
      </c>
      <c r="S13" s="294">
        <v>1</v>
      </c>
      <c r="T13" s="250">
        <f t="shared" ref="T13:T18" si="1">S13*R13</f>
        <v>0</v>
      </c>
      <c r="V13" s="250">
        <f t="shared" ref="V13:V18" si="2">IF(AC13&gt;AD13,0,IF(AE13&lt;AF13,N13,IF(AND(AE13&gt;=AF13,AE13&lt;=AD13),(N13-R13),IF(AND(AF13&lt;=AC13,AD13&gt;=AC13),0,IF(AE13&gt;AD13,((AF13-AC13)*12)*O13,0)))))</f>
        <v>23945</v>
      </c>
      <c r="W13" s="250">
        <f>V13*S13</f>
        <v>23945</v>
      </c>
      <c r="X13" s="260">
        <v>1</v>
      </c>
      <c r="Y13" s="250">
        <f>W13*X13</f>
        <v>23945</v>
      </c>
      <c r="Z13" s="250">
        <f>IF(M13&gt;0,0,Y13+T13*X13)*X13</f>
        <v>23945</v>
      </c>
      <c r="AA13" s="250">
        <f t="shared" ref="AA13:AA35" si="3">IF(M13&gt;0,(L13-Y13)/2,IF(AC13&gt;=AF13,(((L13*S13)*X13)-Z13)/2,((((L13*S13)*X13)-Y13)+(((L13*S13)*X13)-Z13))/2))</f>
        <v>0</v>
      </c>
      <c r="AB13" s="250">
        <v>0</v>
      </c>
      <c r="AC13" s="259">
        <f t="shared" ref="AC13:AC35" si="4">$C13+(($D13-1)/12)</f>
        <v>105.16666666666667</v>
      </c>
      <c r="AD13" s="247">
        <f t="shared" ref="AD13:AD61" si="5">($N$5+1)-($N$2/12)</f>
        <v>124.5</v>
      </c>
      <c r="AE13" s="259">
        <f t="shared" ref="AE13:AE35" si="6">$I13+(($D13-1)/12)</f>
        <v>112.16666666666667</v>
      </c>
      <c r="AF13" s="247">
        <f t="shared" ref="AF13:AF61" si="7">$N$4+($N$3/12)</f>
        <v>123.5</v>
      </c>
      <c r="AG13" s="258">
        <f t="shared" ref="AG13:AG35" si="8">$J13+(($K13-1)/12)</f>
        <v>-8.3333333333333329E-2</v>
      </c>
    </row>
    <row r="14" spans="1:56">
      <c r="B14" s="289" t="s">
        <v>394</v>
      </c>
      <c r="C14" s="255">
        <v>118</v>
      </c>
      <c r="D14" s="255">
        <v>1</v>
      </c>
      <c r="E14" s="262">
        <v>0</v>
      </c>
      <c r="G14" s="265" t="s">
        <v>831</v>
      </c>
      <c r="H14" s="255">
        <v>3</v>
      </c>
      <c r="I14" s="247">
        <f>C14+H14</f>
        <v>121</v>
      </c>
      <c r="L14" s="286">
        <v>11793.870000000003</v>
      </c>
      <c r="N14" s="250">
        <f t="shared" si="0"/>
        <v>11793.870000000003</v>
      </c>
      <c r="O14" s="250">
        <f>N14/H14/12</f>
        <v>327.60750000000007</v>
      </c>
      <c r="P14" s="250">
        <f>IF(M14&gt;0,0,IF(OR(AC14&gt;AD14,AE14&lt;AF14),0,IF(AND(AE14&gt;=AF14,AE14&lt;=AD14),O14*((AE14-AF14)*12),IF(AND(AF14&lt;=AC14,AD14&gt;=AC14),((AD14-AC14)*12)*O14,IF(AE14&gt;AD14,12*O14,0)))))</f>
        <v>0</v>
      </c>
      <c r="Q14" s="247">
        <f>IF(M14=0,0,IF(AND(AG14&gt;=AF14,AG14&lt;=AE14),((AG14-AF14)*12)*O14,0))</f>
        <v>0</v>
      </c>
      <c r="R14" s="250">
        <f>IF(Q14&gt;0,Q14,P14)</f>
        <v>0</v>
      </c>
      <c r="S14" s="294">
        <v>1</v>
      </c>
      <c r="T14" s="495">
        <f t="shared" si="1"/>
        <v>0</v>
      </c>
      <c r="V14" s="250">
        <f t="shared" si="2"/>
        <v>11793.870000000003</v>
      </c>
      <c r="W14" s="250">
        <f>V14*S14</f>
        <v>11793.870000000003</v>
      </c>
      <c r="X14" s="260">
        <v>1</v>
      </c>
      <c r="Y14" s="250">
        <f>W14*X14</f>
        <v>11793.870000000003</v>
      </c>
      <c r="Z14" s="250">
        <f>IF(M14&gt;0,0,Y14+T14*X14)*X14</f>
        <v>11793.870000000003</v>
      </c>
      <c r="AA14" s="250">
        <f t="shared" si="3"/>
        <v>0</v>
      </c>
      <c r="AB14" s="250">
        <v>0</v>
      </c>
      <c r="AC14" s="259">
        <f t="shared" si="4"/>
        <v>118</v>
      </c>
      <c r="AD14" s="247">
        <f t="shared" si="5"/>
        <v>124.5</v>
      </c>
      <c r="AE14" s="259">
        <f t="shared" si="6"/>
        <v>121</v>
      </c>
      <c r="AF14" s="247">
        <f t="shared" si="7"/>
        <v>123.5</v>
      </c>
      <c r="AG14" s="258">
        <f t="shared" si="8"/>
        <v>-8.3333333333333329E-2</v>
      </c>
    </row>
    <row r="15" spans="1:56">
      <c r="B15" s="255" t="s">
        <v>395</v>
      </c>
      <c r="C15" s="255">
        <v>109</v>
      </c>
      <c r="D15" s="255">
        <v>3</v>
      </c>
      <c r="E15" s="262">
        <v>0</v>
      </c>
      <c r="G15" s="265" t="s">
        <v>831</v>
      </c>
      <c r="H15" s="255">
        <v>7</v>
      </c>
      <c r="I15" s="247">
        <f t="shared" ref="I15:I27" si="9">C15+H15</f>
        <v>116</v>
      </c>
      <c r="L15" s="286">
        <v>5430</v>
      </c>
      <c r="N15" s="250">
        <f t="shared" si="0"/>
        <v>5430</v>
      </c>
      <c r="O15" s="250">
        <f t="shared" ref="O15:O27" si="10">N15/H15/12</f>
        <v>64.642857142857139</v>
      </c>
      <c r="P15" s="250">
        <f t="shared" ref="P15:P28" si="11">IF(M15&gt;0,0,IF(OR(AC15&gt;AD15,AE15&lt;AF15),0,IF(AND(AE15&gt;=AF15,AE15&lt;=AD15),O15*((AE15-AF15)*12),IF(AND(AF15&lt;=AC15,AD15&gt;=AC15),((AD15-AC15)*12)*O15,IF(AE15&gt;AD15,12*O15,0)))))</f>
        <v>0</v>
      </c>
      <c r="Q15" s="247">
        <f t="shared" ref="Q15:Q27" si="12">IF(M15=0,0,IF(AND(AG15&gt;=AF15,AG15&lt;=AE15),((AG15-AF15)*12)*O15,0))</f>
        <v>0</v>
      </c>
      <c r="R15" s="250">
        <f t="shared" ref="R15:R26" si="13">IF(Q15&gt;0,Q15,P15)</f>
        <v>0</v>
      </c>
      <c r="S15" s="260">
        <v>1</v>
      </c>
      <c r="T15" s="250">
        <f t="shared" si="1"/>
        <v>0</v>
      </c>
      <c r="V15" s="250">
        <f t="shared" si="2"/>
        <v>5430</v>
      </c>
      <c r="W15" s="250">
        <f t="shared" ref="W15:W27" si="14">V15*S15</f>
        <v>5430</v>
      </c>
      <c r="X15" s="260">
        <v>1</v>
      </c>
      <c r="Y15" s="250">
        <f t="shared" ref="Y15:Y27" si="15">W15*X15</f>
        <v>5430</v>
      </c>
      <c r="Z15" s="250">
        <f t="shared" ref="Z15:Z27" si="16">IF(M15&gt;0,0,Y15+T15*X15)*X15</f>
        <v>5430</v>
      </c>
      <c r="AA15" s="250">
        <f t="shared" si="3"/>
        <v>0</v>
      </c>
      <c r="AB15" s="250">
        <v>0</v>
      </c>
      <c r="AC15" s="259">
        <f t="shared" si="4"/>
        <v>109.16666666666667</v>
      </c>
      <c r="AD15" s="247">
        <f t="shared" si="5"/>
        <v>124.5</v>
      </c>
      <c r="AE15" s="259">
        <f t="shared" si="6"/>
        <v>116.16666666666667</v>
      </c>
      <c r="AF15" s="247">
        <f t="shared" si="7"/>
        <v>123.5</v>
      </c>
      <c r="AG15" s="258">
        <f t="shared" si="8"/>
        <v>-8.3333333333333329E-2</v>
      </c>
    </row>
    <row r="16" spans="1:56">
      <c r="B16" s="289" t="s">
        <v>396</v>
      </c>
      <c r="C16" s="255">
        <v>118</v>
      </c>
      <c r="D16" s="255">
        <v>1</v>
      </c>
      <c r="E16" s="262">
        <v>0</v>
      </c>
      <c r="G16" s="265" t="s">
        <v>831</v>
      </c>
      <c r="H16" s="255">
        <v>3</v>
      </c>
      <c r="I16" s="247">
        <f t="shared" si="9"/>
        <v>121</v>
      </c>
      <c r="L16" s="286">
        <v>1357.3999999999996</v>
      </c>
      <c r="N16" s="250">
        <f t="shared" si="0"/>
        <v>1357.3999999999996</v>
      </c>
      <c r="O16" s="250">
        <f t="shared" si="10"/>
        <v>37.705555555555542</v>
      </c>
      <c r="P16" s="250">
        <f t="shared" si="11"/>
        <v>0</v>
      </c>
      <c r="Q16" s="247">
        <f t="shared" si="12"/>
        <v>0</v>
      </c>
      <c r="R16" s="250">
        <f t="shared" si="13"/>
        <v>0</v>
      </c>
      <c r="S16" s="260">
        <v>1</v>
      </c>
      <c r="T16" s="250">
        <f t="shared" si="1"/>
        <v>0</v>
      </c>
      <c r="V16" s="250">
        <f t="shared" si="2"/>
        <v>1357.3999999999996</v>
      </c>
      <c r="W16" s="250">
        <f t="shared" si="14"/>
        <v>1357.3999999999996</v>
      </c>
      <c r="X16" s="260">
        <v>1</v>
      </c>
      <c r="Y16" s="250">
        <f t="shared" si="15"/>
        <v>1357.3999999999996</v>
      </c>
      <c r="Z16" s="250">
        <f t="shared" si="16"/>
        <v>1357.3999999999996</v>
      </c>
      <c r="AA16" s="250">
        <f t="shared" si="3"/>
        <v>0</v>
      </c>
      <c r="AB16" s="250">
        <f>L16-Z16</f>
        <v>0</v>
      </c>
      <c r="AC16" s="259">
        <f t="shared" si="4"/>
        <v>118</v>
      </c>
      <c r="AD16" s="247">
        <f t="shared" si="5"/>
        <v>124.5</v>
      </c>
      <c r="AE16" s="259">
        <f t="shared" si="6"/>
        <v>121</v>
      </c>
      <c r="AF16" s="247">
        <f t="shared" si="7"/>
        <v>123.5</v>
      </c>
      <c r="AG16" s="258">
        <f t="shared" si="8"/>
        <v>-8.3333333333333329E-2</v>
      </c>
    </row>
    <row r="17" spans="1:56">
      <c r="B17" s="296" t="s">
        <v>397</v>
      </c>
      <c r="C17" s="255">
        <v>109</v>
      </c>
      <c r="D17" s="255">
        <v>8</v>
      </c>
      <c r="E17" s="262">
        <v>0</v>
      </c>
      <c r="G17" s="265" t="s">
        <v>831</v>
      </c>
      <c r="H17" s="255">
        <v>7</v>
      </c>
      <c r="I17" s="247">
        <f t="shared" si="9"/>
        <v>116</v>
      </c>
      <c r="L17" s="286">
        <v>9722</v>
      </c>
      <c r="N17" s="250">
        <f t="shared" si="0"/>
        <v>9722</v>
      </c>
      <c r="O17" s="250">
        <f t="shared" si="10"/>
        <v>115.73809523809524</v>
      </c>
      <c r="P17" s="250">
        <f t="shared" si="11"/>
        <v>0</v>
      </c>
      <c r="Q17" s="247">
        <f t="shared" si="12"/>
        <v>0</v>
      </c>
      <c r="R17" s="250">
        <f t="shared" si="13"/>
        <v>0</v>
      </c>
      <c r="S17" s="294">
        <v>1</v>
      </c>
      <c r="T17" s="250">
        <f t="shared" si="1"/>
        <v>0</v>
      </c>
      <c r="V17" s="250">
        <f t="shared" si="2"/>
        <v>9722</v>
      </c>
      <c r="W17" s="250">
        <f t="shared" si="14"/>
        <v>9722</v>
      </c>
      <c r="X17" s="260">
        <v>1</v>
      </c>
      <c r="Y17" s="250">
        <f t="shared" si="15"/>
        <v>9722</v>
      </c>
      <c r="Z17" s="250">
        <f t="shared" si="16"/>
        <v>9722</v>
      </c>
      <c r="AA17" s="250">
        <f t="shared" si="3"/>
        <v>0</v>
      </c>
      <c r="AB17" s="250">
        <v>0</v>
      </c>
      <c r="AC17" s="259">
        <f t="shared" si="4"/>
        <v>109.58333333333333</v>
      </c>
      <c r="AD17" s="247">
        <f t="shared" si="5"/>
        <v>124.5</v>
      </c>
      <c r="AE17" s="259">
        <f t="shared" si="6"/>
        <v>116.58333333333333</v>
      </c>
      <c r="AF17" s="247">
        <f t="shared" si="7"/>
        <v>123.5</v>
      </c>
      <c r="AG17" s="258">
        <f>$J17+(($K17-1)/12)</f>
        <v>-8.3333333333333329E-2</v>
      </c>
    </row>
    <row r="18" spans="1:56">
      <c r="B18" s="289" t="s">
        <v>398</v>
      </c>
      <c r="C18" s="255">
        <v>118</v>
      </c>
      <c r="D18" s="255">
        <v>1</v>
      </c>
      <c r="E18" s="262">
        <v>0</v>
      </c>
      <c r="G18" s="265" t="s">
        <v>831</v>
      </c>
      <c r="H18" s="255">
        <v>3</v>
      </c>
      <c r="I18" s="247">
        <f t="shared" si="9"/>
        <v>121</v>
      </c>
      <c r="L18" s="286">
        <v>2430.6000000000004</v>
      </c>
      <c r="N18" s="250">
        <f t="shared" si="0"/>
        <v>2430.6000000000004</v>
      </c>
      <c r="O18" s="250">
        <f t="shared" si="10"/>
        <v>67.51666666666668</v>
      </c>
      <c r="P18" s="250">
        <f t="shared" si="11"/>
        <v>0</v>
      </c>
      <c r="Q18" s="247">
        <f t="shared" si="12"/>
        <v>0</v>
      </c>
      <c r="R18" s="250">
        <f t="shared" si="13"/>
        <v>0</v>
      </c>
      <c r="S18" s="294">
        <v>1</v>
      </c>
      <c r="T18" s="495">
        <f t="shared" si="1"/>
        <v>0</v>
      </c>
      <c r="V18" s="250">
        <f t="shared" si="2"/>
        <v>2430.6000000000004</v>
      </c>
      <c r="W18" s="250">
        <f t="shared" si="14"/>
        <v>2430.6000000000004</v>
      </c>
      <c r="X18" s="260">
        <v>1</v>
      </c>
      <c r="Y18" s="250">
        <f t="shared" si="15"/>
        <v>2430.6000000000004</v>
      </c>
      <c r="Z18" s="250">
        <f t="shared" si="16"/>
        <v>2430.6000000000004</v>
      </c>
      <c r="AA18" s="250">
        <f t="shared" si="3"/>
        <v>0</v>
      </c>
      <c r="AB18" s="250">
        <v>0</v>
      </c>
      <c r="AC18" s="259">
        <f t="shared" si="4"/>
        <v>118</v>
      </c>
      <c r="AD18" s="247">
        <f t="shared" si="5"/>
        <v>124.5</v>
      </c>
      <c r="AE18" s="259">
        <f t="shared" si="6"/>
        <v>121</v>
      </c>
      <c r="AF18" s="247">
        <f t="shared" si="7"/>
        <v>123.5</v>
      </c>
      <c r="AG18" s="258">
        <f t="shared" si="8"/>
        <v>-8.3333333333333329E-2</v>
      </c>
    </row>
    <row r="19" spans="1:56">
      <c r="B19" s="255" t="s">
        <v>399</v>
      </c>
      <c r="C19" s="255">
        <v>111</v>
      </c>
      <c r="D19" s="255">
        <v>12</v>
      </c>
      <c r="E19" s="262">
        <v>0</v>
      </c>
      <c r="G19" s="265" t="s">
        <v>831</v>
      </c>
      <c r="H19" s="255">
        <v>7</v>
      </c>
      <c r="I19" s="247">
        <f t="shared" si="9"/>
        <v>118</v>
      </c>
      <c r="L19" s="286">
        <v>0</v>
      </c>
      <c r="M19" s="272"/>
      <c r="N19" s="250">
        <f t="shared" ref="N19:N27" si="17">L19-L19*E19</f>
        <v>0</v>
      </c>
      <c r="O19" s="250">
        <f t="shared" si="10"/>
        <v>0</v>
      </c>
      <c r="P19" s="293">
        <v>0</v>
      </c>
      <c r="Q19" s="247">
        <f t="shared" si="12"/>
        <v>0</v>
      </c>
      <c r="R19" s="250">
        <f t="shared" si="13"/>
        <v>0</v>
      </c>
      <c r="S19" s="260">
        <v>1</v>
      </c>
      <c r="T19" s="250">
        <f t="shared" ref="T19:T27" si="18">S19*SUM(P19:Q19)</f>
        <v>0</v>
      </c>
      <c r="V19" s="250">
        <f t="shared" ref="V19:V27" si="19">IF(AC19&gt;AD19,0,IF(AE19&lt;AF19,N19,IF(AND(AE19&gt;=AF19,AE19&lt;=AD19),(N19-R19),IF(AND(AF19&lt;=AC19,AD19&gt;=AC19),0,IF(AE19&gt;AD19,((AF19-AC19)*12)*O19,0)))))</f>
        <v>0</v>
      </c>
      <c r="W19" s="250">
        <f t="shared" si="14"/>
        <v>0</v>
      </c>
      <c r="X19" s="260">
        <v>1</v>
      </c>
      <c r="Y19" s="250">
        <f t="shared" si="15"/>
        <v>0</v>
      </c>
      <c r="Z19" s="250">
        <f t="shared" si="16"/>
        <v>0</v>
      </c>
      <c r="AA19" s="250">
        <f t="shared" si="3"/>
        <v>0</v>
      </c>
      <c r="AB19" s="250">
        <v>0</v>
      </c>
      <c r="AC19" s="259">
        <f t="shared" si="4"/>
        <v>111.91666666666667</v>
      </c>
      <c r="AD19" s="247">
        <f t="shared" si="5"/>
        <v>124.5</v>
      </c>
      <c r="AE19" s="259">
        <f t="shared" si="6"/>
        <v>118.91666666666667</v>
      </c>
      <c r="AF19" s="247">
        <f t="shared" si="7"/>
        <v>123.5</v>
      </c>
      <c r="AG19" s="258">
        <f t="shared" si="8"/>
        <v>-8.3333333333333329E-2</v>
      </c>
      <c r="AH19" s="272"/>
      <c r="AI19" s="473"/>
      <c r="AJ19" s="473"/>
      <c r="AK19" s="473"/>
      <c r="AL19" s="306"/>
      <c r="AM19" s="272">
        <v>44165</v>
      </c>
      <c r="AN19" s="473">
        <v>40000</v>
      </c>
      <c r="AO19" s="473">
        <v>153840</v>
      </c>
      <c r="AP19" s="473">
        <v>153840</v>
      </c>
      <c r="AQ19" s="306">
        <f>AN19-(AO19-AP19)</f>
        <v>40000</v>
      </c>
      <c r="AR19" s="308">
        <f>AQ19/H19/12</f>
        <v>476.1904761904762</v>
      </c>
      <c r="AS19" s="474">
        <v>476.19</v>
      </c>
      <c r="AT19" s="307">
        <f>AN19-AS19</f>
        <v>39523.81</v>
      </c>
      <c r="AU19" s="307">
        <f>AR19*12</f>
        <v>5714.2857142857147</v>
      </c>
      <c r="AV19" s="307">
        <f>AT19-AU19</f>
        <v>33809.52428571428</v>
      </c>
      <c r="AW19" s="307">
        <f>+AU19</f>
        <v>5714.2857142857147</v>
      </c>
      <c r="AX19" s="307">
        <f>AV19-AW19</f>
        <v>28095.238571428567</v>
      </c>
      <c r="AY19" s="307">
        <f>+AW19</f>
        <v>5714.2857142857147</v>
      </c>
      <c r="AZ19" s="307">
        <f>AX19-AY19</f>
        <v>22380.952857142853</v>
      </c>
      <c r="BA19" s="307">
        <f>+AY19</f>
        <v>5714.2857142857147</v>
      </c>
      <c r="BB19" s="307">
        <f>AZ19-BA19</f>
        <v>16666.667142857139</v>
      </c>
      <c r="BC19" s="771">
        <v>5714</v>
      </c>
      <c r="BD19" s="307">
        <f>+AZ19-(BA19/2)</f>
        <v>19523.809999999994</v>
      </c>
    </row>
    <row r="20" spans="1:56">
      <c r="B20" s="289" t="s">
        <v>400</v>
      </c>
      <c r="C20" s="255">
        <v>118</v>
      </c>
      <c r="D20" s="255">
        <v>1</v>
      </c>
      <c r="E20" s="262">
        <v>0</v>
      </c>
      <c r="G20" s="265" t="s">
        <v>831</v>
      </c>
      <c r="H20" s="255">
        <v>3</v>
      </c>
      <c r="I20" s="247">
        <f t="shared" si="9"/>
        <v>121</v>
      </c>
      <c r="L20" s="286">
        <v>0</v>
      </c>
      <c r="M20" s="272"/>
      <c r="N20" s="250">
        <f t="shared" si="17"/>
        <v>0</v>
      </c>
      <c r="O20" s="250">
        <f t="shared" si="10"/>
        <v>0</v>
      </c>
      <c r="P20" s="250">
        <f t="shared" si="11"/>
        <v>0</v>
      </c>
      <c r="Q20" s="247">
        <f t="shared" si="12"/>
        <v>0</v>
      </c>
      <c r="R20" s="250">
        <f>IF(Q20&gt;0,Q20,P20)</f>
        <v>0</v>
      </c>
      <c r="S20" s="260">
        <v>1</v>
      </c>
      <c r="T20" s="250">
        <f>S20*SUM(P20:Q20)</f>
        <v>0</v>
      </c>
      <c r="V20" s="250">
        <f>IF(AC20&gt;AD20,0,IF(AE20&lt;AF20,N20,IF(AND(AE20&gt;=AF20,AE20&lt;=AD20),(N20-R20),IF(AND(AF20&lt;=AC20,AD20&gt;=AC20),0,IF(AE20&gt;AD20,((AF20-AC20)*12)*O20,0)))))</f>
        <v>0</v>
      </c>
      <c r="W20" s="250">
        <f>V20*S20</f>
        <v>0</v>
      </c>
      <c r="X20" s="260">
        <v>1</v>
      </c>
      <c r="Y20" s="250">
        <f t="shared" si="15"/>
        <v>0</v>
      </c>
      <c r="Z20" s="250">
        <f t="shared" si="16"/>
        <v>0</v>
      </c>
      <c r="AA20" s="250">
        <f t="shared" si="3"/>
        <v>0</v>
      </c>
      <c r="AB20" s="250">
        <v>0</v>
      </c>
      <c r="AC20" s="259">
        <f t="shared" si="4"/>
        <v>118</v>
      </c>
      <c r="AD20" s="247">
        <f t="shared" si="5"/>
        <v>124.5</v>
      </c>
      <c r="AE20" s="259">
        <f t="shared" si="6"/>
        <v>121</v>
      </c>
      <c r="AF20" s="247">
        <f t="shared" si="7"/>
        <v>123.5</v>
      </c>
      <c r="AG20" s="258">
        <f t="shared" si="8"/>
        <v>-8.3333333333333329E-2</v>
      </c>
      <c r="AI20" s="473">
        <v>0</v>
      </c>
      <c r="AJ20" s="473"/>
      <c r="AK20" s="473"/>
      <c r="AL20" s="306"/>
      <c r="AM20" s="306"/>
      <c r="AN20" s="306"/>
      <c r="AO20" s="306"/>
      <c r="AP20" s="306"/>
      <c r="AQ20" s="306"/>
      <c r="AR20" s="308"/>
    </row>
    <row r="21" spans="1:56">
      <c r="A21" s="472"/>
      <c r="B21" s="724" t="s">
        <v>401</v>
      </c>
      <c r="C21" s="724">
        <v>113</v>
      </c>
      <c r="D21" s="724">
        <v>2</v>
      </c>
      <c r="E21" s="725">
        <v>0</v>
      </c>
      <c r="F21" s="726"/>
      <c r="G21" s="727" t="s">
        <v>831</v>
      </c>
      <c r="H21" s="724">
        <v>5</v>
      </c>
      <c r="I21" s="726">
        <f t="shared" si="9"/>
        <v>118</v>
      </c>
      <c r="J21" s="726">
        <v>123</v>
      </c>
      <c r="K21" s="726">
        <v>10</v>
      </c>
      <c r="L21" s="728">
        <v>109368</v>
      </c>
      <c r="M21" s="729"/>
      <c r="N21" s="730">
        <f t="shared" si="17"/>
        <v>109368</v>
      </c>
      <c r="O21" s="730">
        <f t="shared" si="10"/>
        <v>1822.8</v>
      </c>
      <c r="P21" s="250">
        <f t="shared" si="11"/>
        <v>0</v>
      </c>
      <c r="Q21" s="726">
        <f t="shared" si="12"/>
        <v>0</v>
      </c>
      <c r="R21" s="730">
        <f t="shared" si="13"/>
        <v>0</v>
      </c>
      <c r="S21" s="731">
        <v>1</v>
      </c>
      <c r="T21" s="730">
        <f t="shared" si="18"/>
        <v>0</v>
      </c>
      <c r="U21" s="726"/>
      <c r="V21" s="730">
        <f t="shared" si="19"/>
        <v>109368</v>
      </c>
      <c r="W21" s="730">
        <v>0</v>
      </c>
      <c r="X21" s="731">
        <v>1</v>
      </c>
      <c r="Y21" s="730">
        <f t="shared" si="15"/>
        <v>0</v>
      </c>
      <c r="Z21" s="730">
        <f t="shared" si="16"/>
        <v>0</v>
      </c>
      <c r="AA21" s="730">
        <v>0</v>
      </c>
      <c r="AB21" s="730">
        <v>0</v>
      </c>
      <c r="AC21" s="732">
        <f t="shared" si="4"/>
        <v>113.08333333333333</v>
      </c>
      <c r="AD21" s="726">
        <f t="shared" si="5"/>
        <v>124.5</v>
      </c>
      <c r="AE21" s="732">
        <f t="shared" si="6"/>
        <v>118.08333333333333</v>
      </c>
      <c r="AF21" s="726">
        <f t="shared" si="7"/>
        <v>123.5</v>
      </c>
      <c r="AG21" s="733">
        <f t="shared" si="8"/>
        <v>123.75</v>
      </c>
      <c r="AH21" s="729">
        <v>45230</v>
      </c>
      <c r="AI21" s="734">
        <v>24976.71</v>
      </c>
      <c r="AJ21" s="734">
        <f>+L21</f>
        <v>109368</v>
      </c>
      <c r="AK21" s="734">
        <v>109368</v>
      </c>
      <c r="AL21" s="734">
        <f>+AI21-(AJ21-AK21)</f>
        <v>24976.71</v>
      </c>
      <c r="AM21" s="272">
        <v>45230</v>
      </c>
      <c r="AN21" s="473">
        <v>24977</v>
      </c>
      <c r="AO21" s="473">
        <v>123889</v>
      </c>
      <c r="AP21" s="473">
        <v>122638</v>
      </c>
      <c r="AQ21" s="306">
        <f>AN21-(AO21-AP21)</f>
        <v>23726</v>
      </c>
      <c r="AR21" s="308">
        <f>AQ21/3/12</f>
        <v>659.05555555555554</v>
      </c>
      <c r="AS21" s="474"/>
      <c r="AT21" s="307"/>
      <c r="AU21" s="307"/>
      <c r="AV21" s="307"/>
      <c r="AW21" s="307"/>
      <c r="AX21" s="307"/>
      <c r="AY21" s="307">
        <f>+AR21*2</f>
        <v>1318.1111111111111</v>
      </c>
      <c r="AZ21" s="307">
        <f>+AQ21-AY21</f>
        <v>22407.888888888891</v>
      </c>
      <c r="BA21" s="306">
        <f>+AR21*12</f>
        <v>7908.6666666666661</v>
      </c>
      <c r="BB21" s="306">
        <f>+AZ21-BA21</f>
        <v>14499.222222222224</v>
      </c>
      <c r="BC21" s="307">
        <f>+AY21+(AR21*6)</f>
        <v>5272.4444444444443</v>
      </c>
      <c r="BD21" s="307">
        <f>+AZ21-(BA21/2)</f>
        <v>18453.555555555558</v>
      </c>
    </row>
    <row r="22" spans="1:56">
      <c r="A22" s="472"/>
      <c r="B22" s="255" t="s">
        <v>402</v>
      </c>
      <c r="C22" s="255">
        <v>113</v>
      </c>
      <c r="D22" s="255">
        <v>12</v>
      </c>
      <c r="E22" s="262">
        <v>0</v>
      </c>
      <c r="G22" s="265" t="s">
        <v>831</v>
      </c>
      <c r="H22" s="255">
        <v>7</v>
      </c>
      <c r="I22" s="247">
        <f t="shared" si="9"/>
        <v>120</v>
      </c>
      <c r="L22" s="286">
        <v>258778</v>
      </c>
      <c r="N22" s="250">
        <f t="shared" si="17"/>
        <v>258778</v>
      </c>
      <c r="O22" s="250">
        <f t="shared" si="10"/>
        <v>3080.6904761904766</v>
      </c>
      <c r="P22" s="250">
        <f t="shared" si="11"/>
        <v>0</v>
      </c>
      <c r="Q22" s="247">
        <f t="shared" si="12"/>
        <v>0</v>
      </c>
      <c r="R22" s="250">
        <f t="shared" si="13"/>
        <v>0</v>
      </c>
      <c r="S22" s="260">
        <v>1</v>
      </c>
      <c r="T22" s="250">
        <f t="shared" si="18"/>
        <v>0</v>
      </c>
      <c r="V22" s="250">
        <f t="shared" si="19"/>
        <v>258778</v>
      </c>
      <c r="W22" s="250">
        <f t="shared" si="14"/>
        <v>258778</v>
      </c>
      <c r="X22" s="260">
        <v>1</v>
      </c>
      <c r="Y22" s="250">
        <f t="shared" si="15"/>
        <v>258778</v>
      </c>
      <c r="Z22" s="250">
        <f t="shared" si="16"/>
        <v>258778</v>
      </c>
      <c r="AA22" s="250">
        <f t="shared" si="3"/>
        <v>0</v>
      </c>
      <c r="AB22" s="250">
        <f t="shared" ref="AB22:AB27" si="20">L22-Z22</f>
        <v>0</v>
      </c>
      <c r="AC22" s="259">
        <f t="shared" si="4"/>
        <v>113.91666666666667</v>
      </c>
      <c r="AD22" s="247">
        <f t="shared" si="5"/>
        <v>124.5</v>
      </c>
      <c r="AE22" s="259">
        <f t="shared" si="6"/>
        <v>120.91666666666667</v>
      </c>
      <c r="AF22" s="247">
        <f t="shared" si="7"/>
        <v>123.5</v>
      </c>
      <c r="AG22" s="258">
        <f t="shared" si="8"/>
        <v>-8.3333333333333329E-2</v>
      </c>
      <c r="AI22" s="306"/>
      <c r="AJ22" s="306"/>
      <c r="AK22" s="306"/>
      <c r="AL22" s="306"/>
      <c r="AM22" s="306"/>
      <c r="AN22" s="306"/>
      <c r="AO22" s="306"/>
      <c r="AP22" s="306"/>
      <c r="AQ22" s="306"/>
    </row>
    <row r="23" spans="1:56">
      <c r="A23" s="472"/>
      <c r="B23" s="724" t="s">
        <v>403</v>
      </c>
      <c r="C23" s="724">
        <v>115</v>
      </c>
      <c r="D23" s="724">
        <v>4</v>
      </c>
      <c r="E23" s="725">
        <v>0</v>
      </c>
      <c r="F23" s="726"/>
      <c r="G23" s="727" t="s">
        <v>831</v>
      </c>
      <c r="H23" s="724">
        <v>7</v>
      </c>
      <c r="I23" s="726">
        <f t="shared" si="9"/>
        <v>122</v>
      </c>
      <c r="J23" s="726">
        <v>123</v>
      </c>
      <c r="K23" s="726">
        <v>10</v>
      </c>
      <c r="L23" s="728">
        <v>4972</v>
      </c>
      <c r="M23" s="726"/>
      <c r="N23" s="730">
        <f t="shared" si="17"/>
        <v>4972</v>
      </c>
      <c r="O23" s="730">
        <f t="shared" si="10"/>
        <v>59.190476190476197</v>
      </c>
      <c r="P23" s="250">
        <f t="shared" si="11"/>
        <v>0</v>
      </c>
      <c r="Q23" s="726">
        <f t="shared" si="12"/>
        <v>0</v>
      </c>
      <c r="R23" s="730">
        <f t="shared" si="13"/>
        <v>0</v>
      </c>
      <c r="S23" s="731">
        <v>1</v>
      </c>
      <c r="T23" s="730">
        <f t="shared" si="18"/>
        <v>0</v>
      </c>
      <c r="U23" s="726"/>
      <c r="V23" s="730">
        <f t="shared" si="19"/>
        <v>4972</v>
      </c>
      <c r="W23" s="730">
        <v>0</v>
      </c>
      <c r="X23" s="731">
        <v>1</v>
      </c>
      <c r="Y23" s="730">
        <f t="shared" si="15"/>
        <v>0</v>
      </c>
      <c r="Z23" s="730">
        <f t="shared" si="16"/>
        <v>0</v>
      </c>
      <c r="AA23" s="730">
        <v>0</v>
      </c>
      <c r="AB23" s="730">
        <v>0</v>
      </c>
      <c r="AC23" s="732">
        <f t="shared" si="4"/>
        <v>115.25</v>
      </c>
      <c r="AD23" s="726">
        <f t="shared" si="5"/>
        <v>124.5</v>
      </c>
      <c r="AE23" s="732">
        <f t="shared" si="6"/>
        <v>122.25</v>
      </c>
      <c r="AF23" s="726">
        <f t="shared" si="7"/>
        <v>123.5</v>
      </c>
      <c r="AG23" s="733">
        <f t="shared" si="8"/>
        <v>123.75</v>
      </c>
      <c r="AH23" s="729">
        <v>45230</v>
      </c>
      <c r="AI23" s="734">
        <v>0</v>
      </c>
      <c r="AJ23" s="734">
        <f>+L23</f>
        <v>4972</v>
      </c>
      <c r="AK23" s="734">
        <v>4972</v>
      </c>
      <c r="AL23" s="734">
        <f>+AI23-(AJ23-AK23)</f>
        <v>0</v>
      </c>
      <c r="AM23" s="306"/>
      <c r="AN23" s="306"/>
      <c r="AO23" s="306"/>
      <c r="AP23" s="306"/>
      <c r="AQ23" s="306"/>
    </row>
    <row r="24" spans="1:56">
      <c r="A24" s="472"/>
      <c r="B24" s="255" t="s">
        <v>404</v>
      </c>
      <c r="C24" s="255">
        <v>116</v>
      </c>
      <c r="D24" s="255">
        <v>7</v>
      </c>
      <c r="E24" s="262">
        <v>0</v>
      </c>
      <c r="G24" s="265" t="s">
        <v>831</v>
      </c>
      <c r="H24" s="255">
        <v>7</v>
      </c>
      <c r="I24" s="247">
        <f t="shared" si="9"/>
        <v>123</v>
      </c>
      <c r="L24" s="286">
        <v>157120</v>
      </c>
      <c r="N24" s="250">
        <f t="shared" si="17"/>
        <v>157120</v>
      </c>
      <c r="O24" s="250">
        <f t="shared" si="10"/>
        <v>1870.4761904761906</v>
      </c>
      <c r="P24" s="250">
        <f t="shared" si="11"/>
        <v>0</v>
      </c>
      <c r="Q24" s="247">
        <f t="shared" si="12"/>
        <v>0</v>
      </c>
      <c r="R24" s="250">
        <f t="shared" si="13"/>
        <v>0</v>
      </c>
      <c r="S24" s="260">
        <v>1</v>
      </c>
      <c r="T24" s="250">
        <f t="shared" si="18"/>
        <v>0</v>
      </c>
      <c r="V24" s="250">
        <f t="shared" si="19"/>
        <v>157120</v>
      </c>
      <c r="W24" s="250">
        <f t="shared" si="14"/>
        <v>157120</v>
      </c>
      <c r="X24" s="260">
        <v>1</v>
      </c>
      <c r="Y24" s="250">
        <f t="shared" si="15"/>
        <v>157120</v>
      </c>
      <c r="Z24" s="250">
        <f t="shared" si="16"/>
        <v>157120</v>
      </c>
      <c r="AA24" s="250">
        <f t="shared" si="3"/>
        <v>0</v>
      </c>
      <c r="AB24" s="250">
        <f t="shared" si="20"/>
        <v>0</v>
      </c>
      <c r="AC24" s="259">
        <f t="shared" si="4"/>
        <v>116.5</v>
      </c>
      <c r="AD24" s="247">
        <f t="shared" si="5"/>
        <v>124.5</v>
      </c>
      <c r="AE24" s="259">
        <f t="shared" si="6"/>
        <v>123.5</v>
      </c>
      <c r="AF24" s="247">
        <f t="shared" si="7"/>
        <v>123.5</v>
      </c>
      <c r="AG24" s="258">
        <f t="shared" si="8"/>
        <v>-8.3333333333333329E-2</v>
      </c>
      <c r="AI24" s="306"/>
      <c r="AJ24" s="306"/>
      <c r="AK24" s="306"/>
      <c r="AL24" s="306"/>
      <c r="AM24" s="306"/>
      <c r="AN24" s="306"/>
      <c r="AO24" s="306"/>
      <c r="AP24" s="306"/>
      <c r="AQ24" s="306"/>
    </row>
    <row r="25" spans="1:56">
      <c r="A25" s="472"/>
      <c r="B25" s="513" t="s">
        <v>405</v>
      </c>
      <c r="C25" s="255">
        <v>116</v>
      </c>
      <c r="D25" s="255">
        <v>12</v>
      </c>
      <c r="E25" s="262">
        <v>0</v>
      </c>
      <c r="G25" s="265" t="s">
        <v>831</v>
      </c>
      <c r="H25" s="255">
        <v>7</v>
      </c>
      <c r="I25" s="247">
        <f t="shared" si="9"/>
        <v>123</v>
      </c>
      <c r="L25" s="286">
        <v>124942</v>
      </c>
      <c r="N25" s="250">
        <f t="shared" si="17"/>
        <v>124942</v>
      </c>
      <c r="O25" s="250">
        <f t="shared" si="10"/>
        <v>1487.4047619047617</v>
      </c>
      <c r="P25" s="250">
        <f t="shared" si="11"/>
        <v>7437.0238095238929</v>
      </c>
      <c r="Q25" s="247">
        <f t="shared" si="12"/>
        <v>0</v>
      </c>
      <c r="R25" s="250">
        <f t="shared" si="13"/>
        <v>7437.0238095238929</v>
      </c>
      <c r="S25" s="260">
        <v>1</v>
      </c>
      <c r="T25" s="250">
        <f t="shared" si="18"/>
        <v>7437.0238095238929</v>
      </c>
      <c r="V25" s="250">
        <f t="shared" si="19"/>
        <v>117504.97619047611</v>
      </c>
      <c r="W25" s="250">
        <f t="shared" si="14"/>
        <v>117504.97619047611</v>
      </c>
      <c r="X25" s="260">
        <v>1</v>
      </c>
      <c r="Y25" s="250">
        <f t="shared" si="15"/>
        <v>117504.97619047611</v>
      </c>
      <c r="Z25" s="250">
        <f t="shared" si="16"/>
        <v>124942</v>
      </c>
      <c r="AA25" s="250">
        <f t="shared" si="3"/>
        <v>3718.5119047619446</v>
      </c>
      <c r="AB25" s="250">
        <f t="shared" si="20"/>
        <v>0</v>
      </c>
      <c r="AC25" s="259">
        <f t="shared" si="4"/>
        <v>116.91666666666667</v>
      </c>
      <c r="AD25" s="247">
        <f t="shared" si="5"/>
        <v>124.5</v>
      </c>
      <c r="AE25" s="259">
        <f t="shared" si="6"/>
        <v>123.91666666666667</v>
      </c>
      <c r="AF25" s="247">
        <f t="shared" si="7"/>
        <v>123.5</v>
      </c>
      <c r="AG25" s="258">
        <f t="shared" si="8"/>
        <v>-8.3333333333333329E-2</v>
      </c>
      <c r="AI25" s="306"/>
      <c r="AJ25" s="306"/>
      <c r="AK25" s="306"/>
      <c r="AL25" s="306"/>
      <c r="AM25" s="306"/>
      <c r="AN25" s="306"/>
      <c r="AO25" s="306"/>
      <c r="AP25" s="306"/>
      <c r="AQ25" s="306"/>
    </row>
    <row r="26" spans="1:56">
      <c r="A26" s="472"/>
      <c r="B26" s="724" t="s">
        <v>406</v>
      </c>
      <c r="C26" s="724">
        <v>117</v>
      </c>
      <c r="D26" s="724">
        <v>12</v>
      </c>
      <c r="E26" s="725">
        <v>0</v>
      </c>
      <c r="F26" s="726"/>
      <c r="G26" s="727" t="s">
        <v>831</v>
      </c>
      <c r="H26" s="724">
        <v>7</v>
      </c>
      <c r="I26" s="726">
        <f t="shared" si="9"/>
        <v>124</v>
      </c>
      <c r="J26" s="726">
        <v>123</v>
      </c>
      <c r="K26" s="726">
        <v>10</v>
      </c>
      <c r="L26" s="728">
        <v>9549</v>
      </c>
      <c r="M26" s="726"/>
      <c r="N26" s="730">
        <f t="shared" si="17"/>
        <v>9549</v>
      </c>
      <c r="O26" s="730">
        <f t="shared" si="10"/>
        <v>113.67857142857143</v>
      </c>
      <c r="P26" s="250">
        <f t="shared" si="11"/>
        <v>1364.1428571428571</v>
      </c>
      <c r="Q26" s="726">
        <v>0</v>
      </c>
      <c r="R26" s="730">
        <f t="shared" si="13"/>
        <v>1364.1428571428571</v>
      </c>
      <c r="S26" s="731">
        <v>1</v>
      </c>
      <c r="T26" s="730">
        <f t="shared" si="18"/>
        <v>1364.1428571428571</v>
      </c>
      <c r="U26" s="726"/>
      <c r="V26" s="730">
        <f t="shared" si="19"/>
        <v>7616.464285714279</v>
      </c>
      <c r="W26" s="730">
        <v>0</v>
      </c>
      <c r="X26" s="731">
        <v>1</v>
      </c>
      <c r="Y26" s="730">
        <f t="shared" si="15"/>
        <v>0</v>
      </c>
      <c r="Z26" s="730">
        <v>0</v>
      </c>
      <c r="AA26" s="730">
        <v>0</v>
      </c>
      <c r="AB26" s="730">
        <v>0</v>
      </c>
      <c r="AC26" s="732">
        <f t="shared" si="4"/>
        <v>117.91666666666667</v>
      </c>
      <c r="AD26" s="726">
        <f t="shared" si="5"/>
        <v>124.5</v>
      </c>
      <c r="AE26" s="732">
        <f t="shared" si="6"/>
        <v>124.91666666666667</v>
      </c>
      <c r="AF26" s="726">
        <f t="shared" si="7"/>
        <v>123.5</v>
      </c>
      <c r="AG26" s="733">
        <f t="shared" si="8"/>
        <v>123.75</v>
      </c>
      <c r="AH26" s="729">
        <v>45230</v>
      </c>
      <c r="AI26" s="734">
        <v>0</v>
      </c>
      <c r="AJ26" s="734">
        <f>+L26</f>
        <v>9549</v>
      </c>
      <c r="AK26" s="734">
        <v>8298</v>
      </c>
      <c r="AL26" s="734">
        <f>+AI26-(AJ26-AK26)</f>
        <v>-1251</v>
      </c>
      <c r="AM26" s="306"/>
      <c r="AN26" s="306"/>
      <c r="AO26" s="306"/>
      <c r="AP26" s="306"/>
      <c r="AQ26" s="306"/>
    </row>
    <row r="27" spans="1:56">
      <c r="A27" s="472"/>
      <c r="B27" s="255" t="s">
        <v>407</v>
      </c>
      <c r="C27" s="255">
        <v>118</v>
      </c>
      <c r="D27" s="255">
        <v>7</v>
      </c>
      <c r="E27" s="262">
        <v>0</v>
      </c>
      <c r="G27" s="265" t="s">
        <v>831</v>
      </c>
      <c r="H27" s="255">
        <v>7</v>
      </c>
      <c r="I27" s="247">
        <f t="shared" si="9"/>
        <v>125</v>
      </c>
      <c r="L27" s="286">
        <v>323218</v>
      </c>
      <c r="N27" s="250">
        <f t="shared" si="17"/>
        <v>323218</v>
      </c>
      <c r="O27" s="250">
        <f t="shared" si="10"/>
        <v>3847.8333333333335</v>
      </c>
      <c r="P27" s="250">
        <f t="shared" si="11"/>
        <v>46174</v>
      </c>
      <c r="Q27" s="247">
        <f t="shared" si="12"/>
        <v>0</v>
      </c>
      <c r="R27" s="250">
        <f>IF(Q27&gt;0,Q27,P27)</f>
        <v>46174</v>
      </c>
      <c r="S27" s="260">
        <v>1</v>
      </c>
      <c r="T27" s="250">
        <f t="shared" si="18"/>
        <v>46174</v>
      </c>
      <c r="V27" s="250">
        <f t="shared" si="19"/>
        <v>230870</v>
      </c>
      <c r="W27" s="250">
        <f t="shared" si="14"/>
        <v>230870</v>
      </c>
      <c r="X27" s="260">
        <v>1</v>
      </c>
      <c r="Y27" s="250">
        <f t="shared" si="15"/>
        <v>230870</v>
      </c>
      <c r="Z27" s="250">
        <f t="shared" si="16"/>
        <v>277044</v>
      </c>
      <c r="AA27" s="250">
        <f t="shared" si="3"/>
        <v>69261</v>
      </c>
      <c r="AB27" s="250">
        <f t="shared" si="20"/>
        <v>46174</v>
      </c>
      <c r="AC27" s="259">
        <f t="shared" si="4"/>
        <v>118.5</v>
      </c>
      <c r="AD27" s="247">
        <f t="shared" si="5"/>
        <v>124.5</v>
      </c>
      <c r="AE27" s="259">
        <f t="shared" si="6"/>
        <v>125.5</v>
      </c>
      <c r="AF27" s="247">
        <f t="shared" si="7"/>
        <v>123.5</v>
      </c>
      <c r="AG27" s="258">
        <f t="shared" si="8"/>
        <v>-8.3333333333333329E-2</v>
      </c>
      <c r="AI27" s="306"/>
      <c r="AJ27" s="306"/>
      <c r="AK27" s="306"/>
      <c r="AL27" s="306"/>
      <c r="AM27" s="306"/>
      <c r="AN27" s="306"/>
      <c r="AO27" s="306"/>
      <c r="AP27" s="306"/>
      <c r="AQ27" s="306"/>
    </row>
    <row r="28" spans="1:56">
      <c r="A28" s="472"/>
      <c r="B28" s="255" t="s">
        <v>408</v>
      </c>
      <c r="C28" s="255">
        <v>118</v>
      </c>
      <c r="D28" s="255">
        <v>7</v>
      </c>
      <c r="E28" s="262">
        <v>0</v>
      </c>
      <c r="G28" s="265" t="s">
        <v>831</v>
      </c>
      <c r="H28" s="255">
        <v>7</v>
      </c>
      <c r="I28" s="247">
        <f t="shared" ref="I28:I35" si="21">C28+H28</f>
        <v>125</v>
      </c>
      <c r="L28" s="286">
        <v>173570</v>
      </c>
      <c r="N28" s="250">
        <f t="shared" ref="N28:N35" si="22">L28-L28*E28</f>
        <v>173570</v>
      </c>
      <c r="O28" s="250">
        <f t="shared" ref="O28:O35" si="23">N28/H28/12</f>
        <v>2066.3095238095239</v>
      </c>
      <c r="P28" s="250">
        <f t="shared" si="11"/>
        <v>24795.714285714286</v>
      </c>
      <c r="Q28" s="247">
        <f t="shared" ref="Q28:Q35" si="24">IF(M28=0,0,IF(AND(AG28&gt;=AF28,AG28&lt;=AE28),((AG28-AF28)*12)*O28,0))</f>
        <v>0</v>
      </c>
      <c r="R28" s="250">
        <f t="shared" ref="R28:R35" si="25">IF(Q28&gt;0,Q28,P28)</f>
        <v>24795.714285714286</v>
      </c>
      <c r="S28" s="260">
        <v>1</v>
      </c>
      <c r="T28" s="250">
        <f t="shared" ref="T28:T35" si="26">S28*SUM(P28:Q28)</f>
        <v>24795.714285714286</v>
      </c>
      <c r="V28" s="250">
        <f t="shared" ref="V28:V35" si="27">IF(AC28&gt;AD28,0,IF(AE28&lt;AF28,N28,IF(AND(AE28&gt;=AF28,AE28&lt;=AD28),(N28-R28),IF(AND(AF28&lt;=AC28,AD28&gt;=AC28),0,IF(AE28&gt;AD28,((AF28-AC28)*12)*O28,0)))))</f>
        <v>123978.57142857143</v>
      </c>
      <c r="W28" s="250">
        <f t="shared" ref="W28:W35" si="28">V28*S28</f>
        <v>123978.57142857143</v>
      </c>
      <c r="X28" s="260">
        <v>1</v>
      </c>
      <c r="Y28" s="250">
        <f t="shared" ref="Y28:Y35" si="29">W28*X28</f>
        <v>123978.57142857143</v>
      </c>
      <c r="Z28" s="250">
        <f t="shared" ref="Z28:Z35" si="30">IF(M28&gt;0,0,Y28+T28*X28)*X28</f>
        <v>148774.28571428571</v>
      </c>
      <c r="AA28" s="250">
        <f t="shared" si="3"/>
        <v>37193.571428571428</v>
      </c>
      <c r="AB28" s="250">
        <f t="shared" ref="AB28:AB35" si="31">L28-Z28</f>
        <v>24795.71428571429</v>
      </c>
      <c r="AC28" s="259">
        <f t="shared" si="4"/>
        <v>118.5</v>
      </c>
      <c r="AD28" s="247">
        <f t="shared" si="5"/>
        <v>124.5</v>
      </c>
      <c r="AE28" s="259">
        <f t="shared" si="6"/>
        <v>125.5</v>
      </c>
      <c r="AF28" s="247">
        <f t="shared" si="7"/>
        <v>123.5</v>
      </c>
      <c r="AG28" s="258">
        <f t="shared" si="8"/>
        <v>-8.3333333333333329E-2</v>
      </c>
      <c r="AI28" s="306"/>
      <c r="AJ28" s="306"/>
      <c r="AK28" s="306"/>
      <c r="AL28" s="306"/>
      <c r="AM28" s="306"/>
      <c r="AN28" s="306"/>
      <c r="AO28" s="306"/>
      <c r="AP28" s="306"/>
      <c r="AQ28" s="306"/>
    </row>
    <row r="29" spans="1:56" s="472" customFormat="1">
      <c r="B29" s="513" t="s">
        <v>409</v>
      </c>
      <c r="C29" s="513">
        <v>119</v>
      </c>
      <c r="D29" s="513">
        <v>4</v>
      </c>
      <c r="E29" s="498">
        <v>0</v>
      </c>
      <c r="G29" s="753" t="s">
        <v>831</v>
      </c>
      <c r="H29" s="513">
        <v>7</v>
      </c>
      <c r="I29" s="472">
        <f t="shared" si="21"/>
        <v>126</v>
      </c>
      <c r="L29" s="754">
        <v>8041</v>
      </c>
      <c r="N29" s="755">
        <f t="shared" si="22"/>
        <v>8041</v>
      </c>
      <c r="O29" s="755">
        <f t="shared" si="23"/>
        <v>95.726190476190482</v>
      </c>
      <c r="P29" s="755">
        <f t="shared" ref="P29:P35" si="32">IF(M29&gt;0,0,IF(OR(AC29&gt;AD29,AE29&lt;AF29),0,IF(AND(AE29&gt;=AF29,AE29&lt;=AD29),O29*((AE29-AF29)*12),IF(AND(AF29&lt;=AC29,AD29&gt;=AC29),((AD29-AC29)*12)*O29,IF(AE29&gt;AD29,12*O29,0)))))</f>
        <v>1148.7142857142858</v>
      </c>
      <c r="Q29" s="472">
        <f t="shared" si="24"/>
        <v>0</v>
      </c>
      <c r="R29" s="755">
        <f t="shared" si="25"/>
        <v>1148.7142857142858</v>
      </c>
      <c r="S29" s="756">
        <v>1</v>
      </c>
      <c r="T29" s="755">
        <f t="shared" si="26"/>
        <v>1148.7142857142858</v>
      </c>
      <c r="V29" s="755">
        <f t="shared" si="27"/>
        <v>4882.0357142857147</v>
      </c>
      <c r="W29" s="755">
        <f t="shared" si="28"/>
        <v>4882.0357142857147</v>
      </c>
      <c r="X29" s="756">
        <v>1</v>
      </c>
      <c r="Y29" s="755">
        <f t="shared" si="29"/>
        <v>4882.0357142857147</v>
      </c>
      <c r="Z29" s="755">
        <f t="shared" si="30"/>
        <v>6030.75</v>
      </c>
      <c r="AA29" s="755">
        <f t="shared" si="3"/>
        <v>2584.6071428571427</v>
      </c>
      <c r="AB29" s="755">
        <f t="shared" si="31"/>
        <v>2010.25</v>
      </c>
      <c r="AC29" s="757">
        <f t="shared" si="4"/>
        <v>119.25</v>
      </c>
      <c r="AD29" s="472">
        <f t="shared" si="5"/>
        <v>124.5</v>
      </c>
      <c r="AE29" s="757">
        <f t="shared" si="6"/>
        <v>126.25</v>
      </c>
      <c r="AF29" s="472">
        <f t="shared" si="7"/>
        <v>123.5</v>
      </c>
      <c r="AG29" s="758">
        <f t="shared" si="8"/>
        <v>-8.3333333333333329E-2</v>
      </c>
      <c r="AI29" s="759"/>
      <c r="AJ29" s="759"/>
      <c r="AK29" s="759"/>
      <c r="AL29" s="759"/>
      <c r="AM29" s="759"/>
      <c r="AN29" s="759"/>
      <c r="AO29" s="759"/>
      <c r="AP29" s="759"/>
      <c r="AQ29" s="759"/>
    </row>
    <row r="30" spans="1:56" s="472" customFormat="1">
      <c r="B30" s="513" t="s">
        <v>410</v>
      </c>
      <c r="C30" s="513">
        <v>119</v>
      </c>
      <c r="D30" s="513">
        <v>6</v>
      </c>
      <c r="E30" s="498">
        <v>0</v>
      </c>
      <c r="G30" s="753" t="s">
        <v>831</v>
      </c>
      <c r="H30" s="513">
        <v>7</v>
      </c>
      <c r="I30" s="472">
        <f t="shared" si="21"/>
        <v>126</v>
      </c>
      <c r="L30" s="754">
        <v>11604</v>
      </c>
      <c r="N30" s="755">
        <f t="shared" si="22"/>
        <v>11604</v>
      </c>
      <c r="O30" s="755">
        <f t="shared" si="23"/>
        <v>138.14285714285714</v>
      </c>
      <c r="P30" s="755">
        <f t="shared" si="32"/>
        <v>1657.7142857142858</v>
      </c>
      <c r="Q30" s="472">
        <f t="shared" si="24"/>
        <v>0</v>
      </c>
      <c r="R30" s="755">
        <f t="shared" si="25"/>
        <v>1657.7142857142858</v>
      </c>
      <c r="S30" s="756">
        <v>1</v>
      </c>
      <c r="T30" s="755">
        <f t="shared" si="26"/>
        <v>1657.7142857142858</v>
      </c>
      <c r="V30" s="755">
        <f t="shared" si="27"/>
        <v>6768.9999999999918</v>
      </c>
      <c r="W30" s="755">
        <f t="shared" si="28"/>
        <v>6768.9999999999918</v>
      </c>
      <c r="X30" s="756">
        <v>1</v>
      </c>
      <c r="Y30" s="755">
        <f t="shared" si="29"/>
        <v>6768.9999999999918</v>
      </c>
      <c r="Z30" s="755">
        <f t="shared" si="30"/>
        <v>8426.7142857142771</v>
      </c>
      <c r="AA30" s="755">
        <f t="shared" si="3"/>
        <v>4006.1428571428655</v>
      </c>
      <c r="AB30" s="755">
        <f t="shared" si="31"/>
        <v>3177.2857142857229</v>
      </c>
      <c r="AC30" s="757">
        <f t="shared" si="4"/>
        <v>119.41666666666667</v>
      </c>
      <c r="AD30" s="472">
        <f t="shared" si="5"/>
        <v>124.5</v>
      </c>
      <c r="AE30" s="757">
        <f t="shared" si="6"/>
        <v>126.41666666666667</v>
      </c>
      <c r="AF30" s="472">
        <f t="shared" si="7"/>
        <v>123.5</v>
      </c>
      <c r="AG30" s="758">
        <f t="shared" si="8"/>
        <v>-8.3333333333333329E-2</v>
      </c>
      <c r="AI30" s="759"/>
      <c r="AJ30" s="759"/>
      <c r="AK30" s="759"/>
      <c r="AL30" s="759"/>
      <c r="AM30" s="759"/>
      <c r="AN30" s="759"/>
      <c r="AO30" s="759"/>
      <c r="AP30" s="759"/>
      <c r="AQ30" s="759"/>
    </row>
    <row r="31" spans="1:56" s="472" customFormat="1">
      <c r="B31" s="513" t="s">
        <v>411</v>
      </c>
      <c r="C31" s="513">
        <v>119</v>
      </c>
      <c r="D31" s="513">
        <v>8</v>
      </c>
      <c r="E31" s="498">
        <v>0</v>
      </c>
      <c r="G31" s="753" t="s">
        <v>831</v>
      </c>
      <c r="H31" s="513">
        <v>7</v>
      </c>
      <c r="I31" s="472">
        <f t="shared" si="21"/>
        <v>126</v>
      </c>
      <c r="L31" s="754">
        <v>184484</v>
      </c>
      <c r="N31" s="755">
        <f t="shared" si="22"/>
        <v>184484</v>
      </c>
      <c r="O31" s="755">
        <f t="shared" si="23"/>
        <v>2196.238095238095</v>
      </c>
      <c r="P31" s="755">
        <f t="shared" si="32"/>
        <v>26354.857142857138</v>
      </c>
      <c r="Q31" s="472">
        <f t="shared" si="24"/>
        <v>0</v>
      </c>
      <c r="R31" s="755">
        <f t="shared" si="25"/>
        <v>26354.857142857138</v>
      </c>
      <c r="S31" s="756">
        <v>1</v>
      </c>
      <c r="T31" s="755">
        <f t="shared" si="26"/>
        <v>26354.857142857138</v>
      </c>
      <c r="V31" s="755">
        <f t="shared" si="27"/>
        <v>103223.19047619059</v>
      </c>
      <c r="W31" s="755">
        <f t="shared" si="28"/>
        <v>103223.19047619059</v>
      </c>
      <c r="X31" s="756">
        <v>1</v>
      </c>
      <c r="Y31" s="755">
        <f t="shared" si="29"/>
        <v>103223.19047619059</v>
      </c>
      <c r="Z31" s="755">
        <f t="shared" si="30"/>
        <v>129578.04761904772</v>
      </c>
      <c r="AA31" s="755">
        <f t="shared" si="3"/>
        <v>68083.380952380845</v>
      </c>
      <c r="AB31" s="755">
        <f t="shared" si="31"/>
        <v>54905.95238095228</v>
      </c>
      <c r="AC31" s="757">
        <f t="shared" si="4"/>
        <v>119.58333333333333</v>
      </c>
      <c r="AD31" s="472">
        <f t="shared" si="5"/>
        <v>124.5</v>
      </c>
      <c r="AE31" s="757">
        <f t="shared" si="6"/>
        <v>126.58333333333333</v>
      </c>
      <c r="AF31" s="472">
        <f t="shared" si="7"/>
        <v>123.5</v>
      </c>
      <c r="AG31" s="758">
        <f t="shared" si="8"/>
        <v>-8.3333333333333329E-2</v>
      </c>
      <c r="AI31" s="759"/>
      <c r="AJ31" s="759"/>
      <c r="AK31" s="759"/>
      <c r="AL31" s="759"/>
      <c r="AM31" s="759"/>
      <c r="AN31" s="759"/>
      <c r="AO31" s="759"/>
      <c r="AP31" s="759"/>
      <c r="AQ31" s="759"/>
    </row>
    <row r="32" spans="1:56" s="472" customFormat="1">
      <c r="B32" s="513" t="s">
        <v>412</v>
      </c>
      <c r="C32" s="513">
        <v>120</v>
      </c>
      <c r="D32" s="513">
        <v>11</v>
      </c>
      <c r="E32" s="498">
        <v>0</v>
      </c>
      <c r="G32" s="753" t="s">
        <v>831</v>
      </c>
      <c r="H32" s="513">
        <v>7</v>
      </c>
      <c r="I32" s="472">
        <f>C32+H32</f>
        <v>127</v>
      </c>
      <c r="L32" s="754">
        <v>173102</v>
      </c>
      <c r="N32" s="755">
        <f>L32-L32*E32</f>
        <v>173102</v>
      </c>
      <c r="O32" s="755">
        <f t="shared" si="23"/>
        <v>2060.738095238095</v>
      </c>
      <c r="P32" s="755">
        <f>IF(M32&gt;0,0,IF(OR(AC32&gt;AD32,AE32&lt;AF32),0,IF(AND(AE32&gt;=AF32,AE32&lt;=AD32),O32*((AE32-AF32)*12),IF(AND(AF32&lt;=AC32,AD32&gt;=AC32),((AD32-AC32)*12)*O32,IF(AE32&gt;AD32,12*O32,0)))))</f>
        <v>24728.857142857138</v>
      </c>
      <c r="Q32" s="472">
        <f>IF(M32=0,0,IF(AND(AG32&gt;=AF32,AG32&lt;=AE32),((AG32-AF32)*12)*O32,0))</f>
        <v>0</v>
      </c>
      <c r="R32" s="755">
        <f>IF(Q32&gt;0,Q32,P32)</f>
        <v>24728.857142857138</v>
      </c>
      <c r="S32" s="756">
        <v>1</v>
      </c>
      <c r="T32" s="755">
        <f t="shared" si="26"/>
        <v>24728.857142857138</v>
      </c>
      <c r="V32" s="755">
        <f>IF(AC32&gt;AD32,0,IF(AE32&lt;AF32,N32,IF(AND(AE32&gt;=AF32,AE32&lt;=AD32),(N32-R32),IF(AND(AF32&lt;=AC32,AD32&gt;=AC32),0,IF(AE32&gt;AD32,((AF32-AC32)*12)*O32,0)))))</f>
        <v>65943.619047619155</v>
      </c>
      <c r="W32" s="755">
        <f>V32*S32</f>
        <v>65943.619047619155</v>
      </c>
      <c r="X32" s="756">
        <v>1</v>
      </c>
      <c r="Y32" s="755">
        <f>W32*X32</f>
        <v>65943.619047619155</v>
      </c>
      <c r="Z32" s="755">
        <f>IF(M32&gt;0,0,Y32+T32*X32)*X32</f>
        <v>90672.4761904763</v>
      </c>
      <c r="AA32" s="755">
        <f t="shared" si="3"/>
        <v>94793.95238095228</v>
      </c>
      <c r="AB32" s="755">
        <f>L32-Z32</f>
        <v>82429.5238095237</v>
      </c>
      <c r="AC32" s="757">
        <f t="shared" si="4"/>
        <v>120.83333333333333</v>
      </c>
      <c r="AD32" s="472">
        <f t="shared" si="5"/>
        <v>124.5</v>
      </c>
      <c r="AE32" s="757">
        <f t="shared" si="6"/>
        <v>127.83333333333333</v>
      </c>
      <c r="AF32" s="472">
        <f t="shared" si="7"/>
        <v>123.5</v>
      </c>
      <c r="AG32" s="758">
        <f t="shared" si="8"/>
        <v>-8.3333333333333329E-2</v>
      </c>
      <c r="AI32" s="759"/>
      <c r="AJ32" s="759"/>
      <c r="AK32" s="759"/>
      <c r="AL32" s="759"/>
      <c r="AM32" s="759"/>
      <c r="AN32" s="759"/>
      <c r="AO32" s="759"/>
      <c r="AP32" s="759"/>
      <c r="AQ32" s="759"/>
    </row>
    <row r="33" spans="1:43" s="472" customFormat="1">
      <c r="B33" s="513" t="s">
        <v>413</v>
      </c>
      <c r="C33" s="513">
        <v>122</v>
      </c>
      <c r="D33" s="513">
        <v>4</v>
      </c>
      <c r="E33" s="498">
        <v>0</v>
      </c>
      <c r="G33" s="753" t="s">
        <v>831</v>
      </c>
      <c r="H33" s="513">
        <v>7</v>
      </c>
      <c r="I33" s="472">
        <f>C33+H33</f>
        <v>129</v>
      </c>
      <c r="L33" s="754">
        <v>175378</v>
      </c>
      <c r="N33" s="755">
        <f>L33-L33*E33</f>
        <v>175378</v>
      </c>
      <c r="O33" s="755">
        <f t="shared" si="23"/>
        <v>2087.8333333333335</v>
      </c>
      <c r="P33" s="755">
        <f>IF(M33&gt;0,0,IF(OR(AC33&gt;AD33,AE33&lt;AF33),0,IF(AND(AE33&gt;=AF33,AE33&lt;=AD33),O33*((AE33-AF33)*12),IF(AND(AF33&lt;=AC33,AD33&gt;=AC33),((AD33-AC33)*12)*O33,IF(AE33&gt;AD33,12*O33,0)))))</f>
        <v>25054</v>
      </c>
      <c r="Q33" s="472">
        <f>IF(M33=0,0,IF(AND(AG33&gt;=AF33,AG33&lt;=AE33),((AG33-AF33)*12)*O33,0))</f>
        <v>0</v>
      </c>
      <c r="R33" s="755">
        <f>IF(Q33&gt;0,Q33,P33)</f>
        <v>25054</v>
      </c>
      <c r="S33" s="756">
        <v>1</v>
      </c>
      <c r="T33" s="755">
        <f t="shared" si="26"/>
        <v>25054</v>
      </c>
      <c r="V33" s="755">
        <f>IF(AC33&gt;AD33,0,IF(AE33&lt;AF33,N33,IF(AND(AE33&gt;=AF33,AE33&lt;=AD33),(N33-R33),IF(AND(AF33&lt;=AC33,AD33&gt;=AC33),0,IF(AE33&gt;AD33,((AF33-AC33)*12)*O33,0)))))</f>
        <v>31317.500000000004</v>
      </c>
      <c r="W33" s="755">
        <f>V33*S33</f>
        <v>31317.500000000004</v>
      </c>
      <c r="X33" s="756">
        <v>1</v>
      </c>
      <c r="Y33" s="755">
        <f>W33*X33</f>
        <v>31317.500000000004</v>
      </c>
      <c r="Z33" s="755">
        <f>IF(M33&gt;0,0,Y33+T33*X33)*X33</f>
        <v>56371.5</v>
      </c>
      <c r="AA33" s="755">
        <f>IF(M33&gt;0,(L33-Y33)/2,IF(AC33&gt;=AF33,(((L33*S33)*X33)-Z33)/2,((((L33*S33)*X33)-Y33)+(((L33*S33)*X33)-Z33))/2))</f>
        <v>131533.5</v>
      </c>
      <c r="AB33" s="755">
        <f>L33-Z33</f>
        <v>119006.5</v>
      </c>
      <c r="AC33" s="757">
        <f t="shared" si="4"/>
        <v>122.25</v>
      </c>
      <c r="AD33" s="472">
        <f t="shared" si="5"/>
        <v>124.5</v>
      </c>
      <c r="AE33" s="757">
        <f t="shared" si="6"/>
        <v>129.25</v>
      </c>
      <c r="AF33" s="472">
        <f t="shared" si="7"/>
        <v>123.5</v>
      </c>
      <c r="AG33" s="758">
        <f t="shared" si="8"/>
        <v>-8.3333333333333329E-2</v>
      </c>
      <c r="AI33" s="759"/>
      <c r="AJ33" s="759"/>
      <c r="AK33" s="759"/>
      <c r="AL33" s="759"/>
      <c r="AM33" s="759"/>
      <c r="AN33" s="759"/>
      <c r="AO33" s="759"/>
      <c r="AP33" s="759"/>
      <c r="AQ33" s="759"/>
    </row>
    <row r="34" spans="1:43" s="762" customFormat="1">
      <c r="B34" s="763" t="s">
        <v>1451</v>
      </c>
      <c r="C34" s="763">
        <v>124</v>
      </c>
      <c r="D34" s="763">
        <v>3</v>
      </c>
      <c r="E34" s="764">
        <v>0</v>
      </c>
      <c r="G34" s="773" t="s">
        <v>831</v>
      </c>
      <c r="H34" s="763">
        <v>7</v>
      </c>
      <c r="I34" s="762">
        <f>C34+H34</f>
        <v>131</v>
      </c>
      <c r="L34" s="774">
        <v>16030</v>
      </c>
      <c r="N34" s="767">
        <f>L34-L34*E34</f>
        <v>16030</v>
      </c>
      <c r="O34" s="767">
        <f t="shared" si="23"/>
        <v>190.83333333333334</v>
      </c>
      <c r="P34" s="767">
        <f>IF(M34&gt;0,0,IF(OR(AC34&gt;AD34,AE34&lt;AF34),0,IF(AND(AE34&gt;=AF34,AE34&lt;=AD34),O34*((AE34-AF34)*12),IF(AND(AF34&lt;=AC34,AD34&gt;=AC34),((AD34-AC34)*12)*O34,IF(AE34&gt;AD34,12*O34,0)))))</f>
        <v>763.33333333332257</v>
      </c>
      <c r="Q34" s="762">
        <f>IF(M34=0,0,IF(AND(AG34&gt;=AF34,AG34&lt;=AE34),((AG34-AF34)*12)*O34,0))</f>
        <v>0</v>
      </c>
      <c r="R34" s="767">
        <f>IF(Q34&gt;0,Q34,P34)</f>
        <v>763.33333333332257</v>
      </c>
      <c r="S34" s="768">
        <v>1</v>
      </c>
      <c r="T34" s="767">
        <f t="shared" si="26"/>
        <v>763.33333333332257</v>
      </c>
      <c r="V34" s="767">
        <f>IF(AC34&gt;AD34,0,IF(AE34&lt;AF34,N34,IF(AND(AE34&gt;=AF34,AE34&lt;=AD34),(N34-R34),IF(AND(AF34&lt;=AC34,AD34&gt;=AC34),0,IF(AE34&gt;AD34,((AF34-AC34)*12)*O34,0)))))</f>
        <v>0</v>
      </c>
      <c r="W34" s="767">
        <f>V34*S34</f>
        <v>0</v>
      </c>
      <c r="X34" s="768">
        <v>1</v>
      </c>
      <c r="Y34" s="767">
        <f>W34*X34</f>
        <v>0</v>
      </c>
      <c r="Z34" s="767">
        <f>IF(M34&gt;0,0,Y34+T34*X34)*X34</f>
        <v>763.33333333332257</v>
      </c>
      <c r="AA34" s="767">
        <f>IF(M34&gt;0,(L34-Y34)/2,IF(AC34&gt;=AF34,(((L34*S34)*X34)-Z34)/2,((((L34*S34)*X34)-Y34)+(((L34*S34)*X34)-Z34))/2))</f>
        <v>7633.3333333333385</v>
      </c>
      <c r="AB34" s="767">
        <f>L34-Z34</f>
        <v>15266.666666666677</v>
      </c>
      <c r="AC34" s="769">
        <f t="shared" si="4"/>
        <v>124.16666666666667</v>
      </c>
      <c r="AD34" s="762">
        <f t="shared" si="5"/>
        <v>124.5</v>
      </c>
      <c r="AE34" s="769">
        <f t="shared" si="6"/>
        <v>131.16666666666666</v>
      </c>
      <c r="AF34" s="762">
        <f t="shared" si="7"/>
        <v>123.5</v>
      </c>
      <c r="AG34" s="770">
        <f t="shared" si="8"/>
        <v>-8.3333333333333329E-2</v>
      </c>
      <c r="AI34" s="775"/>
      <c r="AJ34" s="775"/>
      <c r="AK34" s="775"/>
      <c r="AL34" s="775"/>
      <c r="AM34" s="775"/>
      <c r="AN34" s="775"/>
      <c r="AO34" s="775"/>
      <c r="AP34" s="775"/>
      <c r="AQ34" s="775"/>
    </row>
    <row r="35" spans="1:43" s="762" customFormat="1">
      <c r="B35" s="763" t="s">
        <v>1452</v>
      </c>
      <c r="C35" s="763">
        <v>124</v>
      </c>
      <c r="D35" s="763">
        <v>5</v>
      </c>
      <c r="E35" s="764">
        <v>0</v>
      </c>
      <c r="G35" s="773" t="s">
        <v>831</v>
      </c>
      <c r="H35" s="763">
        <v>7</v>
      </c>
      <c r="I35" s="762">
        <f t="shared" si="21"/>
        <v>131</v>
      </c>
      <c r="L35" s="774">
        <v>427227</v>
      </c>
      <c r="N35" s="767">
        <f t="shared" si="22"/>
        <v>427227</v>
      </c>
      <c r="O35" s="767">
        <f t="shared" si="23"/>
        <v>5086.0357142857147</v>
      </c>
      <c r="P35" s="767">
        <f t="shared" si="32"/>
        <v>10172.071428571719</v>
      </c>
      <c r="Q35" s="762">
        <f t="shared" si="24"/>
        <v>0</v>
      </c>
      <c r="R35" s="767">
        <f t="shared" si="25"/>
        <v>10172.071428571719</v>
      </c>
      <c r="S35" s="768">
        <v>1</v>
      </c>
      <c r="T35" s="767">
        <f t="shared" si="26"/>
        <v>10172.071428571719</v>
      </c>
      <c r="V35" s="767">
        <f t="shared" si="27"/>
        <v>0</v>
      </c>
      <c r="W35" s="767">
        <f t="shared" si="28"/>
        <v>0</v>
      </c>
      <c r="X35" s="768">
        <v>1</v>
      </c>
      <c r="Y35" s="767">
        <f t="shared" si="29"/>
        <v>0</v>
      </c>
      <c r="Z35" s="767">
        <f t="shared" si="30"/>
        <v>10172.071428571719</v>
      </c>
      <c r="AA35" s="767">
        <f t="shared" si="3"/>
        <v>208527.46428571414</v>
      </c>
      <c r="AB35" s="767">
        <f t="shared" si="31"/>
        <v>417054.92857142829</v>
      </c>
      <c r="AC35" s="769">
        <f t="shared" si="4"/>
        <v>124.33333333333333</v>
      </c>
      <c r="AD35" s="762">
        <f t="shared" si="5"/>
        <v>124.5</v>
      </c>
      <c r="AE35" s="769">
        <f t="shared" si="6"/>
        <v>131.33333333333334</v>
      </c>
      <c r="AF35" s="762">
        <f t="shared" si="7"/>
        <v>123.5</v>
      </c>
      <c r="AG35" s="770">
        <f t="shared" si="8"/>
        <v>-8.3333333333333329E-2</v>
      </c>
      <c r="AI35" s="775"/>
      <c r="AJ35" s="775"/>
      <c r="AK35" s="775"/>
      <c r="AL35" s="775"/>
      <c r="AM35" s="775"/>
      <c r="AN35" s="775"/>
      <c r="AO35" s="775"/>
      <c r="AP35" s="775"/>
      <c r="AQ35" s="775"/>
    </row>
    <row r="36" spans="1:43">
      <c r="A36" s="472"/>
      <c r="B36" s="255"/>
      <c r="C36" s="255"/>
      <c r="D36" s="255"/>
      <c r="E36" s="262"/>
      <c r="G36" s="265"/>
      <c r="H36" s="255"/>
      <c r="L36" s="286"/>
      <c r="N36" s="250"/>
      <c r="O36" s="250"/>
      <c r="P36" s="250"/>
      <c r="R36" s="250"/>
      <c r="S36" s="260"/>
      <c r="T36" s="250"/>
      <c r="V36" s="250"/>
      <c r="W36" s="250"/>
      <c r="X36" s="260"/>
      <c r="Y36" s="250"/>
      <c r="Z36" s="250"/>
      <c r="AA36" s="250"/>
      <c r="AB36" s="250"/>
      <c r="AC36" s="259"/>
      <c r="AE36" s="259"/>
      <c r="AG36" s="258"/>
      <c r="AI36" s="306"/>
      <c r="AJ36" s="306"/>
      <c r="AK36" s="306"/>
      <c r="AL36" s="306"/>
      <c r="AM36" s="306"/>
      <c r="AN36" s="306"/>
      <c r="AO36" s="306"/>
      <c r="AP36" s="306"/>
      <c r="AQ36" s="306"/>
    </row>
    <row r="37" spans="1:43">
      <c r="L37" s="287"/>
      <c r="M37" s="270"/>
      <c r="N37" s="269"/>
      <c r="P37" s="269"/>
      <c r="Q37" s="270"/>
      <c r="R37" s="269"/>
      <c r="T37" s="251"/>
      <c r="V37" s="269"/>
      <c r="W37" s="269"/>
      <c r="Y37" s="269"/>
      <c r="Z37" s="269"/>
      <c r="AA37" s="269"/>
      <c r="AB37" s="251"/>
      <c r="AI37" s="306"/>
      <c r="AJ37" s="306"/>
      <c r="AK37" s="306"/>
      <c r="AL37" s="306"/>
      <c r="AM37" s="306"/>
      <c r="AN37" s="306"/>
      <c r="AO37" s="306"/>
      <c r="AP37" s="306"/>
      <c r="AQ37" s="306"/>
    </row>
    <row r="38" spans="1:43" ht="16.5" thickBot="1">
      <c r="L38" s="288">
        <f>SUM(L13:L36)-L21-L23-L26</f>
        <v>2088172.87</v>
      </c>
      <c r="N38" s="288">
        <f>SUM(N13:N36)-N21-N23-N26</f>
        <v>2088172.87</v>
      </c>
      <c r="P38" s="250">
        <f>SUM(P13:P37)</f>
        <v>169650.4285714289</v>
      </c>
      <c r="Q38" s="247">
        <f>SUM(Q13:Q37)</f>
        <v>0</v>
      </c>
      <c r="R38" s="489">
        <f>SUM(R13:R37)</f>
        <v>169650.4285714289</v>
      </c>
      <c r="T38" s="268">
        <f>SUM(T13:T37)</f>
        <v>169650.4285714289</v>
      </c>
      <c r="V38" s="250">
        <f>SUM(V13:V37)</f>
        <v>1277022.2271428572</v>
      </c>
      <c r="W38" s="250">
        <f>SUM(W13:W37)</f>
        <v>1155065.7628571431</v>
      </c>
      <c r="Y38" s="250">
        <f>SUM(Y13:Y37)</f>
        <v>1155065.7628571431</v>
      </c>
      <c r="Z38" s="250">
        <f>SUM(Z13:Z37)</f>
        <v>1323352.048571429</v>
      </c>
      <c r="AA38" s="268">
        <f>SUM(AA13:AA37)</f>
        <v>627335.46428571397</v>
      </c>
      <c r="AB38" s="268">
        <f>SUM(AB13:AB37)</f>
        <v>764820.8214285709</v>
      </c>
      <c r="AI38" s="306"/>
      <c r="AJ38" s="306"/>
      <c r="AK38" s="306"/>
      <c r="AL38" s="306"/>
      <c r="AM38" s="306"/>
      <c r="AN38" s="306"/>
      <c r="AO38" s="306"/>
      <c r="AP38" s="306"/>
      <c r="AQ38" s="306"/>
    </row>
    <row r="39" spans="1:43" ht="16.5" thickTop="1">
      <c r="I39" s="252" t="s">
        <v>832</v>
      </c>
      <c r="L39" s="288">
        <f>SUM(L13:L33)</f>
        <v>1768804.87</v>
      </c>
      <c r="N39" s="250"/>
      <c r="P39" s="271"/>
      <c r="R39" s="250"/>
      <c r="T39" s="251"/>
      <c r="Y39" s="250"/>
      <c r="Z39" s="250"/>
      <c r="AA39" s="250"/>
      <c r="AB39" s="250"/>
      <c r="AI39" s="306"/>
      <c r="AJ39" s="306"/>
      <c r="AK39" s="306"/>
      <c r="AL39" s="306"/>
      <c r="AM39" s="306"/>
      <c r="AN39" s="306"/>
      <c r="AO39" s="306"/>
      <c r="AP39" s="306"/>
      <c r="AQ39" s="306"/>
    </row>
    <row r="40" spans="1:43">
      <c r="I40" s="252"/>
      <c r="L40" s="250"/>
      <c r="N40" s="250"/>
      <c r="P40" s="271"/>
      <c r="R40" s="250"/>
      <c r="T40" s="251"/>
      <c r="Y40" s="250"/>
      <c r="Z40" s="250"/>
      <c r="AA40" s="250"/>
      <c r="AB40" s="250"/>
      <c r="AI40" s="306"/>
      <c r="AJ40" s="306"/>
      <c r="AK40" s="306"/>
      <c r="AL40" s="306"/>
      <c r="AM40" s="306"/>
      <c r="AN40" s="306"/>
      <c r="AO40" s="306"/>
      <c r="AP40" s="306"/>
      <c r="AQ40" s="306"/>
    </row>
    <row r="41" spans="1:43">
      <c r="I41" s="252"/>
      <c r="L41" s="250"/>
      <c r="N41" s="250"/>
      <c r="P41" s="271"/>
      <c r="R41" s="250"/>
      <c r="T41" s="251"/>
      <c r="Y41" s="250"/>
      <c r="Z41" s="250"/>
      <c r="AA41" s="250"/>
      <c r="AB41" s="250"/>
      <c r="AI41" s="306"/>
      <c r="AJ41" s="306"/>
      <c r="AK41" s="306"/>
      <c r="AL41" s="306"/>
      <c r="AM41" s="306"/>
      <c r="AN41" s="306"/>
      <c r="AO41" s="306"/>
      <c r="AP41" s="306"/>
      <c r="AQ41" s="306"/>
    </row>
    <row r="42" spans="1:43">
      <c r="B42" s="255" t="s">
        <v>414</v>
      </c>
      <c r="C42" s="255">
        <v>80</v>
      </c>
      <c r="D42" s="255">
        <v>4</v>
      </c>
      <c r="E42" s="262">
        <v>0</v>
      </c>
      <c r="G42" s="265" t="s">
        <v>831</v>
      </c>
      <c r="H42" s="255">
        <v>5</v>
      </c>
      <c r="I42" s="247">
        <f>C42+H42</f>
        <v>85</v>
      </c>
      <c r="L42" s="286">
        <v>3152</v>
      </c>
      <c r="N42" s="250">
        <f>L42-L42*E42</f>
        <v>3152</v>
      </c>
      <c r="O42" s="250">
        <f>N42/H42/12</f>
        <v>52.533333333333331</v>
      </c>
      <c r="P42" s="250">
        <f>IF(M42&gt;0,0,IF(OR(AC42&gt;AD42,AE42&lt;AF42),0,IF(AND(AE42&gt;=AF42,AE42&lt;=AD42),O42*((AE42-AF42)*12),IF(AND(AF42&lt;=AC42,AD42&gt;=AC42),((AD42-AC42)*12)*O42,IF(AE42&gt;AD42,12*O42,0)))))</f>
        <v>0</v>
      </c>
      <c r="Q42" s="247">
        <f>IF(M42=0,0,IF(AND(AG42&gt;=AF42,AG42&lt;=AE42),((AG42-AF42)*12)*O42,0))</f>
        <v>0</v>
      </c>
      <c r="R42" s="250">
        <f>IF(Q42&gt;0,Q42,P42)</f>
        <v>0</v>
      </c>
      <c r="S42" s="260">
        <v>1</v>
      </c>
      <c r="T42" s="250">
        <f>S42*R42</f>
        <v>0</v>
      </c>
      <c r="V42" s="250">
        <f>IF(AC42&gt;AD42,0,IF(AE42&lt;AF42,N42,IF(AND(AE42&gt;=AF42,AE42&lt;=AD42),(N42-R42),IF(AND(AF42&lt;=AC42,AD42&gt;=AC42),0,IF(AE42&gt;AD42,((AF42-AC42)*12)*O42,0)))))</f>
        <v>3152</v>
      </c>
      <c r="W42" s="250">
        <f>V42*S42</f>
        <v>3152</v>
      </c>
      <c r="X42" s="260">
        <v>1</v>
      </c>
      <c r="Y42" s="250">
        <f>W42*X42</f>
        <v>3152</v>
      </c>
      <c r="Z42" s="250">
        <f>IF(M42&gt;0,0,Y42+T42*X42)*X42</f>
        <v>3152</v>
      </c>
      <c r="AA42" s="250">
        <f>IF(M42&gt;0,(L42-Y42)/2,IF(AC42&gt;=AF42,(((L42*S42)*X42)-Z42)/2,((((L42*S42)*X42)-Y42)+(((L42*S42)*X42)-Z42))/2))</f>
        <v>0</v>
      </c>
      <c r="AB42" s="250">
        <f>L42-Z42</f>
        <v>0</v>
      </c>
      <c r="AC42" s="259">
        <f>$C42+(($D42-1)/12)</f>
        <v>80.25</v>
      </c>
      <c r="AD42" s="247">
        <f>($N$5+1)-($N$2/12)</f>
        <v>124.5</v>
      </c>
      <c r="AE42" s="259">
        <f>$I42+(($D42-1)/12)</f>
        <v>85.25</v>
      </c>
      <c r="AF42" s="247">
        <f>$N$4+($N$3/12)</f>
        <v>123.5</v>
      </c>
      <c r="AG42" s="258">
        <f>$J42+(($K42-1)/12)</f>
        <v>-8.3333333333333329E-2</v>
      </c>
    </row>
    <row r="43" spans="1:43">
      <c r="B43" s="289" t="s">
        <v>415</v>
      </c>
      <c r="C43" s="255">
        <v>118</v>
      </c>
      <c r="D43" s="255">
        <v>1</v>
      </c>
      <c r="E43" s="262">
        <v>0</v>
      </c>
      <c r="G43" s="265" t="s">
        <v>831</v>
      </c>
      <c r="H43" s="255">
        <v>3</v>
      </c>
      <c r="I43" s="247">
        <f>C43+H43</f>
        <v>121</v>
      </c>
      <c r="L43" s="286">
        <v>1573.4250000000002</v>
      </c>
      <c r="N43" s="250">
        <f>L43-L43*E43</f>
        <v>1573.4250000000002</v>
      </c>
      <c r="O43" s="250">
        <f>N43/H43/12</f>
        <v>43.706250000000004</v>
      </c>
      <c r="P43" s="250">
        <f>IF(M43&gt;0,0,IF(OR(AC43&gt;AD43,AE43&lt;AF43),0,IF(AND(AE43&gt;=AF43,AE43&lt;=AD43),O43*((AE43-AF43)*12),IF(AND(AF43&lt;=AC43,AD43&gt;=AC43),((AD43-AC43)*12)*O43,IF(AE43&gt;AD43,12*O43,0)))))</f>
        <v>0</v>
      </c>
      <c r="Q43" s="247">
        <f>IF(M43=0,0,IF(AND(AG43&gt;=AF43,AG43&lt;=AE43),((AG43-AF43)*12)*O43,0))</f>
        <v>0</v>
      </c>
      <c r="R43" s="250">
        <f>IF(Q43&gt;0,Q43,P43)</f>
        <v>0</v>
      </c>
      <c r="S43" s="260">
        <v>1</v>
      </c>
      <c r="T43" s="250">
        <f>S43*R43</f>
        <v>0</v>
      </c>
      <c r="V43" s="250">
        <f>IF(AC43&gt;AD43,0,IF(AE43&lt;AF43,N43,IF(AND(AE43&gt;=AF43,AE43&lt;=AD43),(N43-R43),IF(AND(AF43&lt;=AC43,AD43&gt;=AC43),0,IF(AE43&gt;AD43,((AF43-AC43)*12)*O43,0)))))</f>
        <v>1573.4250000000002</v>
      </c>
      <c r="W43" s="250">
        <f>V43*S43</f>
        <v>1573.4250000000002</v>
      </c>
      <c r="X43" s="260">
        <v>1</v>
      </c>
      <c r="Y43" s="250">
        <f>W43*X43</f>
        <v>1573.4250000000002</v>
      </c>
      <c r="Z43" s="250">
        <f>IF(M43&gt;0,0,Y43+T43*X43)*X43</f>
        <v>1573.4250000000002</v>
      </c>
      <c r="AA43" s="250">
        <f>IF(M43&gt;0,(L43-Y43)/2,IF(AC43&gt;=AF43,(((L43*S43)*X43)-Z43)/2,((((L43*S43)*X43)-Y43)+(((L43*S43)*X43)-Z43))/2))</f>
        <v>0</v>
      </c>
      <c r="AB43" s="250">
        <f>L43-Z43</f>
        <v>0</v>
      </c>
      <c r="AC43" s="259">
        <f>$C43+(($D43-1)/12)</f>
        <v>118</v>
      </c>
      <c r="AD43" s="247">
        <f>($N$5+1)-($N$2/12)</f>
        <v>124.5</v>
      </c>
      <c r="AE43" s="259">
        <f>$I43+(($D43-1)/12)</f>
        <v>121</v>
      </c>
      <c r="AF43" s="247">
        <f>$N$4+($N$3/12)</f>
        <v>123.5</v>
      </c>
      <c r="AG43" s="258">
        <f>$J43+(($K43-1)/12)</f>
        <v>-8.3333333333333329E-2</v>
      </c>
    </row>
    <row r="44" spans="1:43">
      <c r="B44" s="255" t="s">
        <v>416</v>
      </c>
      <c r="C44" s="255">
        <v>104</v>
      </c>
      <c r="D44" s="255">
        <v>6</v>
      </c>
      <c r="E44" s="262">
        <v>0</v>
      </c>
      <c r="G44" s="265" t="s">
        <v>831</v>
      </c>
      <c r="H44" s="255">
        <v>7</v>
      </c>
      <c r="I44" s="247">
        <f>C44+H44</f>
        <v>111</v>
      </c>
      <c r="L44" s="286">
        <v>1600</v>
      </c>
      <c r="N44" s="250">
        <f>L44-L44*E44</f>
        <v>1600</v>
      </c>
      <c r="O44" s="250">
        <f>N44/H44/12</f>
        <v>19.047619047619047</v>
      </c>
      <c r="P44" s="250">
        <f>IF(M44&gt;0,0,IF(OR(AC44&gt;AD44,AE44&lt;AF44),0,IF(AND(AE44&gt;=AF44,AE44&lt;=AD44),O44*((AE44-AF44)*12),IF(AND(AF44&lt;=AC44,AD44&gt;=AC44),((AD44-AC44)*12)*O44,IF(AE44&gt;AD44,12*O44,0)))))</f>
        <v>0</v>
      </c>
      <c r="Q44" s="247">
        <f>IF(M44=0,0,IF(AND(AG44&gt;=AF44,AG44&lt;=AE44),((AG44-AF44)*12)*O44,0))</f>
        <v>0</v>
      </c>
      <c r="R44" s="250">
        <f>IF(Q44&gt;0,Q44,P44)</f>
        <v>0</v>
      </c>
      <c r="S44" s="260">
        <v>1</v>
      </c>
      <c r="T44" s="250">
        <f>S44*R44</f>
        <v>0</v>
      </c>
      <c r="V44" s="250">
        <f>IF(AC44&gt;AD44,0,IF(AE44&lt;AF44,N44,IF(AND(AE44&gt;=AF44,AE44&lt;=AD44),(N44-R44),IF(AND(AF44&lt;=AC44,AD44&gt;=AC44),0,IF(AE44&gt;AD44,((AF44-AC44)*12)*O44,0)))))</f>
        <v>1600</v>
      </c>
      <c r="W44" s="250">
        <f>V44*S44</f>
        <v>1600</v>
      </c>
      <c r="X44" s="260">
        <v>1</v>
      </c>
      <c r="Y44" s="250">
        <f>W44*X44</f>
        <v>1600</v>
      </c>
      <c r="Z44" s="250">
        <f>IF(M44&gt;0,0,Y44+T44*X44)*X44</f>
        <v>1600</v>
      </c>
      <c r="AA44" s="250">
        <f t="shared" ref="AA44:AA58" si="33">IF(M44&gt;0,(L44-Y44)/2,IF(AC44&gt;=AF44,(((L44*S44)*X44)-Z44)/2,((((L44*S44)*X44)-Y44)+(((L44*S44)*X44)-Z44))/2))</f>
        <v>0</v>
      </c>
      <c r="AB44" s="250">
        <v>0</v>
      </c>
      <c r="AC44" s="259">
        <f>$C44+(($D44-1)/12)</f>
        <v>104.41666666666667</v>
      </c>
      <c r="AD44" s="247">
        <f>($N$5+1)-($N$2/12)</f>
        <v>124.5</v>
      </c>
      <c r="AE44" s="259">
        <f>$I44+(($D44-1)/12)</f>
        <v>111.41666666666667</v>
      </c>
      <c r="AF44" s="247">
        <f>$N$4+($N$3/12)</f>
        <v>123.5</v>
      </c>
      <c r="AG44" s="258">
        <f>$J44+(($K44-1)/12)</f>
        <v>-8.3333333333333329E-2</v>
      </c>
    </row>
    <row r="45" spans="1:43">
      <c r="B45" s="289" t="s">
        <v>417</v>
      </c>
      <c r="C45" s="255">
        <v>118</v>
      </c>
      <c r="D45" s="255">
        <v>1</v>
      </c>
      <c r="E45" s="262">
        <v>0</v>
      </c>
      <c r="G45" s="265" t="s">
        <v>831</v>
      </c>
      <c r="H45" s="255">
        <v>3</v>
      </c>
      <c r="I45" s="247">
        <f>C45+H45</f>
        <v>121</v>
      </c>
      <c r="L45" s="286">
        <v>400</v>
      </c>
      <c r="N45" s="250">
        <f>L45-L45*E45</f>
        <v>400</v>
      </c>
      <c r="O45" s="250">
        <f>N45/H45/12</f>
        <v>11.111111111111112</v>
      </c>
      <c r="P45" s="250">
        <f>IF(M45&gt;0,0,IF(OR(AC45&gt;AD45,AE45&lt;AF45),0,IF(AND(AE45&gt;=AF45,AE45&lt;=AD45),O45*((AE45-AF45)*12),IF(AND(AF45&lt;=AC45,AD45&gt;=AC45),((AD45-AC45)*12)*O45,IF(AE45&gt;AD45,12*O45,0)))))</f>
        <v>0</v>
      </c>
      <c r="Q45" s="247">
        <f>IF(M45=0,0,IF(AND(AG45&gt;=AF45,AG45&lt;=AE45),((AG45-AF45)*12)*O45,0))</f>
        <v>0</v>
      </c>
      <c r="R45" s="250">
        <f>IF(Q45&gt;0,Q45,P45)</f>
        <v>0</v>
      </c>
      <c r="S45" s="260">
        <v>1</v>
      </c>
      <c r="T45" s="250">
        <f>S45*R45</f>
        <v>0</v>
      </c>
      <c r="V45" s="250">
        <f>IF(AC45&gt;AD45,0,IF(AE45&lt;AF45,N45,IF(AND(AE45&gt;=AF45,AE45&lt;=AD45),(N45-R45),IF(AND(AF45&lt;=AC45,AD45&gt;=AC45),0,IF(AE45&gt;AD45,((AF45-AC45)*12)*O45,0)))))</f>
        <v>400</v>
      </c>
      <c r="W45" s="250">
        <f>V45*S45</f>
        <v>400</v>
      </c>
      <c r="X45" s="260">
        <v>1</v>
      </c>
      <c r="Y45" s="250">
        <f>W45*X45</f>
        <v>400</v>
      </c>
      <c r="Z45" s="250">
        <f>IF(M45&gt;0,0,Y45+T45*X45)*X45</f>
        <v>400</v>
      </c>
      <c r="AA45" s="250">
        <f t="shared" si="33"/>
        <v>0</v>
      </c>
      <c r="AB45" s="250">
        <f>L45-Z45</f>
        <v>0</v>
      </c>
      <c r="AC45" s="259">
        <f>$C45+(($D45-1)/12)</f>
        <v>118</v>
      </c>
      <c r="AD45" s="247">
        <f>($N$5+1)-($N$2/12)</f>
        <v>124.5</v>
      </c>
      <c r="AE45" s="259">
        <f>$I45+(($D45-1)/12)</f>
        <v>121</v>
      </c>
      <c r="AF45" s="247">
        <f>$N$4+($N$3/12)</f>
        <v>123.5</v>
      </c>
      <c r="AG45" s="258">
        <f>$J45+(($K45-1)/12)</f>
        <v>-8.3333333333333329E-2</v>
      </c>
    </row>
    <row r="46" spans="1:43">
      <c r="B46" s="255" t="s">
        <v>418</v>
      </c>
      <c r="C46" s="255">
        <v>105</v>
      </c>
      <c r="D46" s="255">
        <v>2</v>
      </c>
      <c r="E46" s="262">
        <v>0</v>
      </c>
      <c r="G46" s="265" t="s">
        <v>831</v>
      </c>
      <c r="H46" s="255">
        <v>5</v>
      </c>
      <c r="I46" s="247">
        <f t="shared" ref="I46:I55" si="34">C46+H46</f>
        <v>110</v>
      </c>
      <c r="L46" s="286">
        <v>17331</v>
      </c>
      <c r="N46" s="250">
        <f t="shared" ref="N46:N55" si="35">L46-L46*E46</f>
        <v>17331</v>
      </c>
      <c r="O46" s="250">
        <f t="shared" ref="O46:O55" si="36">N46/H46/12</f>
        <v>288.84999999999997</v>
      </c>
      <c r="P46" s="250">
        <f t="shared" ref="P46:P61" si="37">IF(M46&gt;0,0,IF(OR(AC46&gt;AD46,AE46&lt;AF46),0,IF(AND(AE46&gt;=AF46,AE46&lt;=AD46),O46*((AE46-AF46)*12),IF(AND(AF46&lt;=AC46,AD46&gt;=AC46),((AD46-AC46)*12)*O46,IF(AE46&gt;AD46,12*O46,0)))))</f>
        <v>0</v>
      </c>
      <c r="Q46" s="247">
        <f t="shared" ref="Q46:Q55" si="38">IF(M46=0,0,IF(AND(AG46&gt;=AF46,AG46&lt;=AE46),((AG46-AF46)*12)*O46,0))</f>
        <v>0</v>
      </c>
      <c r="R46" s="250">
        <f t="shared" ref="R46:R55" si="39">IF(Q46&gt;0,Q46,P46)</f>
        <v>0</v>
      </c>
      <c r="S46" s="260">
        <v>1</v>
      </c>
      <c r="T46" s="250">
        <f t="shared" ref="T46:T53" si="40">S46*R46</f>
        <v>0</v>
      </c>
      <c r="V46" s="250">
        <f t="shared" ref="V46:V55" si="41">IF(AC46&gt;AD46,0,IF(AE46&lt;AF46,N46,IF(AND(AE46&gt;=AF46,AE46&lt;=AD46),(N46-R46),IF(AND(AF46&lt;=AC46,AD46&gt;=AC46),0,IF(AE46&gt;AD46,((AF46-AC46)*12)*O46,0)))))</f>
        <v>17331</v>
      </c>
      <c r="W46" s="250">
        <f t="shared" ref="W46:W55" si="42">V46*S46</f>
        <v>17331</v>
      </c>
      <c r="X46" s="260">
        <v>1</v>
      </c>
      <c r="Y46" s="250">
        <f t="shared" ref="Y46:Y55" si="43">W46*X46</f>
        <v>17331</v>
      </c>
      <c r="Z46" s="250">
        <f t="shared" ref="Z46:Z55" si="44">IF(M46&gt;0,0,Y46+T46*X46)*X46</f>
        <v>17331</v>
      </c>
      <c r="AA46" s="250">
        <f t="shared" si="33"/>
        <v>0</v>
      </c>
      <c r="AB46" s="250">
        <v>0</v>
      </c>
      <c r="AC46" s="259">
        <f t="shared" ref="AC46:AC61" si="45">$C46+(($D46-1)/12)</f>
        <v>105.08333333333333</v>
      </c>
      <c r="AD46" s="247">
        <f t="shared" si="5"/>
        <v>124.5</v>
      </c>
      <c r="AE46" s="259">
        <f t="shared" ref="AE46:AE61" si="46">$I46+(($D46-1)/12)</f>
        <v>110.08333333333333</v>
      </c>
      <c r="AF46" s="247">
        <f t="shared" si="7"/>
        <v>123.5</v>
      </c>
      <c r="AG46" s="258">
        <f t="shared" ref="AG46:AG61" si="47">$J46+(($K46-1)/12)</f>
        <v>-8.3333333333333329E-2</v>
      </c>
    </row>
    <row r="47" spans="1:43">
      <c r="B47" s="289" t="s">
        <v>419</v>
      </c>
      <c r="C47" s="255">
        <v>118</v>
      </c>
      <c r="D47" s="255">
        <v>1</v>
      </c>
      <c r="E47" s="262">
        <v>0</v>
      </c>
      <c r="G47" s="265" t="s">
        <v>831</v>
      </c>
      <c r="H47" s="255">
        <v>3</v>
      </c>
      <c r="I47" s="247">
        <f t="shared" si="34"/>
        <v>121</v>
      </c>
      <c r="L47" s="286">
        <v>8536.11</v>
      </c>
      <c r="N47" s="250">
        <f t="shared" si="35"/>
        <v>8536.11</v>
      </c>
      <c r="O47" s="250">
        <f t="shared" si="36"/>
        <v>237.1141666666667</v>
      </c>
      <c r="P47" s="250">
        <f t="shared" si="37"/>
        <v>0</v>
      </c>
      <c r="Q47" s="247">
        <f t="shared" si="38"/>
        <v>0</v>
      </c>
      <c r="R47" s="250">
        <f t="shared" si="39"/>
        <v>0</v>
      </c>
      <c r="S47" s="260">
        <v>1</v>
      </c>
      <c r="T47" s="250">
        <f t="shared" si="40"/>
        <v>0</v>
      </c>
      <c r="V47" s="250">
        <f t="shared" si="41"/>
        <v>8536.11</v>
      </c>
      <c r="W47" s="250">
        <f t="shared" si="42"/>
        <v>8536.11</v>
      </c>
      <c r="X47" s="260">
        <v>1</v>
      </c>
      <c r="Y47" s="250">
        <f t="shared" si="43"/>
        <v>8536.11</v>
      </c>
      <c r="Z47" s="250">
        <f t="shared" si="44"/>
        <v>8536.11</v>
      </c>
      <c r="AA47" s="250">
        <f t="shared" si="33"/>
        <v>0</v>
      </c>
      <c r="AB47" s="250">
        <f>L47-Z47</f>
        <v>0</v>
      </c>
      <c r="AC47" s="259">
        <f t="shared" si="45"/>
        <v>118</v>
      </c>
      <c r="AD47" s="247">
        <f t="shared" si="5"/>
        <v>124.5</v>
      </c>
      <c r="AE47" s="259">
        <f t="shared" si="46"/>
        <v>121</v>
      </c>
      <c r="AF47" s="247">
        <f t="shared" si="7"/>
        <v>123.5</v>
      </c>
      <c r="AG47" s="258">
        <f t="shared" si="47"/>
        <v>-8.3333333333333329E-2</v>
      </c>
    </row>
    <row r="48" spans="1:43">
      <c r="B48" s="255" t="s">
        <v>420</v>
      </c>
      <c r="C48" s="255">
        <v>108</v>
      </c>
      <c r="D48" s="255">
        <v>1</v>
      </c>
      <c r="E48" s="262">
        <v>0</v>
      </c>
      <c r="G48" s="265" t="s">
        <v>831</v>
      </c>
      <c r="H48" s="255">
        <v>7</v>
      </c>
      <c r="I48" s="247">
        <f t="shared" si="34"/>
        <v>115</v>
      </c>
      <c r="L48" s="286">
        <v>4000</v>
      </c>
      <c r="N48" s="250">
        <f t="shared" si="35"/>
        <v>4000</v>
      </c>
      <c r="O48" s="250">
        <f t="shared" si="36"/>
        <v>47.61904761904762</v>
      </c>
      <c r="P48" s="250">
        <f t="shared" si="37"/>
        <v>0</v>
      </c>
      <c r="Q48" s="247">
        <f t="shared" si="38"/>
        <v>0</v>
      </c>
      <c r="R48" s="250">
        <f t="shared" si="39"/>
        <v>0</v>
      </c>
      <c r="S48" s="260">
        <v>1</v>
      </c>
      <c r="T48" s="250">
        <f t="shared" si="40"/>
        <v>0</v>
      </c>
      <c r="V48" s="250">
        <f t="shared" si="41"/>
        <v>4000</v>
      </c>
      <c r="W48" s="250">
        <f t="shared" si="42"/>
        <v>4000</v>
      </c>
      <c r="X48" s="260">
        <v>1</v>
      </c>
      <c r="Y48" s="250">
        <f t="shared" si="43"/>
        <v>4000</v>
      </c>
      <c r="Z48" s="250">
        <f t="shared" si="44"/>
        <v>4000</v>
      </c>
      <c r="AA48" s="250">
        <f t="shared" si="33"/>
        <v>0</v>
      </c>
      <c r="AB48" s="250">
        <v>0</v>
      </c>
      <c r="AC48" s="259">
        <f t="shared" si="45"/>
        <v>108</v>
      </c>
      <c r="AD48" s="247">
        <f t="shared" si="5"/>
        <v>124.5</v>
      </c>
      <c r="AE48" s="259">
        <f t="shared" si="46"/>
        <v>115</v>
      </c>
      <c r="AF48" s="247">
        <f t="shared" si="7"/>
        <v>123.5</v>
      </c>
      <c r="AG48" s="258">
        <f t="shared" si="47"/>
        <v>-8.3333333333333329E-2</v>
      </c>
    </row>
    <row r="49" spans="2:177">
      <c r="B49" s="289" t="s">
        <v>421</v>
      </c>
      <c r="C49" s="255">
        <v>118</v>
      </c>
      <c r="D49" s="255">
        <v>1</v>
      </c>
      <c r="E49" s="262">
        <v>0</v>
      </c>
      <c r="G49" s="265" t="s">
        <v>831</v>
      </c>
      <c r="H49" s="255">
        <v>3</v>
      </c>
      <c r="I49" s="247">
        <f t="shared" si="34"/>
        <v>121</v>
      </c>
      <c r="L49" s="286">
        <v>1000</v>
      </c>
      <c r="N49" s="250">
        <f t="shared" si="35"/>
        <v>1000</v>
      </c>
      <c r="O49" s="250">
        <f t="shared" si="36"/>
        <v>27.777777777777775</v>
      </c>
      <c r="P49" s="250">
        <f t="shared" si="37"/>
        <v>0</v>
      </c>
      <c r="Q49" s="247">
        <f t="shared" si="38"/>
        <v>0</v>
      </c>
      <c r="R49" s="250">
        <f t="shared" si="39"/>
        <v>0</v>
      </c>
      <c r="S49" s="260">
        <v>1</v>
      </c>
      <c r="T49" s="250">
        <f t="shared" si="40"/>
        <v>0</v>
      </c>
      <c r="V49" s="250">
        <f t="shared" si="41"/>
        <v>1000</v>
      </c>
      <c r="W49" s="250">
        <f t="shared" si="42"/>
        <v>1000</v>
      </c>
      <c r="X49" s="260">
        <v>1</v>
      </c>
      <c r="Y49" s="250">
        <f t="shared" si="43"/>
        <v>1000</v>
      </c>
      <c r="Z49" s="250">
        <f t="shared" si="44"/>
        <v>1000</v>
      </c>
      <c r="AA49" s="250">
        <f t="shared" si="33"/>
        <v>0</v>
      </c>
      <c r="AB49" s="250">
        <f>L49-Z49</f>
        <v>0</v>
      </c>
      <c r="AC49" s="259">
        <f t="shared" si="45"/>
        <v>118</v>
      </c>
      <c r="AD49" s="247">
        <f t="shared" si="5"/>
        <v>124.5</v>
      </c>
      <c r="AE49" s="259">
        <f t="shared" si="46"/>
        <v>121</v>
      </c>
      <c r="AF49" s="247">
        <f t="shared" si="7"/>
        <v>123.5</v>
      </c>
      <c r="AG49" s="258">
        <f t="shared" si="47"/>
        <v>-8.3333333333333329E-2</v>
      </c>
    </row>
    <row r="50" spans="2:177">
      <c r="B50" s="255" t="s">
        <v>422</v>
      </c>
      <c r="C50" s="255">
        <v>108</v>
      </c>
      <c r="D50" s="255">
        <v>1</v>
      </c>
      <c r="E50" s="262">
        <v>0</v>
      </c>
      <c r="G50" s="265" t="s">
        <v>831</v>
      </c>
      <c r="H50" s="255">
        <v>7</v>
      </c>
      <c r="I50" s="247">
        <f t="shared" si="34"/>
        <v>115</v>
      </c>
      <c r="L50" s="286">
        <v>2400</v>
      </c>
      <c r="N50" s="250">
        <f t="shared" si="35"/>
        <v>2400</v>
      </c>
      <c r="O50" s="250">
        <f t="shared" si="36"/>
        <v>28.571428571428569</v>
      </c>
      <c r="P50" s="250">
        <f t="shared" si="37"/>
        <v>0</v>
      </c>
      <c r="Q50" s="247">
        <f t="shared" si="38"/>
        <v>0</v>
      </c>
      <c r="R50" s="250">
        <f t="shared" si="39"/>
        <v>0</v>
      </c>
      <c r="S50" s="260">
        <v>1</v>
      </c>
      <c r="T50" s="250">
        <f t="shared" si="40"/>
        <v>0</v>
      </c>
      <c r="V50" s="250">
        <f t="shared" si="41"/>
        <v>2400</v>
      </c>
      <c r="W50" s="250">
        <f t="shared" si="42"/>
        <v>2400</v>
      </c>
      <c r="X50" s="260">
        <v>1</v>
      </c>
      <c r="Y50" s="250">
        <f t="shared" si="43"/>
        <v>2400</v>
      </c>
      <c r="Z50" s="250">
        <f t="shared" si="44"/>
        <v>2400</v>
      </c>
      <c r="AA50" s="250">
        <f t="shared" si="33"/>
        <v>0</v>
      </c>
      <c r="AB50" s="250">
        <v>0</v>
      </c>
      <c r="AC50" s="259">
        <f t="shared" si="45"/>
        <v>108</v>
      </c>
      <c r="AD50" s="247">
        <f t="shared" si="5"/>
        <v>124.5</v>
      </c>
      <c r="AE50" s="259">
        <f t="shared" si="46"/>
        <v>115</v>
      </c>
      <c r="AF50" s="247">
        <f t="shared" si="7"/>
        <v>123.5</v>
      </c>
      <c r="AG50" s="258">
        <f t="shared" si="47"/>
        <v>-8.3333333333333329E-2</v>
      </c>
    </row>
    <row r="51" spans="2:177">
      <c r="B51" s="289" t="s">
        <v>423</v>
      </c>
      <c r="C51" s="255">
        <v>118</v>
      </c>
      <c r="D51" s="255">
        <v>1</v>
      </c>
      <c r="E51" s="262">
        <v>0</v>
      </c>
      <c r="G51" s="265" t="s">
        <v>831</v>
      </c>
      <c r="H51" s="255">
        <v>3</v>
      </c>
      <c r="I51" s="247">
        <f t="shared" si="34"/>
        <v>121</v>
      </c>
      <c r="L51" s="286">
        <v>600</v>
      </c>
      <c r="N51" s="250">
        <f t="shared" si="35"/>
        <v>600</v>
      </c>
      <c r="O51" s="250">
        <f t="shared" si="36"/>
        <v>16.666666666666668</v>
      </c>
      <c r="P51" s="250">
        <f t="shared" si="37"/>
        <v>0</v>
      </c>
      <c r="Q51" s="247">
        <f t="shared" si="38"/>
        <v>0</v>
      </c>
      <c r="R51" s="250">
        <f t="shared" si="39"/>
        <v>0</v>
      </c>
      <c r="S51" s="260">
        <v>1</v>
      </c>
      <c r="T51" s="250">
        <f t="shared" si="40"/>
        <v>0</v>
      </c>
      <c r="V51" s="250">
        <f t="shared" si="41"/>
        <v>600</v>
      </c>
      <c r="W51" s="250">
        <f t="shared" si="42"/>
        <v>600</v>
      </c>
      <c r="X51" s="260">
        <v>1</v>
      </c>
      <c r="Y51" s="250">
        <f t="shared" si="43"/>
        <v>600</v>
      </c>
      <c r="Z51" s="250">
        <f t="shared" si="44"/>
        <v>600</v>
      </c>
      <c r="AA51" s="250">
        <f t="shared" si="33"/>
        <v>0</v>
      </c>
      <c r="AB51" s="250">
        <f>L51-Z51</f>
        <v>0</v>
      </c>
      <c r="AC51" s="259">
        <f t="shared" si="45"/>
        <v>118</v>
      </c>
      <c r="AD51" s="247">
        <f t="shared" si="5"/>
        <v>124.5</v>
      </c>
      <c r="AE51" s="259">
        <f t="shared" si="46"/>
        <v>121</v>
      </c>
      <c r="AF51" s="247">
        <f t="shared" si="7"/>
        <v>123.5</v>
      </c>
      <c r="AG51" s="258">
        <f t="shared" si="47"/>
        <v>-8.3333333333333329E-2</v>
      </c>
    </row>
    <row r="52" spans="2:177">
      <c r="B52" s="255" t="s">
        <v>416</v>
      </c>
      <c r="C52" s="255">
        <v>109</v>
      </c>
      <c r="D52" s="255">
        <v>8</v>
      </c>
      <c r="E52" s="262">
        <v>0</v>
      </c>
      <c r="G52" s="265" t="s">
        <v>831</v>
      </c>
      <c r="H52" s="255">
        <v>5</v>
      </c>
      <c r="I52" s="247">
        <f t="shared" si="34"/>
        <v>114</v>
      </c>
      <c r="L52" s="286">
        <v>1158</v>
      </c>
      <c r="N52" s="250">
        <f t="shared" si="35"/>
        <v>1158</v>
      </c>
      <c r="O52" s="250">
        <f t="shared" si="36"/>
        <v>19.3</v>
      </c>
      <c r="P52" s="250">
        <f t="shared" si="37"/>
        <v>0</v>
      </c>
      <c r="Q52" s="247">
        <f t="shared" si="38"/>
        <v>0</v>
      </c>
      <c r="R52" s="250">
        <f t="shared" si="39"/>
        <v>0</v>
      </c>
      <c r="S52" s="260">
        <v>1</v>
      </c>
      <c r="T52" s="250">
        <f t="shared" si="40"/>
        <v>0</v>
      </c>
      <c r="V52" s="250">
        <f t="shared" si="41"/>
        <v>1158</v>
      </c>
      <c r="W52" s="250">
        <f t="shared" si="42"/>
        <v>1158</v>
      </c>
      <c r="X52" s="260">
        <v>1</v>
      </c>
      <c r="Y52" s="250">
        <f t="shared" si="43"/>
        <v>1158</v>
      </c>
      <c r="Z52" s="250">
        <f t="shared" si="44"/>
        <v>1158</v>
      </c>
      <c r="AA52" s="250">
        <f t="shared" si="33"/>
        <v>0</v>
      </c>
      <c r="AB52" s="250">
        <v>0</v>
      </c>
      <c r="AC52" s="259">
        <f t="shared" si="45"/>
        <v>109.58333333333333</v>
      </c>
      <c r="AD52" s="247">
        <f t="shared" si="5"/>
        <v>124.5</v>
      </c>
      <c r="AE52" s="259">
        <f t="shared" si="46"/>
        <v>114.58333333333333</v>
      </c>
      <c r="AF52" s="247">
        <f t="shared" si="7"/>
        <v>123.5</v>
      </c>
      <c r="AG52" s="258">
        <f t="shared" si="47"/>
        <v>-8.3333333333333329E-2</v>
      </c>
    </row>
    <row r="53" spans="2:177">
      <c r="B53" s="289" t="s">
        <v>417</v>
      </c>
      <c r="C53" s="255">
        <v>118</v>
      </c>
      <c r="D53" s="255">
        <v>1</v>
      </c>
      <c r="E53" s="262">
        <v>0</v>
      </c>
      <c r="G53" s="265" t="s">
        <v>831</v>
      </c>
      <c r="H53" s="255">
        <v>3</v>
      </c>
      <c r="I53" s="247">
        <f t="shared" si="34"/>
        <v>121</v>
      </c>
      <c r="L53" s="286">
        <v>570.24</v>
      </c>
      <c r="N53" s="250">
        <f t="shared" si="35"/>
        <v>570.24</v>
      </c>
      <c r="O53" s="250">
        <f t="shared" si="36"/>
        <v>15.840000000000002</v>
      </c>
      <c r="P53" s="250">
        <f t="shared" si="37"/>
        <v>0</v>
      </c>
      <c r="Q53" s="247">
        <f t="shared" si="38"/>
        <v>0</v>
      </c>
      <c r="R53" s="250">
        <f t="shared" si="39"/>
        <v>0</v>
      </c>
      <c r="S53" s="260">
        <v>1</v>
      </c>
      <c r="T53" s="250">
        <f t="shared" si="40"/>
        <v>0</v>
      </c>
      <c r="V53" s="250">
        <f t="shared" si="41"/>
        <v>570.24</v>
      </c>
      <c r="W53" s="250">
        <f t="shared" si="42"/>
        <v>570.24</v>
      </c>
      <c r="X53" s="260">
        <v>1</v>
      </c>
      <c r="Y53" s="250">
        <f t="shared" si="43"/>
        <v>570.24</v>
      </c>
      <c r="Z53" s="250">
        <f t="shared" si="44"/>
        <v>570.24</v>
      </c>
      <c r="AA53" s="250">
        <f t="shared" si="33"/>
        <v>0</v>
      </c>
      <c r="AB53" s="250">
        <f>L53-Z53</f>
        <v>0</v>
      </c>
      <c r="AC53" s="259">
        <f t="shared" si="45"/>
        <v>118</v>
      </c>
      <c r="AD53" s="247">
        <f t="shared" si="5"/>
        <v>124.5</v>
      </c>
      <c r="AE53" s="259">
        <f t="shared" si="46"/>
        <v>121</v>
      </c>
      <c r="AF53" s="247">
        <f t="shared" si="7"/>
        <v>123.5</v>
      </c>
      <c r="AG53" s="258">
        <f t="shared" si="47"/>
        <v>-8.3333333333333329E-2</v>
      </c>
    </row>
    <row r="54" spans="2:177">
      <c r="B54" s="724" t="s">
        <v>424</v>
      </c>
      <c r="C54" s="724">
        <v>116</v>
      </c>
      <c r="D54" s="724">
        <v>9</v>
      </c>
      <c r="E54" s="725">
        <v>0</v>
      </c>
      <c r="F54" s="726"/>
      <c r="G54" s="727" t="s">
        <v>831</v>
      </c>
      <c r="H54" s="724">
        <v>5</v>
      </c>
      <c r="I54" s="726">
        <f t="shared" si="34"/>
        <v>121</v>
      </c>
      <c r="J54" s="726">
        <v>123</v>
      </c>
      <c r="K54" s="726">
        <v>11</v>
      </c>
      <c r="L54" s="728">
        <v>61488</v>
      </c>
      <c r="M54" s="726"/>
      <c r="N54" s="730">
        <f t="shared" si="35"/>
        <v>61488</v>
      </c>
      <c r="O54" s="730">
        <f t="shared" si="36"/>
        <v>1024.8</v>
      </c>
      <c r="P54" s="730">
        <f t="shared" si="37"/>
        <v>0</v>
      </c>
      <c r="Q54" s="726">
        <f t="shared" si="38"/>
        <v>0</v>
      </c>
      <c r="R54" s="730">
        <f t="shared" si="39"/>
        <v>0</v>
      </c>
      <c r="S54" s="731">
        <v>1</v>
      </c>
      <c r="T54" s="730">
        <f t="shared" ref="T54:T61" si="48">S54*SUM(P54:Q54)</f>
        <v>0</v>
      </c>
      <c r="U54" s="726"/>
      <c r="V54" s="730">
        <f t="shared" si="41"/>
        <v>61488</v>
      </c>
      <c r="W54" s="730">
        <v>0</v>
      </c>
      <c r="X54" s="731">
        <v>1</v>
      </c>
      <c r="Y54" s="730">
        <v>61488</v>
      </c>
      <c r="Z54" s="730">
        <v>0</v>
      </c>
      <c r="AA54" s="730">
        <v>0</v>
      </c>
      <c r="AB54" s="730">
        <v>0</v>
      </c>
      <c r="AC54" s="732">
        <f t="shared" si="45"/>
        <v>116.66666666666667</v>
      </c>
      <c r="AD54" s="726">
        <f t="shared" si="5"/>
        <v>124.5</v>
      </c>
      <c r="AE54" s="732">
        <f t="shared" si="46"/>
        <v>121.66666666666667</v>
      </c>
      <c r="AF54" s="726">
        <f t="shared" si="7"/>
        <v>123.5</v>
      </c>
      <c r="AG54" s="733">
        <f t="shared" si="47"/>
        <v>123.83333333333333</v>
      </c>
      <c r="AH54" s="729">
        <v>45251</v>
      </c>
      <c r="AI54" s="734">
        <v>36000</v>
      </c>
      <c r="AJ54" s="734">
        <f>+L54</f>
        <v>61488</v>
      </c>
      <c r="AK54" s="734">
        <v>61488</v>
      </c>
      <c r="AL54" s="734">
        <f>+AI54-(AJ54-AK54)</f>
        <v>36000</v>
      </c>
      <c r="AM54" s="272">
        <v>45251</v>
      </c>
      <c r="AN54" s="473">
        <v>36000</v>
      </c>
      <c r="AO54" s="473">
        <v>61488</v>
      </c>
      <c r="AP54" s="473">
        <v>61488</v>
      </c>
      <c r="AQ54" s="306">
        <f>AN54-(AO54-AP54)</f>
        <v>36000</v>
      </c>
      <c r="AR54" s="308">
        <f>AQ54/7/12</f>
        <v>428.57142857142861</v>
      </c>
      <c r="AS54" s="474"/>
      <c r="AT54" s="307"/>
      <c r="AU54" s="307"/>
      <c r="AV54" s="307"/>
      <c r="AW54" s="307"/>
      <c r="AX54" s="307"/>
      <c r="AY54" s="307">
        <v>429</v>
      </c>
      <c r="AZ54" s="307">
        <f>+AQ54-AY54</f>
        <v>35571</v>
      </c>
      <c r="BA54" s="306">
        <f>+AR54*12</f>
        <v>5142.8571428571431</v>
      </c>
      <c r="BB54" s="306">
        <f>+AZ54-BA54</f>
        <v>30428.142857142855</v>
      </c>
      <c r="BC54" s="307">
        <f>+AY54+(AR54*6)</f>
        <v>3000.4285714285716</v>
      </c>
      <c r="BD54" s="307">
        <f>+AZ54-(BA54/2)</f>
        <v>32999.571428571428</v>
      </c>
    </row>
    <row r="55" spans="2:177">
      <c r="B55" s="255" t="s">
        <v>425</v>
      </c>
      <c r="C55" s="255">
        <v>119</v>
      </c>
      <c r="D55" s="255">
        <v>3</v>
      </c>
      <c r="E55" s="262">
        <v>0</v>
      </c>
      <c r="G55" s="265" t="s">
        <v>831</v>
      </c>
      <c r="H55" s="255">
        <v>7</v>
      </c>
      <c r="I55" s="247">
        <f t="shared" si="34"/>
        <v>126</v>
      </c>
      <c r="L55" s="286">
        <f>63853</f>
        <v>63853</v>
      </c>
      <c r="N55" s="250">
        <f t="shared" si="35"/>
        <v>63853</v>
      </c>
      <c r="O55" s="250">
        <f t="shared" si="36"/>
        <v>760.15476190476193</v>
      </c>
      <c r="P55" s="250">
        <f t="shared" si="37"/>
        <v>9121.8571428571431</v>
      </c>
      <c r="Q55" s="247">
        <f t="shared" si="38"/>
        <v>0</v>
      </c>
      <c r="R55" s="250">
        <f t="shared" si="39"/>
        <v>9121.8571428571431</v>
      </c>
      <c r="S55" s="260">
        <v>1</v>
      </c>
      <c r="T55" s="250">
        <f t="shared" si="48"/>
        <v>9121.8571428571431</v>
      </c>
      <c r="V55" s="250">
        <f t="shared" si="41"/>
        <v>39528.047619047575</v>
      </c>
      <c r="W55" s="250">
        <f t="shared" si="42"/>
        <v>39528.047619047575</v>
      </c>
      <c r="X55" s="260">
        <v>1</v>
      </c>
      <c r="Y55" s="250">
        <f t="shared" si="43"/>
        <v>39528.047619047575</v>
      </c>
      <c r="Z55" s="250">
        <f t="shared" si="44"/>
        <v>48649.90476190472</v>
      </c>
      <c r="AA55" s="250">
        <f t="shared" si="33"/>
        <v>19764.023809523853</v>
      </c>
      <c r="AB55" s="250">
        <f>L55-Z55</f>
        <v>15203.09523809528</v>
      </c>
      <c r="AC55" s="259">
        <f t="shared" si="45"/>
        <v>119.16666666666667</v>
      </c>
      <c r="AD55" s="247">
        <f t="shared" si="5"/>
        <v>124.5</v>
      </c>
      <c r="AE55" s="259">
        <f t="shared" si="46"/>
        <v>126.16666666666667</v>
      </c>
      <c r="AF55" s="247">
        <f t="shared" si="7"/>
        <v>123.5</v>
      </c>
      <c r="AG55" s="258">
        <f t="shared" si="47"/>
        <v>-8.3333333333333329E-2</v>
      </c>
      <c r="AI55" s="751"/>
      <c r="AJ55" s="751"/>
      <c r="AK55" s="751"/>
      <c r="AL55" s="751"/>
      <c r="AM55" s="751"/>
      <c r="AN55" s="751"/>
      <c r="AO55" s="751"/>
      <c r="AP55" s="751"/>
      <c r="AQ55" s="751"/>
    </row>
    <row r="56" spans="2:177" s="526" customFormat="1">
      <c r="B56" s="513" t="s">
        <v>426</v>
      </c>
      <c r="C56" s="513">
        <v>119</v>
      </c>
      <c r="D56" s="513">
        <v>4</v>
      </c>
      <c r="E56" s="498">
        <v>0</v>
      </c>
      <c r="F56" s="472"/>
      <c r="G56" s="753" t="s">
        <v>831</v>
      </c>
      <c r="H56" s="513">
        <v>7</v>
      </c>
      <c r="I56" s="472">
        <f t="shared" ref="I56:I61" si="49">C56+H56</f>
        <v>126</v>
      </c>
      <c r="J56" s="472"/>
      <c r="K56" s="472"/>
      <c r="L56" s="754">
        <v>3079</v>
      </c>
      <c r="M56" s="472"/>
      <c r="N56" s="755">
        <f t="shared" ref="N56:N61" si="50">L56-L56*E56</f>
        <v>3079</v>
      </c>
      <c r="O56" s="755">
        <f t="shared" ref="O56:O61" si="51">N56/H56/12</f>
        <v>36.654761904761905</v>
      </c>
      <c r="P56" s="755">
        <f t="shared" si="37"/>
        <v>439.85714285714289</v>
      </c>
      <c r="Q56" s="472">
        <f t="shared" ref="Q56:Q61" si="52">IF(M56=0,0,IF(AND(AG56&gt;=AF56,AG56&lt;=AE56),((AG56-AF56)*12)*O56,0))</f>
        <v>0</v>
      </c>
      <c r="R56" s="755">
        <f t="shared" ref="R56:R61" si="53">IF(Q56&gt;0,Q56,P56)</f>
        <v>439.85714285714289</v>
      </c>
      <c r="S56" s="756">
        <v>1</v>
      </c>
      <c r="T56" s="755">
        <f t="shared" si="48"/>
        <v>439.85714285714289</v>
      </c>
      <c r="U56" s="472"/>
      <c r="V56" s="755">
        <f t="shared" ref="V56:V61" si="54">IF(AC56&gt;AD56,0,IF(AE56&lt;AF56,N56,IF(AND(AE56&gt;=AF56,AE56&lt;=AD56),(N56-R56),IF(AND(AF56&lt;=AC56,AD56&gt;=AC56),0,IF(AE56&gt;AD56,((AF56-AC56)*12)*O56,0)))))</f>
        <v>1869.3928571428571</v>
      </c>
      <c r="W56" s="755">
        <f>V56*S56</f>
        <v>1869.3928571428571</v>
      </c>
      <c r="X56" s="756">
        <v>1</v>
      </c>
      <c r="Y56" s="755">
        <f>W56*X56</f>
        <v>1869.3928571428571</v>
      </c>
      <c r="Z56" s="755">
        <f>IF(M56&gt;0,0,Y56+T56*X56)*X56</f>
        <v>2309.25</v>
      </c>
      <c r="AA56" s="755">
        <f t="shared" si="33"/>
        <v>989.67857142857144</v>
      </c>
      <c r="AB56" s="755">
        <f>L56-Z56</f>
        <v>769.75</v>
      </c>
      <c r="AC56" s="757">
        <f t="shared" si="45"/>
        <v>119.25</v>
      </c>
      <c r="AD56" s="472">
        <f t="shared" si="5"/>
        <v>124.5</v>
      </c>
      <c r="AE56" s="757">
        <f t="shared" si="46"/>
        <v>126.25</v>
      </c>
      <c r="AF56" s="472">
        <f t="shared" si="7"/>
        <v>123.5</v>
      </c>
      <c r="AG56" s="758">
        <f t="shared" si="47"/>
        <v>-8.3333333333333329E-2</v>
      </c>
      <c r="AH56" s="472"/>
      <c r="AI56" s="759"/>
      <c r="AJ56" s="759"/>
      <c r="AK56" s="759"/>
      <c r="AL56" s="759"/>
      <c r="AM56" s="759"/>
      <c r="AN56" s="759"/>
      <c r="AO56" s="759"/>
      <c r="AP56" s="759"/>
      <c r="AQ56" s="759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472"/>
      <c r="BT56" s="472"/>
      <c r="BU56" s="472"/>
      <c r="BV56" s="472"/>
      <c r="BW56" s="472"/>
      <c r="BX56" s="472"/>
      <c r="BY56" s="472"/>
      <c r="BZ56" s="472"/>
      <c r="CA56" s="472"/>
      <c r="CB56" s="472"/>
      <c r="CC56" s="472"/>
      <c r="CD56" s="472"/>
      <c r="CE56" s="472"/>
      <c r="CF56" s="472"/>
      <c r="CG56" s="472"/>
      <c r="CH56" s="472"/>
      <c r="CI56" s="472"/>
      <c r="CJ56" s="472"/>
      <c r="CK56" s="472"/>
      <c r="CL56" s="472"/>
      <c r="CM56" s="472"/>
      <c r="CN56" s="472"/>
      <c r="CO56" s="472"/>
      <c r="CP56" s="472"/>
      <c r="CQ56" s="472"/>
      <c r="CR56" s="472"/>
      <c r="CS56" s="472"/>
      <c r="CT56" s="472"/>
      <c r="CU56" s="472"/>
      <c r="CV56" s="472"/>
      <c r="CW56" s="472"/>
      <c r="CX56" s="472"/>
      <c r="CY56" s="472"/>
      <c r="CZ56" s="472"/>
      <c r="DA56" s="472"/>
      <c r="DB56" s="472"/>
      <c r="DC56" s="472"/>
      <c r="DD56" s="472"/>
      <c r="DE56" s="472"/>
      <c r="DF56" s="472"/>
      <c r="DG56" s="472"/>
      <c r="DH56" s="472"/>
      <c r="DI56" s="472"/>
      <c r="DJ56" s="472"/>
      <c r="DK56" s="472"/>
      <c r="DL56" s="472"/>
      <c r="DM56" s="472"/>
      <c r="DN56" s="472"/>
      <c r="DO56" s="472"/>
      <c r="DP56" s="472"/>
      <c r="DQ56" s="472"/>
      <c r="DR56" s="472"/>
      <c r="DS56" s="472"/>
      <c r="DT56" s="472"/>
      <c r="DU56" s="472"/>
      <c r="DV56" s="472"/>
      <c r="DW56" s="472"/>
      <c r="DX56" s="472"/>
      <c r="DY56" s="472"/>
      <c r="DZ56" s="472"/>
      <c r="EA56" s="472"/>
      <c r="EB56" s="472"/>
      <c r="EC56" s="472"/>
      <c r="ED56" s="472"/>
      <c r="EE56" s="472"/>
      <c r="EF56" s="472"/>
      <c r="EG56" s="472"/>
      <c r="EH56" s="472"/>
      <c r="EI56" s="472"/>
      <c r="EJ56" s="472"/>
      <c r="EK56" s="472"/>
      <c r="EL56" s="472"/>
      <c r="EM56" s="472"/>
      <c r="EN56" s="472"/>
      <c r="EO56" s="472"/>
      <c r="EP56" s="472"/>
      <c r="EQ56" s="472"/>
      <c r="ER56" s="472"/>
      <c r="ES56" s="472"/>
      <c r="ET56" s="472"/>
      <c r="EU56" s="472"/>
      <c r="EV56" s="472"/>
      <c r="EW56" s="472"/>
      <c r="EX56" s="472"/>
      <c r="EY56" s="472"/>
      <c r="EZ56" s="472"/>
      <c r="FA56" s="472"/>
      <c r="FB56" s="472"/>
      <c r="FC56" s="472"/>
      <c r="FD56" s="472"/>
      <c r="FE56" s="472"/>
      <c r="FF56" s="472"/>
      <c r="FG56" s="472"/>
      <c r="FH56" s="472"/>
      <c r="FI56" s="472"/>
      <c r="FJ56" s="472"/>
      <c r="FK56" s="472"/>
      <c r="FL56" s="472"/>
      <c r="FM56" s="472"/>
      <c r="FN56" s="472"/>
      <c r="FO56" s="472"/>
      <c r="FP56" s="472"/>
      <c r="FQ56" s="472"/>
      <c r="FR56" s="472"/>
      <c r="FS56" s="472"/>
      <c r="FT56" s="472"/>
      <c r="FU56" s="472"/>
    </row>
    <row r="57" spans="2:177" s="526" customFormat="1">
      <c r="B57" s="513" t="s">
        <v>427</v>
      </c>
      <c r="C57" s="513">
        <v>120</v>
      </c>
      <c r="D57" s="513">
        <v>3</v>
      </c>
      <c r="E57" s="498">
        <v>0</v>
      </c>
      <c r="F57" s="472"/>
      <c r="G57" s="753" t="s">
        <v>831</v>
      </c>
      <c r="H57" s="513">
        <v>7</v>
      </c>
      <c r="I57" s="472">
        <f t="shared" si="49"/>
        <v>127</v>
      </c>
      <c r="J57" s="472"/>
      <c r="K57" s="472"/>
      <c r="L57" s="754">
        <v>1959</v>
      </c>
      <c r="M57" s="472"/>
      <c r="N57" s="755">
        <f t="shared" si="50"/>
        <v>1959</v>
      </c>
      <c r="O57" s="755">
        <f t="shared" si="51"/>
        <v>23.321428571428569</v>
      </c>
      <c r="P57" s="755">
        <f>IF(M57&gt;0,0,IF(OR(AC57&gt;AD57,AE57&lt;AF57),0,IF(AND(AE57&gt;=AF57,AE57&lt;=AD57),O57*((AE57-AF57)*12),IF(AND(AF57&lt;=AC57,AD57&gt;=AC57),((AD57-AC57)*12)*O57,IF(AE57&gt;AD57,12*O57,0)))))</f>
        <v>279.85714285714283</v>
      </c>
      <c r="Q57" s="472">
        <f t="shared" si="52"/>
        <v>0</v>
      </c>
      <c r="R57" s="755">
        <f t="shared" si="53"/>
        <v>279.85714285714283</v>
      </c>
      <c r="S57" s="756">
        <v>1</v>
      </c>
      <c r="T57" s="755">
        <f t="shared" si="48"/>
        <v>279.85714285714283</v>
      </c>
      <c r="U57" s="472"/>
      <c r="V57" s="755">
        <f t="shared" si="54"/>
        <v>932.85714285714141</v>
      </c>
      <c r="W57" s="755">
        <f>V57*S57</f>
        <v>932.85714285714141</v>
      </c>
      <c r="X57" s="756">
        <v>1</v>
      </c>
      <c r="Y57" s="755">
        <f>W57*X57</f>
        <v>932.85714285714141</v>
      </c>
      <c r="Z57" s="755">
        <f>IF(M57&gt;0,0,Y57+T57*X57)*X57</f>
        <v>1212.7142857142842</v>
      </c>
      <c r="AA57" s="755">
        <f t="shared" si="33"/>
        <v>886.21428571428726</v>
      </c>
      <c r="AB57" s="755">
        <f>L57-Z57</f>
        <v>746.28571428571581</v>
      </c>
      <c r="AC57" s="757">
        <f t="shared" si="45"/>
        <v>120.16666666666667</v>
      </c>
      <c r="AD57" s="472">
        <f t="shared" si="5"/>
        <v>124.5</v>
      </c>
      <c r="AE57" s="757">
        <f t="shared" si="46"/>
        <v>127.16666666666667</v>
      </c>
      <c r="AF57" s="472">
        <f t="shared" si="7"/>
        <v>123.5</v>
      </c>
      <c r="AG57" s="758">
        <f t="shared" si="47"/>
        <v>-8.3333333333333329E-2</v>
      </c>
      <c r="AH57" s="472"/>
      <c r="AI57" s="759"/>
      <c r="AJ57" s="759"/>
      <c r="AK57" s="759"/>
      <c r="AL57" s="759"/>
      <c r="AM57" s="759"/>
      <c r="AN57" s="759"/>
      <c r="AO57" s="759"/>
      <c r="AP57" s="759"/>
      <c r="AQ57" s="759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472"/>
      <c r="BJ57" s="472"/>
      <c r="BK57" s="472"/>
      <c r="BL57" s="472"/>
      <c r="BM57" s="472"/>
      <c r="BN57" s="472"/>
      <c r="BO57" s="472"/>
      <c r="BP57" s="472"/>
      <c r="BQ57" s="472"/>
      <c r="BR57" s="472"/>
      <c r="BS57" s="472"/>
      <c r="BT57" s="472"/>
      <c r="BU57" s="472"/>
      <c r="BV57" s="472"/>
      <c r="BW57" s="472"/>
      <c r="BX57" s="472"/>
      <c r="BY57" s="472"/>
      <c r="BZ57" s="472"/>
      <c r="CA57" s="472"/>
      <c r="CB57" s="472"/>
      <c r="CC57" s="472"/>
      <c r="CD57" s="472"/>
      <c r="CE57" s="472"/>
      <c r="CF57" s="472"/>
      <c r="CG57" s="472"/>
      <c r="CH57" s="472"/>
      <c r="CI57" s="472"/>
      <c r="CJ57" s="472"/>
      <c r="CK57" s="472"/>
      <c r="CL57" s="472"/>
      <c r="CM57" s="472"/>
      <c r="CN57" s="472"/>
      <c r="CO57" s="472"/>
      <c r="CP57" s="472"/>
      <c r="CQ57" s="472"/>
      <c r="CR57" s="472"/>
      <c r="CS57" s="472"/>
      <c r="CT57" s="472"/>
      <c r="CU57" s="472"/>
      <c r="CV57" s="472"/>
      <c r="CW57" s="472"/>
      <c r="CX57" s="472"/>
      <c r="CY57" s="472"/>
      <c r="CZ57" s="472"/>
      <c r="DA57" s="472"/>
      <c r="DB57" s="472"/>
      <c r="DC57" s="472"/>
      <c r="DD57" s="472"/>
      <c r="DE57" s="472"/>
      <c r="DF57" s="472"/>
      <c r="DG57" s="472"/>
      <c r="DH57" s="472"/>
      <c r="DI57" s="472"/>
      <c r="DJ57" s="472"/>
      <c r="DK57" s="472"/>
      <c r="DL57" s="472"/>
      <c r="DM57" s="472"/>
      <c r="DN57" s="472"/>
      <c r="DO57" s="472"/>
      <c r="DP57" s="472"/>
      <c r="DQ57" s="472"/>
      <c r="DR57" s="472"/>
      <c r="DS57" s="472"/>
      <c r="DT57" s="472"/>
      <c r="DU57" s="472"/>
      <c r="DV57" s="472"/>
      <c r="DW57" s="472"/>
      <c r="DX57" s="472"/>
      <c r="DY57" s="472"/>
      <c r="DZ57" s="472"/>
      <c r="EA57" s="472"/>
      <c r="EB57" s="472"/>
      <c r="EC57" s="472"/>
      <c r="ED57" s="472"/>
      <c r="EE57" s="472"/>
      <c r="EF57" s="472"/>
      <c r="EG57" s="472"/>
      <c r="EH57" s="472"/>
      <c r="EI57" s="472"/>
      <c r="EJ57" s="472"/>
      <c r="EK57" s="472"/>
      <c r="EL57" s="472"/>
      <c r="EM57" s="472"/>
      <c r="EN57" s="472"/>
      <c r="EO57" s="472"/>
      <c r="EP57" s="472"/>
      <c r="EQ57" s="472"/>
      <c r="ER57" s="472"/>
      <c r="ES57" s="472"/>
      <c r="ET57" s="472"/>
      <c r="EU57" s="472"/>
      <c r="EV57" s="472"/>
      <c r="EW57" s="472"/>
      <c r="EX57" s="472"/>
      <c r="EY57" s="472"/>
      <c r="EZ57" s="472"/>
      <c r="FA57" s="472"/>
      <c r="FB57" s="472"/>
      <c r="FC57" s="472"/>
      <c r="FD57" s="472"/>
      <c r="FE57" s="472"/>
      <c r="FF57" s="472"/>
      <c r="FG57" s="472"/>
      <c r="FH57" s="472"/>
      <c r="FI57" s="472"/>
      <c r="FJ57" s="472"/>
      <c r="FK57" s="472"/>
      <c r="FL57" s="472"/>
      <c r="FM57" s="472"/>
      <c r="FN57" s="472"/>
      <c r="FO57" s="472"/>
      <c r="FP57" s="472"/>
      <c r="FQ57" s="472"/>
      <c r="FR57" s="472"/>
      <c r="FS57" s="472"/>
      <c r="FT57" s="472"/>
      <c r="FU57" s="472"/>
    </row>
    <row r="58" spans="2:177" s="526" customFormat="1">
      <c r="B58" s="513" t="s">
        <v>428</v>
      </c>
      <c r="C58" s="513">
        <v>121</v>
      </c>
      <c r="D58" s="513">
        <v>7</v>
      </c>
      <c r="E58" s="498">
        <v>0</v>
      </c>
      <c r="F58" s="472"/>
      <c r="G58" s="753" t="s">
        <v>831</v>
      </c>
      <c r="H58" s="513">
        <v>7</v>
      </c>
      <c r="I58" s="472">
        <f t="shared" si="49"/>
        <v>128</v>
      </c>
      <c r="J58" s="472"/>
      <c r="K58" s="472"/>
      <c r="L58" s="754">
        <v>52806</v>
      </c>
      <c r="M58" s="472"/>
      <c r="N58" s="755">
        <f t="shared" si="50"/>
        <v>52806</v>
      </c>
      <c r="O58" s="755">
        <f t="shared" si="51"/>
        <v>628.64285714285711</v>
      </c>
      <c r="P58" s="755">
        <f>IF(M58&gt;0,0,IF(OR(AC58&gt;AD58,AE58&lt;AF58),0,IF(AND(AE58&gt;=AF58,AE58&lt;=AD58),O58*((AE58-AF58)*12),IF(AND(AF58&lt;=AC58,AD58&gt;=AC58),((AD58-AC58)*12)*O58,IF(AE58&gt;AD58,12*O58,0)))))</f>
        <v>7543.7142857142853</v>
      </c>
      <c r="Q58" s="472">
        <f t="shared" si="52"/>
        <v>0</v>
      </c>
      <c r="R58" s="755">
        <f t="shared" si="53"/>
        <v>7543.7142857142853</v>
      </c>
      <c r="S58" s="756">
        <v>1</v>
      </c>
      <c r="T58" s="755">
        <f t="shared" si="48"/>
        <v>7543.7142857142853</v>
      </c>
      <c r="U58" s="472"/>
      <c r="V58" s="755">
        <f t="shared" si="54"/>
        <v>15087.428571428571</v>
      </c>
      <c r="W58" s="755">
        <f>V58*S58</f>
        <v>15087.428571428571</v>
      </c>
      <c r="X58" s="756">
        <v>1</v>
      </c>
      <c r="Y58" s="755">
        <f>W58*X58</f>
        <v>15087.428571428571</v>
      </c>
      <c r="Z58" s="755">
        <f>IF(M58&gt;0,0,Y58+T58*X58)*X58</f>
        <v>22631.142857142855</v>
      </c>
      <c r="AA58" s="755">
        <f t="shared" si="33"/>
        <v>33946.71428571429</v>
      </c>
      <c r="AB58" s="755">
        <f>L58-Z58</f>
        <v>30174.857142857145</v>
      </c>
      <c r="AC58" s="757">
        <f t="shared" si="45"/>
        <v>121.5</v>
      </c>
      <c r="AD58" s="472">
        <f t="shared" si="5"/>
        <v>124.5</v>
      </c>
      <c r="AE58" s="757">
        <f t="shared" si="46"/>
        <v>128.5</v>
      </c>
      <c r="AF58" s="472">
        <f t="shared" si="7"/>
        <v>123.5</v>
      </c>
      <c r="AG58" s="758">
        <f t="shared" si="47"/>
        <v>-8.3333333333333329E-2</v>
      </c>
      <c r="AH58" s="472"/>
      <c r="AI58" s="759"/>
      <c r="AJ58" s="759"/>
      <c r="AK58" s="759"/>
      <c r="AL58" s="759"/>
      <c r="AM58" s="759"/>
      <c r="AN58" s="759"/>
      <c r="AO58" s="759"/>
      <c r="AP58" s="759"/>
      <c r="AQ58" s="759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2"/>
      <c r="BZ58" s="472"/>
      <c r="CA58" s="472"/>
      <c r="CB58" s="472"/>
      <c r="CC58" s="472"/>
      <c r="CD58" s="472"/>
      <c r="CE58" s="472"/>
      <c r="CF58" s="472"/>
      <c r="CG58" s="472"/>
      <c r="CH58" s="472"/>
      <c r="CI58" s="472"/>
      <c r="CJ58" s="472"/>
      <c r="CK58" s="472"/>
      <c r="CL58" s="472"/>
      <c r="CM58" s="472"/>
      <c r="CN58" s="472"/>
      <c r="CO58" s="472"/>
      <c r="CP58" s="472"/>
      <c r="CQ58" s="472"/>
      <c r="CR58" s="472"/>
      <c r="CS58" s="472"/>
      <c r="CT58" s="472"/>
      <c r="CU58" s="472"/>
      <c r="CV58" s="472"/>
      <c r="CW58" s="472"/>
      <c r="CX58" s="472"/>
      <c r="CY58" s="472"/>
      <c r="CZ58" s="472"/>
      <c r="DA58" s="472"/>
      <c r="DB58" s="472"/>
      <c r="DC58" s="472"/>
      <c r="DD58" s="472"/>
      <c r="DE58" s="472"/>
      <c r="DF58" s="472"/>
      <c r="DG58" s="472"/>
      <c r="DH58" s="472"/>
      <c r="DI58" s="472"/>
      <c r="DJ58" s="472"/>
      <c r="DK58" s="472"/>
      <c r="DL58" s="472"/>
      <c r="DM58" s="472"/>
      <c r="DN58" s="472"/>
      <c r="DO58" s="472"/>
      <c r="DP58" s="472"/>
      <c r="DQ58" s="472"/>
      <c r="DR58" s="472"/>
      <c r="DS58" s="472"/>
      <c r="DT58" s="472"/>
      <c r="DU58" s="472"/>
      <c r="DV58" s="472"/>
      <c r="DW58" s="472"/>
      <c r="DX58" s="472"/>
      <c r="DY58" s="472"/>
      <c r="DZ58" s="472"/>
      <c r="EA58" s="472"/>
      <c r="EB58" s="472"/>
      <c r="EC58" s="472"/>
      <c r="ED58" s="472"/>
      <c r="EE58" s="472"/>
      <c r="EF58" s="472"/>
      <c r="EG58" s="472"/>
      <c r="EH58" s="472"/>
      <c r="EI58" s="472"/>
      <c r="EJ58" s="472"/>
      <c r="EK58" s="472"/>
      <c r="EL58" s="472"/>
      <c r="EM58" s="472"/>
      <c r="EN58" s="472"/>
      <c r="EO58" s="472"/>
      <c r="EP58" s="472"/>
      <c r="EQ58" s="472"/>
      <c r="ER58" s="472"/>
      <c r="ES58" s="472"/>
      <c r="ET58" s="472"/>
      <c r="EU58" s="472"/>
      <c r="EV58" s="472"/>
      <c r="EW58" s="472"/>
      <c r="EX58" s="472"/>
      <c r="EY58" s="472"/>
      <c r="EZ58" s="472"/>
      <c r="FA58" s="472"/>
      <c r="FB58" s="472"/>
      <c r="FC58" s="472"/>
      <c r="FD58" s="472"/>
      <c r="FE58" s="472"/>
      <c r="FF58" s="472"/>
      <c r="FG58" s="472"/>
      <c r="FH58" s="472"/>
      <c r="FI58" s="472"/>
      <c r="FJ58" s="472"/>
      <c r="FK58" s="472"/>
      <c r="FL58" s="472"/>
      <c r="FM58" s="472"/>
      <c r="FN58" s="472"/>
      <c r="FO58" s="472"/>
      <c r="FP58" s="472"/>
      <c r="FQ58" s="472"/>
      <c r="FR58" s="472"/>
      <c r="FS58" s="472"/>
      <c r="FT58" s="472"/>
      <c r="FU58" s="472"/>
    </row>
    <row r="59" spans="2:177" s="526" customFormat="1">
      <c r="B59" s="724" t="s">
        <v>429</v>
      </c>
      <c r="C59" s="724">
        <v>121</v>
      </c>
      <c r="D59" s="724">
        <v>8</v>
      </c>
      <c r="E59" s="725">
        <v>0</v>
      </c>
      <c r="F59" s="726"/>
      <c r="G59" s="727" t="s">
        <v>831</v>
      </c>
      <c r="H59" s="724">
        <v>7</v>
      </c>
      <c r="I59" s="726">
        <f t="shared" si="49"/>
        <v>128</v>
      </c>
      <c r="J59" s="726">
        <v>123</v>
      </c>
      <c r="K59" s="726">
        <v>7</v>
      </c>
      <c r="L59" s="728">
        <v>73835</v>
      </c>
      <c r="M59" s="726"/>
      <c r="N59" s="730">
        <f t="shared" si="50"/>
        <v>73835</v>
      </c>
      <c r="O59" s="730">
        <f t="shared" si="51"/>
        <v>878.9880952380953</v>
      </c>
      <c r="P59" s="730">
        <f>IF(M59&gt;0,0,IF(OR(AC59&gt;AD59,AE59&lt;AF59),0,IF(AND(AE59&gt;=AF59,AE59&lt;=AD59),O59*((AE59-AF59)*12),IF(AND(AF59&lt;=AC59,AD59&gt;=AC59),((AD59-AC59)*12)*O59,IF(AE59&gt;AD59,12*O59,0)))))</f>
        <v>10547.857142857143</v>
      </c>
      <c r="Q59" s="726">
        <f t="shared" si="52"/>
        <v>0</v>
      </c>
      <c r="R59" s="730">
        <f t="shared" si="53"/>
        <v>10547.857142857143</v>
      </c>
      <c r="S59" s="731">
        <v>1</v>
      </c>
      <c r="T59" s="730">
        <f t="shared" si="48"/>
        <v>10547.857142857143</v>
      </c>
      <c r="U59" s="726"/>
      <c r="V59" s="730">
        <f t="shared" si="54"/>
        <v>20216.726190476242</v>
      </c>
      <c r="W59" s="730">
        <v>0</v>
      </c>
      <c r="X59" s="731">
        <v>1</v>
      </c>
      <c r="Y59" s="730">
        <v>14943</v>
      </c>
      <c r="Z59" s="730">
        <v>0</v>
      </c>
      <c r="AA59" s="730">
        <f>IF(M59&gt;0,(L59-Y59)/2,IF(AC59&gt;=AF59,(((L59*S59)*X59)-Z59)/2,((((L59*S59)*X59)-Y59)+(((L59*S59)*X59)-Z59))/2))</f>
        <v>66363.5</v>
      </c>
      <c r="AB59" s="730">
        <v>0</v>
      </c>
      <c r="AC59" s="732">
        <f t="shared" si="45"/>
        <v>121.58333333333333</v>
      </c>
      <c r="AD59" s="726">
        <f t="shared" si="5"/>
        <v>124.5</v>
      </c>
      <c r="AE59" s="732">
        <f t="shared" si="46"/>
        <v>128.58333333333334</v>
      </c>
      <c r="AF59" s="726">
        <f t="shared" si="7"/>
        <v>123.5</v>
      </c>
      <c r="AG59" s="733">
        <f t="shared" si="47"/>
        <v>123.5</v>
      </c>
      <c r="AH59" s="729">
        <v>45138</v>
      </c>
      <c r="AI59" s="734">
        <v>80385</v>
      </c>
      <c r="AJ59" s="734">
        <f>+L59</f>
        <v>73835</v>
      </c>
      <c r="AK59" s="734">
        <v>25491</v>
      </c>
      <c r="AL59" s="734">
        <f>+AI59-(AJ59-AK59)</f>
        <v>32041</v>
      </c>
      <c r="AM59" s="272">
        <v>45138</v>
      </c>
      <c r="AN59" s="473">
        <v>80385</v>
      </c>
      <c r="AO59" s="473">
        <v>73835</v>
      </c>
      <c r="AP59" s="473">
        <v>25491</v>
      </c>
      <c r="AQ59" s="306">
        <f>AN59-(AO59-AP59)</f>
        <v>32041</v>
      </c>
      <c r="AR59" s="308">
        <f>AQ59/H59/12</f>
        <v>381.4404761904762</v>
      </c>
      <c r="AS59" s="474"/>
      <c r="AT59" s="307"/>
      <c r="AU59" s="307"/>
      <c r="AV59" s="307"/>
      <c r="AW59" s="307"/>
      <c r="AX59" s="307"/>
      <c r="AY59" s="307">
        <v>1907</v>
      </c>
      <c r="AZ59" s="307">
        <f>+AQ59-AY59</f>
        <v>30134</v>
      </c>
      <c r="BA59" s="306">
        <f>+AR59*12</f>
        <v>4577.2857142857147</v>
      </c>
      <c r="BB59" s="306">
        <f>+AZ59-BA59</f>
        <v>25556.714285714286</v>
      </c>
      <c r="BC59" s="307">
        <f>+AY59+(AR59*6)</f>
        <v>4195.6428571428569</v>
      </c>
      <c r="BD59" s="307">
        <f>+AZ59-(BA59/2)</f>
        <v>27845.357142857141</v>
      </c>
      <c r="BE59" s="472"/>
      <c r="BF59" s="472"/>
      <c r="BG59" s="472"/>
      <c r="BH59" s="472"/>
      <c r="BI59" s="472"/>
      <c r="BJ59" s="472"/>
      <c r="BK59" s="472"/>
      <c r="BL59" s="472"/>
      <c r="BM59" s="472"/>
      <c r="BN59" s="472"/>
      <c r="BO59" s="472"/>
      <c r="BP59" s="472"/>
      <c r="BQ59" s="472"/>
      <c r="BR59" s="472"/>
      <c r="BS59" s="472"/>
      <c r="BT59" s="472"/>
      <c r="BU59" s="472"/>
      <c r="BV59" s="472"/>
      <c r="BW59" s="472"/>
      <c r="BX59" s="472"/>
      <c r="BY59" s="472"/>
      <c r="BZ59" s="472"/>
      <c r="CA59" s="472"/>
      <c r="CB59" s="472"/>
      <c r="CC59" s="472"/>
      <c r="CD59" s="472"/>
      <c r="CE59" s="472"/>
      <c r="CF59" s="472"/>
      <c r="CG59" s="472"/>
      <c r="CH59" s="472"/>
      <c r="CI59" s="472"/>
      <c r="CJ59" s="472"/>
      <c r="CK59" s="472"/>
      <c r="CL59" s="472"/>
      <c r="CM59" s="472"/>
      <c r="CN59" s="472"/>
      <c r="CO59" s="472"/>
      <c r="CP59" s="472"/>
      <c r="CQ59" s="472"/>
      <c r="CR59" s="472"/>
      <c r="CS59" s="472"/>
      <c r="CT59" s="472"/>
      <c r="CU59" s="472"/>
      <c r="CV59" s="472"/>
      <c r="CW59" s="472"/>
      <c r="CX59" s="472"/>
      <c r="CY59" s="472"/>
      <c r="CZ59" s="472"/>
      <c r="DA59" s="472"/>
      <c r="DB59" s="472"/>
      <c r="DC59" s="472"/>
      <c r="DD59" s="472"/>
      <c r="DE59" s="472"/>
      <c r="DF59" s="472"/>
      <c r="DG59" s="472"/>
      <c r="DH59" s="472"/>
      <c r="DI59" s="472"/>
      <c r="DJ59" s="472"/>
      <c r="DK59" s="472"/>
      <c r="DL59" s="472"/>
      <c r="DM59" s="472"/>
      <c r="DN59" s="472"/>
      <c r="DO59" s="472"/>
      <c r="DP59" s="472"/>
      <c r="DQ59" s="472"/>
      <c r="DR59" s="472"/>
      <c r="DS59" s="472"/>
      <c r="DT59" s="472"/>
      <c r="DU59" s="472"/>
      <c r="DV59" s="472"/>
      <c r="DW59" s="472"/>
      <c r="DX59" s="472"/>
      <c r="DY59" s="472"/>
      <c r="DZ59" s="472"/>
      <c r="EA59" s="472"/>
      <c r="EB59" s="472"/>
      <c r="EC59" s="472"/>
      <c r="ED59" s="472"/>
      <c r="EE59" s="472"/>
      <c r="EF59" s="472"/>
      <c r="EG59" s="472"/>
      <c r="EH59" s="472"/>
      <c r="EI59" s="472"/>
      <c r="EJ59" s="472"/>
      <c r="EK59" s="472"/>
      <c r="EL59" s="472"/>
      <c r="EM59" s="472"/>
      <c r="EN59" s="472"/>
      <c r="EO59" s="472"/>
      <c r="EP59" s="472"/>
      <c r="EQ59" s="472"/>
      <c r="ER59" s="472"/>
      <c r="ES59" s="472"/>
      <c r="ET59" s="472"/>
      <c r="EU59" s="472"/>
      <c r="EV59" s="472"/>
      <c r="EW59" s="472"/>
      <c r="EX59" s="472"/>
      <c r="EY59" s="472"/>
      <c r="EZ59" s="472"/>
      <c r="FA59" s="472"/>
      <c r="FB59" s="472"/>
      <c r="FC59" s="472"/>
      <c r="FD59" s="472"/>
      <c r="FE59" s="472"/>
      <c r="FF59" s="472"/>
      <c r="FG59" s="472"/>
      <c r="FH59" s="472"/>
      <c r="FI59" s="472"/>
      <c r="FJ59" s="472"/>
      <c r="FK59" s="472"/>
      <c r="FL59" s="472"/>
      <c r="FM59" s="472"/>
    </row>
    <row r="60" spans="2:177" s="762" customFormat="1">
      <c r="B60" s="763" t="s">
        <v>1392</v>
      </c>
      <c r="C60" s="763">
        <v>123</v>
      </c>
      <c r="D60" s="763">
        <v>6</v>
      </c>
      <c r="E60" s="764">
        <v>0</v>
      </c>
      <c r="G60" s="773" t="s">
        <v>831</v>
      </c>
      <c r="H60" s="763">
        <v>7</v>
      </c>
      <c r="I60" s="762">
        <f t="shared" si="49"/>
        <v>130</v>
      </c>
      <c r="L60" s="774">
        <v>88828</v>
      </c>
      <c r="N60" s="767">
        <f t="shared" si="50"/>
        <v>88828</v>
      </c>
      <c r="O60" s="767">
        <f t="shared" si="51"/>
        <v>1057.4761904761906</v>
      </c>
      <c r="P60" s="767">
        <f>IF(M60&gt;0,0,IF(OR(AC60&gt;AD60,AE60&lt;AF60),0,IF(AND(AE60&gt;=AF60,AE60&lt;=AD60),O60*((AE60-AF60)*12),IF(AND(AF60&lt;=AC60,AD60&gt;=AC60),((AD60-AC60)*12)*O60,IF(AE60&gt;AD60,12*O60,0)))))</f>
        <v>12689.714285714286</v>
      </c>
      <c r="Q60" s="762">
        <f t="shared" si="52"/>
        <v>0</v>
      </c>
      <c r="R60" s="767">
        <f t="shared" si="53"/>
        <v>12689.714285714286</v>
      </c>
      <c r="S60" s="768">
        <v>1</v>
      </c>
      <c r="T60" s="767">
        <f t="shared" si="48"/>
        <v>12689.714285714286</v>
      </c>
      <c r="V60" s="767">
        <f t="shared" si="54"/>
        <v>1057.4761904761306</v>
      </c>
      <c r="W60" s="767">
        <f>V60*S60</f>
        <v>1057.4761904761306</v>
      </c>
      <c r="X60" s="768">
        <v>1</v>
      </c>
      <c r="Y60" s="767">
        <f>W60*X60</f>
        <v>1057.4761904761306</v>
      </c>
      <c r="Z60" s="767">
        <f>IF(M60&gt;0,0,Y60+T60*X60)*X60</f>
        <v>13747.190476190417</v>
      </c>
      <c r="AA60" s="767">
        <f>IF(M60&gt;0,(L60-Y60)/2,IF(AC60&gt;=AF60,(((L60*S60)*X60)-Z60)/2,((((L60*S60)*X60)-Y60)+(((L60*S60)*X60)-Z60))/2))</f>
        <v>81425.66666666673</v>
      </c>
      <c r="AB60" s="767">
        <f>L60-Z60</f>
        <v>75080.809523809585</v>
      </c>
      <c r="AC60" s="769">
        <f t="shared" si="45"/>
        <v>123.41666666666667</v>
      </c>
      <c r="AD60" s="762">
        <f t="shared" si="5"/>
        <v>124.5</v>
      </c>
      <c r="AE60" s="769">
        <f t="shared" si="46"/>
        <v>130.41666666666666</v>
      </c>
      <c r="AF60" s="762">
        <f t="shared" si="7"/>
        <v>123.5</v>
      </c>
      <c r="AG60" s="770">
        <f t="shared" si="47"/>
        <v>-8.3333333333333329E-2</v>
      </c>
      <c r="AI60" s="775"/>
      <c r="AJ60" s="775"/>
      <c r="AK60" s="775"/>
      <c r="AL60" s="775"/>
      <c r="AM60" s="775"/>
      <c r="AN60" s="775"/>
      <c r="AO60" s="775"/>
      <c r="AP60" s="775"/>
      <c r="AQ60" s="775"/>
    </row>
    <row r="61" spans="2:177" s="762" customFormat="1">
      <c r="B61" s="763" t="s">
        <v>1393</v>
      </c>
      <c r="C61" s="763">
        <v>123</v>
      </c>
      <c r="D61" s="763">
        <v>11</v>
      </c>
      <c r="E61" s="764">
        <v>0</v>
      </c>
      <c r="G61" s="773" t="s">
        <v>831</v>
      </c>
      <c r="H61" s="763">
        <v>7</v>
      </c>
      <c r="I61" s="762">
        <f t="shared" si="49"/>
        <v>130</v>
      </c>
      <c r="L61" s="774">
        <v>74635</v>
      </c>
      <c r="N61" s="767">
        <f t="shared" si="50"/>
        <v>74635</v>
      </c>
      <c r="O61" s="767">
        <f t="shared" si="51"/>
        <v>888.5119047619047</v>
      </c>
      <c r="P61" s="767">
        <f t="shared" si="37"/>
        <v>7108.0952380952886</v>
      </c>
      <c r="Q61" s="762">
        <f t="shared" si="52"/>
        <v>0</v>
      </c>
      <c r="R61" s="767">
        <f t="shared" si="53"/>
        <v>7108.0952380952886</v>
      </c>
      <c r="S61" s="768">
        <v>1</v>
      </c>
      <c r="T61" s="767">
        <f t="shared" si="48"/>
        <v>7108.0952380952886</v>
      </c>
      <c r="V61" s="767">
        <f t="shared" si="54"/>
        <v>0</v>
      </c>
      <c r="W61" s="767">
        <f>V61*S61</f>
        <v>0</v>
      </c>
      <c r="X61" s="768">
        <v>1</v>
      </c>
      <c r="Y61" s="767">
        <f>W61*X61</f>
        <v>0</v>
      </c>
      <c r="Z61" s="767">
        <f>IF(M61&gt;0,0,Y61+T61*X61)*X61</f>
        <v>7108.0952380952886</v>
      </c>
      <c r="AA61" s="767">
        <f>IF(M61&gt;0,(L61-Y61)/2,IF(AC61&gt;=AF61,(((L61*S61)*X61)-Z61)/2,((((L61*S61)*X61)-Y61)+(((L61*S61)*X61)-Z61))/2))</f>
        <v>33763.452380952353</v>
      </c>
      <c r="AB61" s="767">
        <f>L61-Z61</f>
        <v>67526.904761904705</v>
      </c>
      <c r="AC61" s="769">
        <f t="shared" si="45"/>
        <v>123.83333333333333</v>
      </c>
      <c r="AD61" s="762">
        <f t="shared" si="5"/>
        <v>124.5</v>
      </c>
      <c r="AE61" s="769">
        <f t="shared" si="46"/>
        <v>130.83333333333334</v>
      </c>
      <c r="AF61" s="762">
        <f t="shared" si="7"/>
        <v>123.5</v>
      </c>
      <c r="AG61" s="770">
        <f t="shared" si="47"/>
        <v>-8.3333333333333329E-2</v>
      </c>
      <c r="AI61" s="775"/>
      <c r="AJ61" s="775"/>
      <c r="AK61" s="775"/>
      <c r="AL61" s="775"/>
      <c r="AM61" s="775"/>
      <c r="AN61" s="775"/>
      <c r="AO61" s="775"/>
      <c r="AP61" s="775"/>
      <c r="AQ61" s="775"/>
    </row>
    <row r="62" spans="2:177">
      <c r="I62" s="252"/>
      <c r="L62" s="250"/>
      <c r="N62" s="250"/>
      <c r="P62" s="488"/>
      <c r="Q62" s="267"/>
      <c r="R62" s="266"/>
      <c r="T62" s="251"/>
      <c r="Y62" s="250"/>
      <c r="Z62" s="250"/>
      <c r="AA62" s="250"/>
      <c r="AB62" s="250"/>
      <c r="AI62" s="306"/>
      <c r="AJ62" s="306"/>
      <c r="AK62" s="306"/>
      <c r="AL62" s="306"/>
      <c r="AM62" s="306"/>
      <c r="AN62" s="306"/>
      <c r="AO62" s="306"/>
      <c r="AP62" s="306"/>
      <c r="AQ62" s="306"/>
    </row>
    <row r="63" spans="2:177" ht="16.5" thickBot="1">
      <c r="L63" s="288">
        <f>SUM(L42:L61)-L54-L59</f>
        <v>327480.77500000002</v>
      </c>
      <c r="N63" s="288">
        <f>SUM(N42:N61)-N54-N59</f>
        <v>327480.77500000002</v>
      </c>
      <c r="P63" s="250">
        <f>SUM(P42:P62)</f>
        <v>47730.952380952433</v>
      </c>
      <c r="Q63" s="247">
        <f>SUM(Q42:Q62)</f>
        <v>0</v>
      </c>
      <c r="R63" s="489">
        <f>SUM(R42:R62)</f>
        <v>47730.952380952433</v>
      </c>
      <c r="T63" s="268">
        <f>SUM(T42:T62)</f>
        <v>47730.952380952433</v>
      </c>
      <c r="V63" s="250">
        <f>SUM(V42:V62)</f>
        <v>182500.70357142852</v>
      </c>
      <c r="W63" s="250">
        <f>SUM(W42:W62)</f>
        <v>100795.97738095226</v>
      </c>
      <c r="Y63" s="250">
        <f>SUM(Y42:Y62)</f>
        <v>177226.97738095227</v>
      </c>
      <c r="Z63" s="250">
        <f>SUM(Z42:Z62)</f>
        <v>137979.07261904757</v>
      </c>
      <c r="AA63" s="268">
        <f>SUM(AA42:AA62)</f>
        <v>237139.25000000012</v>
      </c>
      <c r="AB63" s="268">
        <f>SUM(AB42:AB62)</f>
        <v>189501.70238095243</v>
      </c>
      <c r="AI63" s="306"/>
      <c r="AJ63" s="306"/>
      <c r="AK63" s="306"/>
      <c r="AL63" s="306"/>
      <c r="AM63" s="306"/>
      <c r="AN63" s="306"/>
      <c r="AO63" s="306"/>
      <c r="AP63" s="306"/>
      <c r="AQ63" s="306"/>
    </row>
    <row r="64" spans="2:177" ht="16.5" thickTop="1">
      <c r="I64" s="252" t="s">
        <v>832</v>
      </c>
      <c r="L64" s="497">
        <f>SUM(L42:L60)</f>
        <v>388168.77500000002</v>
      </c>
      <c r="N64" s="250"/>
      <c r="P64" s="271"/>
      <c r="R64" s="250"/>
      <c r="T64" s="251"/>
      <c r="Y64" s="250"/>
      <c r="Z64" s="250"/>
      <c r="AA64" s="250"/>
      <c r="AB64" s="250"/>
      <c r="AI64" s="306"/>
      <c r="AJ64" s="306"/>
      <c r="AK64" s="306"/>
      <c r="AL64" s="306"/>
      <c r="AM64" s="306"/>
      <c r="AN64" s="306"/>
      <c r="AO64" s="306"/>
      <c r="AP64" s="306"/>
      <c r="AQ64" s="306"/>
    </row>
    <row r="65" spans="2:159">
      <c r="I65" s="252"/>
      <c r="L65" s="250"/>
      <c r="N65" s="250"/>
      <c r="P65" s="271"/>
      <c r="R65" s="250"/>
      <c r="T65" s="251"/>
      <c r="Y65" s="250"/>
      <c r="Z65" s="250"/>
      <c r="AA65" s="250"/>
      <c r="AB65" s="250"/>
      <c r="AI65" s="306"/>
      <c r="AJ65" s="306"/>
      <c r="AK65" s="306"/>
      <c r="AL65" s="306"/>
      <c r="AM65" s="306"/>
      <c r="AN65" s="306"/>
      <c r="AO65" s="306"/>
      <c r="AP65" s="306"/>
      <c r="AQ65" s="306"/>
    </row>
    <row r="66" spans="2:159">
      <c r="B66" s="255" t="s">
        <v>833</v>
      </c>
      <c r="I66" s="252"/>
      <c r="L66" s="250"/>
      <c r="N66" s="250"/>
      <c r="R66" s="250"/>
      <c r="T66" s="251"/>
      <c r="Y66" s="250"/>
      <c r="Z66" s="250"/>
      <c r="AI66" s="306"/>
      <c r="AJ66" s="306"/>
      <c r="AK66" s="306"/>
      <c r="AL66" s="306"/>
      <c r="AM66" s="306"/>
      <c r="AN66" s="306"/>
      <c r="AO66" s="306"/>
      <c r="AP66" s="306"/>
      <c r="AQ66" s="306"/>
    </row>
    <row r="67" spans="2:159" ht="16.5" customHeight="1">
      <c r="B67" s="724" t="s">
        <v>430</v>
      </c>
      <c r="C67" s="724">
        <v>105</v>
      </c>
      <c r="D67" s="724">
        <v>2</v>
      </c>
      <c r="E67" s="725">
        <v>0</v>
      </c>
      <c r="F67" s="726"/>
      <c r="G67" s="727" t="s">
        <v>831</v>
      </c>
      <c r="H67" s="726">
        <v>7</v>
      </c>
      <c r="I67" s="726">
        <f>C67+H67</f>
        <v>112</v>
      </c>
      <c r="J67" s="726">
        <v>123</v>
      </c>
      <c r="K67" s="726">
        <v>12</v>
      </c>
      <c r="L67" s="735">
        <v>11644.6</v>
      </c>
      <c r="M67" s="726"/>
      <c r="N67" s="730">
        <f>L67-L67*E67</f>
        <v>11644.6</v>
      </c>
      <c r="O67" s="730">
        <f>N67/H67/12</f>
        <v>138.62619047619049</v>
      </c>
      <c r="P67" s="730">
        <f>IF(M67&gt;0,0,IF(OR(AC67&gt;AD67,AE67&lt;AF67),0,IF(AND(AE67&gt;=AF67,AE67&lt;=AD67),O67*((AE67-AF67)*12),IF(AND(AF67&lt;=AC67,AD67&gt;=AC67),((AD67-AC67)*12)*O67,IF(AE67&gt;AD67,12*O67,0)))))</f>
        <v>0</v>
      </c>
      <c r="Q67" s="726">
        <f>IF(M67=0,0,IF(AND(AG67&gt;=AF67,AG67&lt;=AE67),((AG67-AF67)*12)*O67,0))</f>
        <v>0</v>
      </c>
      <c r="R67" s="730">
        <f>IF(Q67&gt;0,Q67,P67)</f>
        <v>0</v>
      </c>
      <c r="S67" s="731">
        <v>1</v>
      </c>
      <c r="T67" s="730">
        <f>S67*SUM(P67:Q67)</f>
        <v>0</v>
      </c>
      <c r="U67" s="726"/>
      <c r="V67" s="730">
        <f>IF(AC67&gt;AD67,0,IF(AE67&lt;AF67,N67,IF(AND(AE67&gt;=AF67,AE67&lt;=AD67),(N67-R67),IF(AND(AF67&lt;=AC67,AD67&gt;=AC67),0,IF(AE67&gt;AD67,((AF67-AC67)*12)*O67,0)))))</f>
        <v>11644.6</v>
      </c>
      <c r="W67" s="730">
        <v>0</v>
      </c>
      <c r="X67" s="731">
        <v>1</v>
      </c>
      <c r="Y67" s="730">
        <f>W67*X67</f>
        <v>0</v>
      </c>
      <c r="Z67" s="730">
        <f>IF(M67&gt;0,0,Y67+T67*X67)*X67</f>
        <v>0</v>
      </c>
      <c r="AA67" s="730">
        <v>0</v>
      </c>
      <c r="AB67" s="730">
        <v>0</v>
      </c>
      <c r="AC67" s="732">
        <f>$C67+(($D67-1)/12)</f>
        <v>105.08333333333333</v>
      </c>
      <c r="AD67" s="726">
        <f>($N$5+1)-($N$2/12)</f>
        <v>124.5</v>
      </c>
      <c r="AE67" s="732">
        <f>$I67+(($D67-1)/12)</f>
        <v>112.08333333333333</v>
      </c>
      <c r="AF67" s="726">
        <f>$N$4+($N$3/12)</f>
        <v>123.5</v>
      </c>
      <c r="AG67" s="733">
        <f>$J67+(($K67-1)/12)</f>
        <v>123.91666666666667</v>
      </c>
      <c r="AH67" s="729">
        <v>45289</v>
      </c>
      <c r="AI67" s="734">
        <v>2500</v>
      </c>
      <c r="AJ67" s="734">
        <f>+L67</f>
        <v>11644.6</v>
      </c>
      <c r="AK67" s="734">
        <v>11645</v>
      </c>
      <c r="AL67" s="734">
        <f>+AI67-(AJ67-AK67)</f>
        <v>2500.3999999999996</v>
      </c>
      <c r="AM67" s="272">
        <v>45289</v>
      </c>
      <c r="AN67" s="473">
        <v>2500</v>
      </c>
      <c r="AO67" s="473">
        <v>11645</v>
      </c>
      <c r="AP67" s="473">
        <v>11645</v>
      </c>
      <c r="AQ67" s="306">
        <v>2500</v>
      </c>
      <c r="AR67" s="308"/>
      <c r="AS67" s="474"/>
      <c r="AT67" s="307"/>
      <c r="AU67" s="307"/>
      <c r="AV67" s="307"/>
      <c r="AW67" s="307"/>
      <c r="AX67" s="307"/>
      <c r="AY67" s="307">
        <v>2500</v>
      </c>
      <c r="AZ67" s="307"/>
      <c r="BA67" s="306">
        <f>+AR67*12</f>
        <v>0</v>
      </c>
      <c r="BB67" s="306">
        <f>+AZ67-BA67</f>
        <v>0</v>
      </c>
      <c r="BC67" s="307">
        <f>+AY67+(AR67*6)</f>
        <v>2500</v>
      </c>
      <c r="BD67" s="307">
        <f>+AZ67-(BA67/2)</f>
        <v>0</v>
      </c>
    </row>
    <row r="68" spans="2:159" ht="16.5" customHeight="1">
      <c r="B68" s="724" t="s">
        <v>431</v>
      </c>
      <c r="C68" s="724">
        <v>118</v>
      </c>
      <c r="D68" s="724">
        <v>1</v>
      </c>
      <c r="E68" s="725">
        <v>0</v>
      </c>
      <c r="F68" s="726"/>
      <c r="G68" s="727" t="s">
        <v>831</v>
      </c>
      <c r="H68" s="726">
        <v>3</v>
      </c>
      <c r="I68" s="726">
        <f>C68+H68</f>
        <v>121</v>
      </c>
      <c r="J68" s="726"/>
      <c r="K68" s="726"/>
      <c r="L68" s="735">
        <v>5735.4000000000015</v>
      </c>
      <c r="M68" s="726"/>
      <c r="N68" s="730">
        <f>L68-L68*E68</f>
        <v>5735.4000000000015</v>
      </c>
      <c r="O68" s="730">
        <f>N68/H68/12</f>
        <v>159.31666666666669</v>
      </c>
      <c r="P68" s="730">
        <f>IF(M68&gt;0,0,IF(OR(AC68&gt;AD68,AE68&lt;AF68),0,IF(AND(AE68&gt;=AF68,AE68&lt;=AD68),O68*((AE68-AF68)*12),IF(AND(AF68&lt;=AC68,AD68&gt;=AC68),((AD68-AC68)*12)*O68,IF(AE68&gt;AD68,12*O68,0)))))</f>
        <v>0</v>
      </c>
      <c r="Q68" s="726">
        <f>IF(M68=0,0,IF(AND(AG68&gt;=AF68,AG68&lt;=AE68),((AG68-AF68)*12)*O68,0))</f>
        <v>0</v>
      </c>
      <c r="R68" s="730">
        <f>IF(Q68&gt;0,Q68,P68)</f>
        <v>0</v>
      </c>
      <c r="S68" s="731">
        <v>1</v>
      </c>
      <c r="T68" s="730">
        <f>S68*SUM(P68:Q68)</f>
        <v>0</v>
      </c>
      <c r="U68" s="726"/>
      <c r="V68" s="730">
        <f>IF(AC68&gt;AD68,0,IF(AE68&lt;AF68,N68,IF(AND(AE68&gt;=AF68,AE68&lt;=AD68),(N68-R68),IF(AND(AF68&lt;=AC68,AD68&gt;=AC68),0,IF(AE68&gt;AD68,((AF68-AC68)*12)*O68,0)))))</f>
        <v>5735.4000000000015</v>
      </c>
      <c r="W68" s="730">
        <f>V68*S68</f>
        <v>5735.4000000000015</v>
      </c>
      <c r="X68" s="731">
        <v>1</v>
      </c>
      <c r="Y68" s="730">
        <f>W68*X68</f>
        <v>5735.4000000000015</v>
      </c>
      <c r="Z68" s="730">
        <f>IF(M68&gt;0,0,Y68+T68*X68)*X68</f>
        <v>5735.4000000000015</v>
      </c>
      <c r="AA68" s="730">
        <f>IF(M68&gt;0,(L68-Y68)/2,IF(AC68&gt;=AF68,(((L68*S68)*X68)-Z68)/2,((((L68*S68)*X68)-Y68)+(((L68*S68)*X68)-Z68))/2))</f>
        <v>0</v>
      </c>
      <c r="AB68" s="730">
        <f>L68-Z68</f>
        <v>0</v>
      </c>
      <c r="AC68" s="732">
        <f>$C68+(($D68-1)/12)</f>
        <v>118</v>
      </c>
      <c r="AD68" s="726">
        <f>($N$5+1)-($N$2/12)</f>
        <v>124.5</v>
      </c>
      <c r="AE68" s="732">
        <f>$I68+(($D68-1)/12)</f>
        <v>121</v>
      </c>
      <c r="AF68" s="726">
        <f>$N$4+($N$3/12)</f>
        <v>123.5</v>
      </c>
      <c r="AG68" s="733">
        <f>$J68+(($K68-1)/12)</f>
        <v>-8.3333333333333329E-2</v>
      </c>
      <c r="AH68" s="729">
        <v>45289</v>
      </c>
      <c r="AI68" s="734">
        <v>0</v>
      </c>
      <c r="AJ68" s="734">
        <v>5735</v>
      </c>
      <c r="AK68" s="734">
        <v>5735</v>
      </c>
      <c r="AL68" s="734">
        <f>+AI68-(AJ68-AK68)</f>
        <v>0</v>
      </c>
      <c r="AM68" s="306"/>
      <c r="AN68" s="306"/>
      <c r="AO68" s="306"/>
      <c r="AP68" s="306"/>
      <c r="AQ68" s="306"/>
    </row>
    <row r="69" spans="2:159" ht="16.5" customHeight="1">
      <c r="B69" s="724" t="s">
        <v>432</v>
      </c>
      <c r="C69" s="724">
        <v>112</v>
      </c>
      <c r="D69" s="724">
        <v>12</v>
      </c>
      <c r="E69" s="725">
        <v>0</v>
      </c>
      <c r="F69" s="726"/>
      <c r="G69" s="727" t="s">
        <v>831</v>
      </c>
      <c r="H69" s="726">
        <v>7</v>
      </c>
      <c r="I69" s="726">
        <f>C69+H69</f>
        <v>119</v>
      </c>
      <c r="J69" s="726">
        <v>124</v>
      </c>
      <c r="K69" s="726">
        <v>8</v>
      </c>
      <c r="L69" s="735">
        <v>176919</v>
      </c>
      <c r="M69" s="726"/>
      <c r="N69" s="730">
        <f>L69-L69*E69</f>
        <v>176919</v>
      </c>
      <c r="O69" s="730">
        <f>N69/H69/12</f>
        <v>2106.1785714285716</v>
      </c>
      <c r="P69" s="730">
        <f>IF(M69&gt;0,0,IF(OR(AC69&gt;AD69,AE69&lt;AF69),0,IF(AND(AE69&gt;=AF69,AE69&lt;=AD69),O69*((AE69-AF69)*12),IF(AND(AF69&lt;=AC69,AD69&gt;=AC69),((AD69-AC69)*12)*O69,IF(AE69&gt;AD69,12*O69,0)))))</f>
        <v>0</v>
      </c>
      <c r="Q69" s="726">
        <f>IF(M69=0,0,IF(AND(AG69&gt;=AF69,AG69&lt;=AE69),((AG69-AF69)*12)*O69,0))</f>
        <v>0</v>
      </c>
      <c r="R69" s="730">
        <f>IF(Q69&gt;0,Q69,P69)</f>
        <v>0</v>
      </c>
      <c r="S69" s="731">
        <v>1</v>
      </c>
      <c r="T69" s="730">
        <f>S69*SUM(P69:Q69)</f>
        <v>0</v>
      </c>
      <c r="U69" s="726"/>
      <c r="V69" s="730">
        <f>IF(AC69&gt;AD69,0,IF(AE69&lt;AF69,N69,IF(AND(AE69&gt;=AF69,AE69&lt;=AD69),(N69-R69),IF(AND(AF69&lt;=AC69,AD69&gt;=AC69),0,IF(AE69&gt;AD69,((AF69-AC69)*12)*O69,0)))))</f>
        <v>176919</v>
      </c>
      <c r="W69" s="730">
        <f>V69*S69</f>
        <v>176919</v>
      </c>
      <c r="X69" s="731">
        <v>1</v>
      </c>
      <c r="Y69" s="730">
        <f>W69*X69</f>
        <v>176919</v>
      </c>
      <c r="Z69" s="730">
        <f>IF(M69&gt;0,0,Y69+T69*X69)*X69</f>
        <v>176919</v>
      </c>
      <c r="AA69" s="730">
        <f>IF(M69&gt;0,(L69-Y69)/2,IF(AC69&gt;=AF69,(((L69*S69)*X69)-Z69)/2,((((L69*S69)*X69)-Y69)+(((L69*S69)*X69)-Z69))/2))</f>
        <v>0</v>
      </c>
      <c r="AB69" s="730">
        <f>L69-Z69</f>
        <v>0</v>
      </c>
      <c r="AC69" s="732">
        <f>$C69+(($D69-1)/12)</f>
        <v>112.91666666666667</v>
      </c>
      <c r="AD69" s="726">
        <f>($N$5+1)-($N$2/12)</f>
        <v>124.5</v>
      </c>
      <c r="AE69" s="732">
        <f>$I69+(($D69-1)/12)</f>
        <v>119.91666666666667</v>
      </c>
      <c r="AF69" s="726">
        <f>$N$4+($N$3/12)</f>
        <v>123.5</v>
      </c>
      <c r="AG69" s="733">
        <f>$J69+(($K69-1)/12)</f>
        <v>124.58333333333333</v>
      </c>
      <c r="AH69" s="729">
        <v>45524</v>
      </c>
      <c r="AI69" s="734">
        <v>35000</v>
      </c>
      <c r="AJ69" s="734">
        <v>176919</v>
      </c>
      <c r="AK69" s="734">
        <v>176919</v>
      </c>
      <c r="AL69" s="734">
        <f>+AI69-(AJ69-AK69)</f>
        <v>35000</v>
      </c>
      <c r="AM69" s="272">
        <v>45524</v>
      </c>
      <c r="AN69" s="496">
        <v>35000</v>
      </c>
      <c r="AO69" s="496">
        <v>176919</v>
      </c>
      <c r="AP69" s="496">
        <v>176919</v>
      </c>
      <c r="AQ69" s="306">
        <f>AN69-(AO69-AP69)</f>
        <v>35000</v>
      </c>
      <c r="AR69" s="308">
        <f>AQ69/H69/12</f>
        <v>416.66666666666669</v>
      </c>
      <c r="AY69" s="307">
        <v>0</v>
      </c>
      <c r="AZ69" s="307">
        <v>0</v>
      </c>
      <c r="BA69" s="306">
        <f>+AR69*2</f>
        <v>833.33333333333337</v>
      </c>
      <c r="BB69" s="306">
        <f>+AQ69-BA69</f>
        <v>34166.666666666664</v>
      </c>
      <c r="BC69" s="307">
        <v>833</v>
      </c>
      <c r="BD69" s="307">
        <f>+AN69-BC69</f>
        <v>34167</v>
      </c>
    </row>
    <row r="70" spans="2:159" ht="16.5" customHeight="1">
      <c r="B70" s="513" t="s">
        <v>433</v>
      </c>
      <c r="C70" s="513">
        <v>121</v>
      </c>
      <c r="D70" s="513">
        <v>9</v>
      </c>
      <c r="E70" s="498">
        <v>0</v>
      </c>
      <c r="F70" s="472"/>
      <c r="G70" s="753" t="s">
        <v>831</v>
      </c>
      <c r="H70" s="513">
        <v>7</v>
      </c>
      <c r="I70" s="472">
        <f>C70+H70</f>
        <v>128</v>
      </c>
      <c r="J70" s="472"/>
      <c r="K70" s="472"/>
      <c r="L70" s="754">
        <v>5277</v>
      </c>
      <c r="M70" s="472"/>
      <c r="N70" s="755">
        <f>L70-L70*E70</f>
        <v>5277</v>
      </c>
      <c r="O70" s="755">
        <f>N70/H70/12</f>
        <v>62.821428571428577</v>
      </c>
      <c r="P70" s="755">
        <f>IF(M70&gt;0,0,IF(OR(AC70&gt;AD70,AE70&lt;AF70),0,IF(AND(AE70&gt;=AF70,AE70&lt;=AD70),O70*((AE70-AF70)*12),IF(AND(AF70&lt;=AC70,AD70&gt;=AC70),((AD70-AC70)*12)*O70,IF(AE70&gt;AD70,12*O70,0)))))</f>
        <v>753.85714285714289</v>
      </c>
      <c r="Q70" s="472">
        <f>IF(M70=0,0,IF(AND(AG70&gt;=AF70,AG70&lt;=AE70),((AG70-AF70)*12)*O70,0))</f>
        <v>0</v>
      </c>
      <c r="R70" s="755">
        <f>IF(Q70&gt;0,Q70,P70)</f>
        <v>753.85714285714289</v>
      </c>
      <c r="S70" s="756">
        <v>1</v>
      </c>
      <c r="T70" s="755">
        <f>S70*SUM(P70:Q70)</f>
        <v>753.85714285714289</v>
      </c>
      <c r="U70" s="472"/>
      <c r="V70" s="755">
        <f>IF(AC70&gt;AD70,0,IF(AE70&lt;AF70,N70,IF(AND(AE70&gt;=AF70,AE70&lt;=AD70),(N70-R70),IF(AND(AF70&lt;=AC70,AD70&gt;=AC70),0,IF(AE70&gt;AD70,((AF70-AC70)*12)*O70,0)))))</f>
        <v>1382.071428571425</v>
      </c>
      <c r="W70" s="755">
        <f>V70*S70</f>
        <v>1382.071428571425</v>
      </c>
      <c r="X70" s="756">
        <v>1</v>
      </c>
      <c r="Y70" s="755">
        <f>W70*X70</f>
        <v>1382.071428571425</v>
      </c>
      <c r="Z70" s="755">
        <f>IF(M70&gt;0,0,Y70+T70*X70)*X70</f>
        <v>2135.9285714285679</v>
      </c>
      <c r="AA70" s="755">
        <f>IF(M70&gt;0,(L70-Y70)/2,IF(AC70&gt;=AF70,(((L70*S70)*X70)-Z70)/2,((((L70*S70)*X70)-Y70)+(((L70*S70)*X70)-Z70))/2))</f>
        <v>3518.0000000000036</v>
      </c>
      <c r="AB70" s="755">
        <f>L70-Z70</f>
        <v>3141.0714285714321</v>
      </c>
      <c r="AC70" s="757">
        <f>$C70+(($D70-1)/12)</f>
        <v>121.66666666666667</v>
      </c>
      <c r="AD70" s="472">
        <f>($N$5+1)-($N$2/12)</f>
        <v>124.5</v>
      </c>
      <c r="AE70" s="757">
        <f>$I70+(($D70-1)/12)</f>
        <v>128.66666666666666</v>
      </c>
      <c r="AF70" s="472">
        <f>$N$4+($N$3/12)</f>
        <v>123.5</v>
      </c>
      <c r="AG70" s="758">
        <f>$J70+(($K70-1)/12)</f>
        <v>-8.3333333333333329E-2</v>
      </c>
      <c r="AH70" s="472"/>
      <c r="AI70" s="759"/>
      <c r="AJ70" s="759"/>
      <c r="AK70" s="759"/>
      <c r="AL70" s="760"/>
      <c r="AM70" s="760"/>
      <c r="AN70" s="760"/>
      <c r="AO70" s="760"/>
      <c r="AP70" s="760"/>
      <c r="AQ70" s="760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472"/>
      <c r="BZ70" s="472"/>
      <c r="CA70" s="472"/>
      <c r="CB70" s="472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2"/>
      <c r="CN70" s="472"/>
      <c r="CO70" s="472"/>
      <c r="CP70" s="472"/>
      <c r="CQ70" s="472"/>
      <c r="CR70" s="472"/>
      <c r="CS70" s="472"/>
      <c r="CT70" s="472"/>
      <c r="CU70" s="472"/>
      <c r="CV70" s="472"/>
      <c r="CW70" s="472"/>
      <c r="CX70" s="472"/>
      <c r="CY70" s="472"/>
      <c r="CZ70" s="472"/>
      <c r="DA70" s="472"/>
      <c r="DB70" s="472"/>
      <c r="DC70" s="472"/>
      <c r="DD70" s="472"/>
      <c r="DE70" s="472"/>
      <c r="DF70" s="472"/>
      <c r="DG70" s="472"/>
      <c r="DH70" s="472"/>
      <c r="DI70" s="472"/>
      <c r="DJ70" s="472"/>
      <c r="DK70" s="472"/>
      <c r="DL70" s="472"/>
      <c r="DM70" s="472"/>
      <c r="DN70" s="472"/>
      <c r="DO70" s="472"/>
      <c r="DP70" s="472"/>
      <c r="DQ70" s="472"/>
      <c r="DR70" s="472"/>
      <c r="DS70" s="472"/>
      <c r="DT70" s="472"/>
      <c r="DU70" s="472"/>
      <c r="DV70" s="472"/>
      <c r="DW70" s="472"/>
      <c r="DX70" s="472"/>
      <c r="DY70" s="472"/>
      <c r="DZ70" s="472"/>
      <c r="EA70" s="472"/>
      <c r="EB70" s="472"/>
      <c r="EC70" s="472"/>
      <c r="ED70" s="472"/>
      <c r="EE70" s="472"/>
      <c r="EF70" s="472"/>
      <c r="EG70" s="472"/>
      <c r="EH70" s="472"/>
      <c r="EI70" s="472"/>
      <c r="EJ70" s="472"/>
      <c r="EK70" s="472"/>
      <c r="EL70" s="472"/>
      <c r="EM70" s="472"/>
      <c r="EN70" s="472"/>
      <c r="EO70" s="472"/>
      <c r="EP70" s="472"/>
      <c r="EQ70" s="472"/>
      <c r="ER70" s="472"/>
      <c r="ES70" s="472"/>
      <c r="ET70" s="472"/>
      <c r="EU70" s="472"/>
      <c r="EV70" s="472"/>
      <c r="EW70" s="472"/>
      <c r="EX70" s="472"/>
      <c r="EY70" s="472"/>
      <c r="EZ70" s="472"/>
      <c r="FA70" s="472"/>
      <c r="FB70" s="472"/>
      <c r="FC70" s="472"/>
    </row>
    <row r="71" spans="2:159" s="762" customFormat="1">
      <c r="B71" s="763" t="s">
        <v>1453</v>
      </c>
      <c r="C71" s="763">
        <v>124</v>
      </c>
      <c r="D71" s="763">
        <v>8</v>
      </c>
      <c r="E71" s="764">
        <v>0</v>
      </c>
      <c r="G71" s="773" t="s">
        <v>831</v>
      </c>
      <c r="H71" s="763">
        <v>7</v>
      </c>
      <c r="I71" s="762">
        <f>C71+H71</f>
        <v>131</v>
      </c>
      <c r="L71" s="774">
        <v>251023</v>
      </c>
      <c r="N71" s="767">
        <f>L71-L71*E71</f>
        <v>251023</v>
      </c>
      <c r="O71" s="767">
        <f>N71/H71/12</f>
        <v>2988.3690476190477</v>
      </c>
      <c r="P71" s="767">
        <f>IF(M71&gt;0,0,IF(OR(AC71&gt;AD71,AE71&lt;AF71),0,IF(AND(AE71&gt;=AF71,AE71&lt;=AD71),O71*((AE71-AF71)*12),IF(AND(AF71&lt;=AC71,AD71&gt;=AC71),((AD71-AC71)*12)*O71,IF(AE71&gt;AD71,12*O71,0)))))</f>
        <v>0</v>
      </c>
      <c r="Q71" s="762">
        <f>IF(M71=0,0,IF(AND(AG71&gt;=AF71,AG71&lt;=AE71),((AG71-AF71)*12)*O71,0))</f>
        <v>0</v>
      </c>
      <c r="R71" s="767">
        <f>IF(Q71&gt;0,Q71,P71)</f>
        <v>0</v>
      </c>
      <c r="S71" s="768">
        <v>1</v>
      </c>
      <c r="T71" s="767">
        <f>S71*SUM(P71:Q71)</f>
        <v>0</v>
      </c>
      <c r="V71" s="767">
        <f>IF(AC71&gt;AD71,0,IF(AE71&lt;AF71,N71,IF(AND(AE71&gt;=AF71,AE71&lt;=AD71),(N71-R71),IF(AND(AF71&lt;=AC71,AD71&gt;=AC71),0,IF(AE71&gt;AD71,((AF71-AC71)*12)*O71,0)))))</f>
        <v>0</v>
      </c>
      <c r="W71" s="767">
        <f>V71*S71</f>
        <v>0</v>
      </c>
      <c r="X71" s="768">
        <v>1</v>
      </c>
      <c r="Y71" s="767">
        <f>W71*X71</f>
        <v>0</v>
      </c>
      <c r="Z71" s="767">
        <f>IF(M71&gt;0,0,Y71+T71*X71)*X71</f>
        <v>0</v>
      </c>
      <c r="AA71" s="767">
        <f>IF(M71&gt;0,(L71-Y71)/2,IF(AC71&gt;=AF71,(((L71*S71)*X71)-Z71)/2,((((L71*S71)*X71)-Y71)+(((L71*S71)*X71)-Z71))/2))</f>
        <v>125511.5</v>
      </c>
      <c r="AB71" s="767">
        <f>L71-Z71</f>
        <v>251023</v>
      </c>
      <c r="AC71" s="769">
        <f>$C71+(($D71-1)/12)</f>
        <v>124.58333333333333</v>
      </c>
      <c r="AD71" s="762">
        <f>($N$5+1)-($N$2/12)</f>
        <v>124.5</v>
      </c>
      <c r="AE71" s="769">
        <f>$I71+(($D71-1)/12)</f>
        <v>131.58333333333334</v>
      </c>
      <c r="AF71" s="762">
        <f>$N$4+($N$3/12)</f>
        <v>123.5</v>
      </c>
      <c r="AG71" s="770">
        <f>$J71+(($K71-1)/12)</f>
        <v>-8.3333333333333329E-2</v>
      </c>
      <c r="AI71" s="775"/>
      <c r="AJ71" s="775"/>
      <c r="AK71" s="775"/>
      <c r="AL71" s="776"/>
      <c r="AM71" s="776"/>
      <c r="AN71" s="776"/>
      <c r="AO71" s="776"/>
      <c r="AP71" s="776"/>
      <c r="AQ71" s="776"/>
    </row>
    <row r="72" spans="2:159">
      <c r="I72" s="252"/>
      <c r="L72" s="250"/>
      <c r="N72" s="250"/>
      <c r="R72" s="250"/>
      <c r="Y72" s="250"/>
      <c r="Z72" s="250"/>
      <c r="AI72" s="306"/>
      <c r="AJ72" s="306"/>
      <c r="AK72" s="306"/>
      <c r="AL72" s="306"/>
      <c r="AM72" s="306"/>
      <c r="AN72" s="306"/>
      <c r="AO72" s="306"/>
      <c r="AP72" s="306"/>
      <c r="AQ72" s="306"/>
    </row>
    <row r="73" spans="2:159" ht="16.5" thickBot="1">
      <c r="B73" s="255" t="s">
        <v>834</v>
      </c>
      <c r="I73" s="252"/>
      <c r="L73" s="250">
        <f>SUM(L67:L71)-L67-L68-L69</f>
        <v>256300</v>
      </c>
      <c r="N73" s="250">
        <f>SUM(N67:N71)-N67-N68-N69</f>
        <v>256300</v>
      </c>
      <c r="P73" s="251">
        <f>SUM(P67:P71)</f>
        <v>753.85714285714289</v>
      </c>
      <c r="Q73" s="251">
        <f>SUM(Q67:Q71)</f>
        <v>0</v>
      </c>
      <c r="R73" s="263">
        <f>SUM(R67:R71)</f>
        <v>753.85714285714289</v>
      </c>
      <c r="T73" s="257">
        <f>SUM(T67:T71)</f>
        <v>753.85714285714289</v>
      </c>
      <c r="V73" s="250">
        <f>SUM(V67:V71)</f>
        <v>195681.07142857142</v>
      </c>
      <c r="W73" s="250">
        <f>SUM(W67:W71)</f>
        <v>184036.47142857141</v>
      </c>
      <c r="Y73" s="250">
        <f>SUM(Y67:Y71)</f>
        <v>184036.47142857141</v>
      </c>
      <c r="Z73" s="250">
        <f>SUM(Z67:Z71)</f>
        <v>184790.32857142857</v>
      </c>
      <c r="AA73" s="257">
        <f>SUM(AA67:AA71)</f>
        <v>129029.5</v>
      </c>
      <c r="AB73" s="257">
        <f>SUM(AB67:AB71)</f>
        <v>254164.07142857142</v>
      </c>
      <c r="AL73" s="307"/>
      <c r="AM73" s="307"/>
      <c r="AN73" s="307"/>
      <c r="AO73" s="307"/>
      <c r="AP73" s="307"/>
      <c r="AQ73" s="307"/>
    </row>
    <row r="74" spans="2:159" ht="16.5" thickTop="1">
      <c r="B74" s="255"/>
      <c r="I74" s="252" t="s">
        <v>832</v>
      </c>
      <c r="L74" s="256">
        <f>SUM(L67:L70)</f>
        <v>199576</v>
      </c>
      <c r="N74" s="250"/>
      <c r="R74" s="250"/>
      <c r="T74" s="251"/>
      <c r="Y74" s="250"/>
      <c r="Z74" s="250"/>
      <c r="AA74" s="251"/>
      <c r="AB74" s="251"/>
      <c r="AL74" s="308"/>
      <c r="AM74" s="308"/>
      <c r="AN74" s="308"/>
      <c r="AO74" s="308"/>
      <c r="AP74" s="308"/>
      <c r="AQ74" s="308"/>
    </row>
    <row r="75" spans="2:159">
      <c r="B75" s="255" t="s">
        <v>835</v>
      </c>
      <c r="I75" s="252"/>
      <c r="L75" s="250"/>
      <c r="N75" s="250"/>
      <c r="R75" s="250"/>
      <c r="T75" s="251"/>
      <c r="Y75" s="250"/>
      <c r="Z75" s="250"/>
      <c r="AA75" s="251"/>
      <c r="AB75" s="251"/>
    </row>
    <row r="76" spans="2:159">
      <c r="B76" s="255" t="s">
        <v>434</v>
      </c>
      <c r="C76" s="255">
        <v>84</v>
      </c>
      <c r="D76" s="255">
        <v>11</v>
      </c>
      <c r="E76" s="262">
        <v>0</v>
      </c>
      <c r="G76" s="265" t="s">
        <v>831</v>
      </c>
      <c r="H76" s="255">
        <v>10</v>
      </c>
      <c r="I76" s="247">
        <f>C76+H76</f>
        <v>94</v>
      </c>
      <c r="L76" s="253">
        <v>1156</v>
      </c>
      <c r="N76" s="250">
        <f>L76-L76*E76</f>
        <v>1156</v>
      </c>
      <c r="O76" s="250">
        <f>N76/H76/12</f>
        <v>9.6333333333333329</v>
      </c>
      <c r="P76" s="250">
        <f>IF(M76&gt;0,0,IF(OR(AC76&gt;AD76,AE76&lt;AF76),0,IF(AND(AE76&gt;=AF76,AE76&lt;=AD76),O76*((AE76-AF76)*12),IF(AND(AF76&lt;=AC76,AD76&gt;=AC76),((AD76-AC76)*12)*O76,IF(AE76&gt;AD76,12*O76,0)))))</f>
        <v>0</v>
      </c>
      <c r="Q76" s="247">
        <f>IF(M76=0,0,IF(AND(AG76&gt;=AF76,AG76&lt;=AE76),((AG76-AF76)*12)*O76,0))</f>
        <v>0</v>
      </c>
      <c r="R76" s="250">
        <f>IF(Q76&gt;0,Q76,P76)</f>
        <v>0</v>
      </c>
      <c r="S76" s="260">
        <v>1</v>
      </c>
      <c r="T76" s="250">
        <f>S76*SUM(P76:Q76)</f>
        <v>0</v>
      </c>
      <c r="V76" s="250">
        <f>IF(AC76&gt;AD76,0,IF(AE76&lt;AF76,N76,IF(AND(AE76&gt;=AF76,AE76&lt;=AD76),(N76-R76),IF(AND(AF76&lt;=AC76,AD76&gt;=AC76),0,IF(AE76&gt;AD76,((AF76-AC76)*12)*O76,0)))))</f>
        <v>1156</v>
      </c>
      <c r="W76" s="250">
        <f>V76*S76</f>
        <v>1156</v>
      </c>
      <c r="X76" s="260">
        <v>1</v>
      </c>
      <c r="Y76" s="250">
        <f>W76*X76</f>
        <v>1156</v>
      </c>
      <c r="Z76" s="250">
        <f>IF(M76&gt;0,0,Y76+T76*X76)*X76</f>
        <v>1156</v>
      </c>
      <c r="AA76" s="250">
        <f>IF(M76&gt;0,(L76-Y76)/2,IF(AC76&gt;=AF76,(((L76*S76)*X76)-Z76)/2,((((L76*S76)*X76)-Y76)+(((L76*S76)*X76)-Z76))/2))</f>
        <v>0</v>
      </c>
      <c r="AB76" s="250">
        <f>L76-Z76</f>
        <v>0</v>
      </c>
      <c r="AC76" s="259">
        <f t="shared" ref="AC76:AC104" si="55">$C76+(($D76-1)/12)</f>
        <v>84.833333333333329</v>
      </c>
      <c r="AD76" s="247">
        <f t="shared" ref="AD76:AD104" si="56">($N$5+1)-($N$2/12)</f>
        <v>124.5</v>
      </c>
      <c r="AE76" s="259">
        <f t="shared" ref="AE76:AE104" si="57">$I76+(($D76-1)/12)</f>
        <v>94.833333333333329</v>
      </c>
      <c r="AF76" s="247">
        <f t="shared" ref="AF76:AF104" si="58">$N$4+($N$3/12)</f>
        <v>123.5</v>
      </c>
      <c r="AG76" s="258">
        <f t="shared" ref="AG76:AG104" si="59">$J76+(($K76-1)/12)</f>
        <v>-8.3333333333333329E-2</v>
      </c>
    </row>
    <row r="77" spans="2:159">
      <c r="B77" s="255" t="s">
        <v>434</v>
      </c>
      <c r="C77" s="255">
        <v>85</v>
      </c>
      <c r="D77" s="255">
        <v>8</v>
      </c>
      <c r="E77" s="262">
        <v>0</v>
      </c>
      <c r="G77" s="265" t="s">
        <v>831</v>
      </c>
      <c r="H77" s="255">
        <v>10</v>
      </c>
      <c r="I77" s="247">
        <f t="shared" ref="I77:I104" si="60">C77+H77</f>
        <v>95</v>
      </c>
      <c r="L77" s="253">
        <v>5454</v>
      </c>
      <c r="N77" s="250">
        <f t="shared" ref="N77:N104" si="61">L77-L77*E77</f>
        <v>5454</v>
      </c>
      <c r="O77" s="250">
        <f t="shared" ref="O77:O104" si="62">N77/H77/12</f>
        <v>45.449999999999996</v>
      </c>
      <c r="P77" s="250">
        <f t="shared" ref="P77:P104" si="63">IF(M77&gt;0,0,IF(OR(AC77&gt;AD77,AE77&lt;AF77),0,IF(AND(AE77&gt;=AF77,AE77&lt;=AD77),O77*((AE77-AF77)*12),IF(AND(AF77&lt;=AC77,AD77&gt;=AC77),((AD77-AC77)*12)*O77,IF(AE77&gt;AD77,12*O77,0)))))</f>
        <v>0</v>
      </c>
      <c r="Q77" s="247">
        <f t="shared" ref="Q77:Q104" si="64">IF(M77=0,0,IF(AND(AG77&gt;=AF77,AG77&lt;=AE77),((AG77-AF77)*12)*O77,0))</f>
        <v>0</v>
      </c>
      <c r="R77" s="250">
        <f t="shared" ref="R77:R104" si="65">IF(Q77&gt;0,Q77,P77)</f>
        <v>0</v>
      </c>
      <c r="S77" s="260">
        <v>1</v>
      </c>
      <c r="T77" s="250">
        <f t="shared" ref="T77:T104" si="66">S77*SUM(P77:Q77)</f>
        <v>0</v>
      </c>
      <c r="V77" s="250">
        <f t="shared" ref="V77:V104" si="67">IF(AC77&gt;AD77,0,IF(AE77&lt;AF77,N77,IF(AND(AE77&gt;=AF77,AE77&lt;=AD77),(N77-R77),IF(AND(AF77&lt;=AC77,AD77&gt;=AC77),0,IF(AE77&gt;AD77,((AF77-AC77)*12)*O77,0)))))</f>
        <v>5454</v>
      </c>
      <c r="W77" s="250">
        <f t="shared" ref="W77:W104" si="68">V77*S77</f>
        <v>5454</v>
      </c>
      <c r="X77" s="260">
        <v>1</v>
      </c>
      <c r="Y77" s="250">
        <f t="shared" ref="Y77:Y104" si="69">W77*X77</f>
        <v>5454</v>
      </c>
      <c r="Z77" s="250">
        <f t="shared" ref="Z77:Z104" si="70">IF(M77&gt;0,0,Y77+T77*X77)*X77</f>
        <v>5454</v>
      </c>
      <c r="AA77" s="250">
        <f t="shared" ref="AA77:AA136" si="71">IF(M77&gt;0,(L77-Y77)/2,IF(AC77&gt;=AF77,(((L77*S77)*X77)-Z77)/2,((((L77*S77)*X77)-Y77)+(((L77*S77)*X77)-Z77))/2))</f>
        <v>0</v>
      </c>
      <c r="AB77" s="250">
        <f t="shared" ref="AB77:AB137" si="72">L77-Z77</f>
        <v>0</v>
      </c>
      <c r="AC77" s="259">
        <f t="shared" si="55"/>
        <v>85.583333333333329</v>
      </c>
      <c r="AD77" s="247">
        <f t="shared" si="56"/>
        <v>124.5</v>
      </c>
      <c r="AE77" s="259">
        <f t="shared" si="57"/>
        <v>95.583333333333329</v>
      </c>
      <c r="AF77" s="247">
        <f t="shared" si="58"/>
        <v>123.5</v>
      </c>
      <c r="AG77" s="258">
        <f t="shared" si="59"/>
        <v>-8.3333333333333329E-2</v>
      </c>
    </row>
    <row r="78" spans="2:159" ht="15" customHeight="1">
      <c r="B78" s="255" t="s">
        <v>435</v>
      </c>
      <c r="C78" s="255">
        <v>86</v>
      </c>
      <c r="D78" s="255">
        <v>6</v>
      </c>
      <c r="E78" s="262">
        <v>0</v>
      </c>
      <c r="G78" s="265" t="s">
        <v>831</v>
      </c>
      <c r="H78" s="255">
        <v>10</v>
      </c>
      <c r="I78" s="247">
        <f t="shared" si="60"/>
        <v>96</v>
      </c>
      <c r="L78" s="253">
        <v>2857</v>
      </c>
      <c r="N78" s="250">
        <f t="shared" si="61"/>
        <v>2857</v>
      </c>
      <c r="O78" s="250">
        <f t="shared" si="62"/>
        <v>23.808333333333334</v>
      </c>
      <c r="P78" s="250">
        <f t="shared" si="63"/>
        <v>0</v>
      </c>
      <c r="Q78" s="247">
        <f t="shared" si="64"/>
        <v>0</v>
      </c>
      <c r="R78" s="250">
        <f t="shared" si="65"/>
        <v>0</v>
      </c>
      <c r="S78" s="260">
        <v>1</v>
      </c>
      <c r="T78" s="250">
        <f t="shared" si="66"/>
        <v>0</v>
      </c>
      <c r="V78" s="250">
        <f t="shared" si="67"/>
        <v>2857</v>
      </c>
      <c r="W78" s="250">
        <f t="shared" si="68"/>
        <v>2857</v>
      </c>
      <c r="X78" s="260">
        <v>1</v>
      </c>
      <c r="Y78" s="250">
        <f t="shared" si="69"/>
        <v>2857</v>
      </c>
      <c r="Z78" s="250">
        <f t="shared" si="70"/>
        <v>2857</v>
      </c>
      <c r="AA78" s="250">
        <f t="shared" si="71"/>
        <v>0</v>
      </c>
      <c r="AB78" s="250">
        <f t="shared" si="72"/>
        <v>0</v>
      </c>
      <c r="AC78" s="259">
        <f t="shared" si="55"/>
        <v>86.416666666666671</v>
      </c>
      <c r="AD78" s="247">
        <f t="shared" si="56"/>
        <v>124.5</v>
      </c>
      <c r="AE78" s="259">
        <f t="shared" si="57"/>
        <v>96.416666666666671</v>
      </c>
      <c r="AF78" s="247">
        <f t="shared" si="58"/>
        <v>123.5</v>
      </c>
      <c r="AG78" s="258">
        <f t="shared" si="59"/>
        <v>-8.3333333333333329E-2</v>
      </c>
    </row>
    <row r="79" spans="2:159">
      <c r="B79" s="255" t="s">
        <v>436</v>
      </c>
      <c r="C79" s="255">
        <v>87</v>
      </c>
      <c r="D79" s="255">
        <v>5</v>
      </c>
      <c r="E79" s="262">
        <v>0</v>
      </c>
      <c r="G79" s="265" t="s">
        <v>831</v>
      </c>
      <c r="H79" s="255">
        <v>10</v>
      </c>
      <c r="I79" s="247">
        <f t="shared" si="60"/>
        <v>97</v>
      </c>
      <c r="L79" s="253">
        <v>830</v>
      </c>
      <c r="N79" s="250">
        <f t="shared" si="61"/>
        <v>830</v>
      </c>
      <c r="O79" s="250">
        <f t="shared" si="62"/>
        <v>6.916666666666667</v>
      </c>
      <c r="P79" s="250">
        <f t="shared" si="63"/>
        <v>0</v>
      </c>
      <c r="Q79" s="247">
        <f t="shared" si="64"/>
        <v>0</v>
      </c>
      <c r="R79" s="250">
        <f t="shared" si="65"/>
        <v>0</v>
      </c>
      <c r="S79" s="260">
        <v>1</v>
      </c>
      <c r="T79" s="250">
        <f t="shared" si="66"/>
        <v>0</v>
      </c>
      <c r="V79" s="250">
        <f t="shared" si="67"/>
        <v>830</v>
      </c>
      <c r="W79" s="250">
        <f t="shared" si="68"/>
        <v>830</v>
      </c>
      <c r="X79" s="260">
        <v>1</v>
      </c>
      <c r="Y79" s="250">
        <f t="shared" si="69"/>
        <v>830</v>
      </c>
      <c r="Z79" s="250">
        <f t="shared" si="70"/>
        <v>830</v>
      </c>
      <c r="AA79" s="250">
        <f t="shared" si="71"/>
        <v>0</v>
      </c>
      <c r="AB79" s="250">
        <f t="shared" si="72"/>
        <v>0</v>
      </c>
      <c r="AC79" s="259">
        <f t="shared" si="55"/>
        <v>87.333333333333329</v>
      </c>
      <c r="AD79" s="247">
        <f t="shared" si="56"/>
        <v>124.5</v>
      </c>
      <c r="AE79" s="259">
        <f t="shared" si="57"/>
        <v>97.333333333333329</v>
      </c>
      <c r="AF79" s="247">
        <f t="shared" si="58"/>
        <v>123.5</v>
      </c>
      <c r="AG79" s="258">
        <f t="shared" si="59"/>
        <v>-8.3333333333333329E-2</v>
      </c>
    </row>
    <row r="80" spans="2:159">
      <c r="B80" s="255" t="s">
        <v>437</v>
      </c>
      <c r="C80" s="255">
        <v>87</v>
      </c>
      <c r="D80" s="255">
        <v>5</v>
      </c>
      <c r="E80" s="262">
        <v>0</v>
      </c>
      <c r="G80" s="265" t="s">
        <v>831</v>
      </c>
      <c r="H80" s="255">
        <v>10</v>
      </c>
      <c r="I80" s="247">
        <f t="shared" si="60"/>
        <v>97</v>
      </c>
      <c r="L80" s="253">
        <v>4312</v>
      </c>
      <c r="N80" s="250">
        <f t="shared" si="61"/>
        <v>4312</v>
      </c>
      <c r="O80" s="250">
        <f t="shared" si="62"/>
        <v>35.93333333333333</v>
      </c>
      <c r="P80" s="250">
        <f t="shared" si="63"/>
        <v>0</v>
      </c>
      <c r="Q80" s="247">
        <f t="shared" si="64"/>
        <v>0</v>
      </c>
      <c r="R80" s="250">
        <f t="shared" si="65"/>
        <v>0</v>
      </c>
      <c r="S80" s="260">
        <v>1</v>
      </c>
      <c r="T80" s="250">
        <f t="shared" si="66"/>
        <v>0</v>
      </c>
      <c r="V80" s="250">
        <f t="shared" si="67"/>
        <v>4312</v>
      </c>
      <c r="W80" s="250">
        <f t="shared" si="68"/>
        <v>4312</v>
      </c>
      <c r="X80" s="260">
        <v>1</v>
      </c>
      <c r="Y80" s="250">
        <f t="shared" si="69"/>
        <v>4312</v>
      </c>
      <c r="Z80" s="250">
        <f t="shared" si="70"/>
        <v>4312</v>
      </c>
      <c r="AA80" s="250">
        <f t="shared" si="71"/>
        <v>0</v>
      </c>
      <c r="AB80" s="250">
        <f t="shared" si="72"/>
        <v>0</v>
      </c>
      <c r="AC80" s="259">
        <f t="shared" si="55"/>
        <v>87.333333333333329</v>
      </c>
      <c r="AD80" s="247">
        <f t="shared" si="56"/>
        <v>124.5</v>
      </c>
      <c r="AE80" s="259">
        <f t="shared" si="57"/>
        <v>97.333333333333329</v>
      </c>
      <c r="AF80" s="247">
        <f t="shared" si="58"/>
        <v>123.5</v>
      </c>
      <c r="AG80" s="258">
        <f t="shared" si="59"/>
        <v>-8.3333333333333329E-2</v>
      </c>
    </row>
    <row r="81" spans="2:33">
      <c r="B81" s="255" t="s">
        <v>438</v>
      </c>
      <c r="C81" s="255">
        <v>87</v>
      </c>
      <c r="D81" s="255">
        <v>5</v>
      </c>
      <c r="E81" s="262">
        <v>0</v>
      </c>
      <c r="G81" s="265" t="s">
        <v>831</v>
      </c>
      <c r="H81" s="255">
        <v>10</v>
      </c>
      <c r="I81" s="247">
        <f t="shared" si="60"/>
        <v>97</v>
      </c>
      <c r="L81" s="253">
        <v>1742</v>
      </c>
      <c r="N81" s="250">
        <f t="shared" si="61"/>
        <v>1742</v>
      </c>
      <c r="O81" s="250">
        <f t="shared" si="62"/>
        <v>14.516666666666666</v>
      </c>
      <c r="P81" s="250">
        <f t="shared" si="63"/>
        <v>0</v>
      </c>
      <c r="Q81" s="247">
        <f t="shared" si="64"/>
        <v>0</v>
      </c>
      <c r="R81" s="250">
        <f t="shared" si="65"/>
        <v>0</v>
      </c>
      <c r="S81" s="260">
        <v>1</v>
      </c>
      <c r="T81" s="250">
        <f t="shared" si="66"/>
        <v>0</v>
      </c>
      <c r="V81" s="250">
        <f t="shared" si="67"/>
        <v>1742</v>
      </c>
      <c r="W81" s="250">
        <f t="shared" si="68"/>
        <v>1742</v>
      </c>
      <c r="X81" s="260">
        <v>1</v>
      </c>
      <c r="Y81" s="250">
        <f t="shared" si="69"/>
        <v>1742</v>
      </c>
      <c r="Z81" s="250">
        <f t="shared" si="70"/>
        <v>1742</v>
      </c>
      <c r="AA81" s="250">
        <f t="shared" si="71"/>
        <v>0</v>
      </c>
      <c r="AB81" s="250">
        <f t="shared" si="72"/>
        <v>0</v>
      </c>
      <c r="AC81" s="259">
        <f t="shared" si="55"/>
        <v>87.333333333333329</v>
      </c>
      <c r="AD81" s="247">
        <f t="shared" si="56"/>
        <v>124.5</v>
      </c>
      <c r="AE81" s="259">
        <f t="shared" si="57"/>
        <v>97.333333333333329</v>
      </c>
      <c r="AF81" s="247">
        <f t="shared" si="58"/>
        <v>123.5</v>
      </c>
      <c r="AG81" s="258">
        <f t="shared" si="59"/>
        <v>-8.3333333333333329E-2</v>
      </c>
    </row>
    <row r="82" spans="2:33">
      <c r="B82" s="255" t="s">
        <v>439</v>
      </c>
      <c r="C82" s="255">
        <v>87</v>
      </c>
      <c r="D82" s="255">
        <v>7</v>
      </c>
      <c r="E82" s="262">
        <v>0</v>
      </c>
      <c r="G82" s="265" t="s">
        <v>831</v>
      </c>
      <c r="H82" s="255">
        <v>10</v>
      </c>
      <c r="I82" s="247">
        <f t="shared" si="60"/>
        <v>97</v>
      </c>
      <c r="L82" s="253">
        <v>2555</v>
      </c>
      <c r="N82" s="250">
        <f t="shared" si="61"/>
        <v>2555</v>
      </c>
      <c r="O82" s="250">
        <f t="shared" si="62"/>
        <v>21.291666666666668</v>
      </c>
      <c r="P82" s="250">
        <f t="shared" si="63"/>
        <v>0</v>
      </c>
      <c r="Q82" s="247">
        <f t="shared" si="64"/>
        <v>0</v>
      </c>
      <c r="R82" s="250">
        <f t="shared" si="65"/>
        <v>0</v>
      </c>
      <c r="S82" s="260">
        <v>1</v>
      </c>
      <c r="T82" s="250">
        <f t="shared" si="66"/>
        <v>0</v>
      </c>
      <c r="V82" s="250">
        <f t="shared" si="67"/>
        <v>2555</v>
      </c>
      <c r="W82" s="250">
        <f t="shared" si="68"/>
        <v>2555</v>
      </c>
      <c r="X82" s="260">
        <v>1</v>
      </c>
      <c r="Y82" s="250">
        <f t="shared" si="69"/>
        <v>2555</v>
      </c>
      <c r="Z82" s="250">
        <f t="shared" si="70"/>
        <v>2555</v>
      </c>
      <c r="AA82" s="250">
        <f t="shared" si="71"/>
        <v>0</v>
      </c>
      <c r="AB82" s="250">
        <f t="shared" si="72"/>
        <v>0</v>
      </c>
      <c r="AC82" s="259">
        <f t="shared" si="55"/>
        <v>87.5</v>
      </c>
      <c r="AD82" s="247">
        <f t="shared" si="56"/>
        <v>124.5</v>
      </c>
      <c r="AE82" s="259">
        <f t="shared" si="57"/>
        <v>97.5</v>
      </c>
      <c r="AF82" s="247">
        <f t="shared" si="58"/>
        <v>123.5</v>
      </c>
      <c r="AG82" s="258">
        <f t="shared" si="59"/>
        <v>-8.3333333333333329E-2</v>
      </c>
    </row>
    <row r="83" spans="2:33">
      <c r="B83" s="255" t="s">
        <v>440</v>
      </c>
      <c r="C83" s="255">
        <v>88</v>
      </c>
      <c r="D83" s="255">
        <v>5</v>
      </c>
      <c r="E83" s="262">
        <v>0</v>
      </c>
      <c r="G83" s="265" t="s">
        <v>831</v>
      </c>
      <c r="H83" s="255">
        <v>10</v>
      </c>
      <c r="I83" s="247">
        <f t="shared" si="60"/>
        <v>98</v>
      </c>
      <c r="L83" s="253">
        <v>508</v>
      </c>
      <c r="N83" s="250">
        <f t="shared" si="61"/>
        <v>508</v>
      </c>
      <c r="O83" s="250">
        <f t="shared" si="62"/>
        <v>4.2333333333333334</v>
      </c>
      <c r="P83" s="250">
        <f t="shared" si="63"/>
        <v>0</v>
      </c>
      <c r="Q83" s="247">
        <f t="shared" si="64"/>
        <v>0</v>
      </c>
      <c r="R83" s="250">
        <f t="shared" si="65"/>
        <v>0</v>
      </c>
      <c r="S83" s="260">
        <v>1</v>
      </c>
      <c r="T83" s="250">
        <f t="shared" si="66"/>
        <v>0</v>
      </c>
      <c r="V83" s="250">
        <f t="shared" si="67"/>
        <v>508</v>
      </c>
      <c r="W83" s="250">
        <f t="shared" si="68"/>
        <v>508</v>
      </c>
      <c r="X83" s="260">
        <v>1</v>
      </c>
      <c r="Y83" s="250">
        <f t="shared" si="69"/>
        <v>508</v>
      </c>
      <c r="Z83" s="250">
        <f t="shared" si="70"/>
        <v>508</v>
      </c>
      <c r="AA83" s="250">
        <f t="shared" si="71"/>
        <v>0</v>
      </c>
      <c r="AB83" s="250">
        <f t="shared" si="72"/>
        <v>0</v>
      </c>
      <c r="AC83" s="259">
        <f t="shared" si="55"/>
        <v>88.333333333333329</v>
      </c>
      <c r="AD83" s="247">
        <f t="shared" si="56"/>
        <v>124.5</v>
      </c>
      <c r="AE83" s="259">
        <f t="shared" si="57"/>
        <v>98.333333333333329</v>
      </c>
      <c r="AF83" s="247">
        <f t="shared" si="58"/>
        <v>123.5</v>
      </c>
      <c r="AG83" s="258">
        <f t="shared" si="59"/>
        <v>-8.3333333333333329E-2</v>
      </c>
    </row>
    <row r="84" spans="2:33">
      <c r="B84" s="255" t="s">
        <v>441</v>
      </c>
      <c r="C84" s="255">
        <v>88</v>
      </c>
      <c r="D84" s="255">
        <v>5</v>
      </c>
      <c r="E84" s="262">
        <v>0</v>
      </c>
      <c r="G84" s="265" t="s">
        <v>831</v>
      </c>
      <c r="H84" s="255">
        <v>10</v>
      </c>
      <c r="I84" s="247">
        <f t="shared" si="60"/>
        <v>98</v>
      </c>
      <c r="L84" s="253">
        <v>1039</v>
      </c>
      <c r="N84" s="250">
        <f t="shared" si="61"/>
        <v>1039</v>
      </c>
      <c r="O84" s="250">
        <f t="shared" si="62"/>
        <v>8.6583333333333332</v>
      </c>
      <c r="P84" s="250">
        <f t="shared" si="63"/>
        <v>0</v>
      </c>
      <c r="Q84" s="247">
        <f t="shared" si="64"/>
        <v>0</v>
      </c>
      <c r="R84" s="250">
        <f t="shared" si="65"/>
        <v>0</v>
      </c>
      <c r="S84" s="260">
        <v>1</v>
      </c>
      <c r="T84" s="250">
        <f t="shared" si="66"/>
        <v>0</v>
      </c>
      <c r="V84" s="250">
        <f t="shared" si="67"/>
        <v>1039</v>
      </c>
      <c r="W84" s="250">
        <f t="shared" si="68"/>
        <v>1039</v>
      </c>
      <c r="X84" s="260">
        <v>1</v>
      </c>
      <c r="Y84" s="250">
        <f t="shared" si="69"/>
        <v>1039</v>
      </c>
      <c r="Z84" s="250">
        <f t="shared" si="70"/>
        <v>1039</v>
      </c>
      <c r="AA84" s="250">
        <f t="shared" si="71"/>
        <v>0</v>
      </c>
      <c r="AB84" s="250">
        <f t="shared" si="72"/>
        <v>0</v>
      </c>
      <c r="AC84" s="259">
        <f t="shared" si="55"/>
        <v>88.333333333333329</v>
      </c>
      <c r="AD84" s="247">
        <f t="shared" si="56"/>
        <v>124.5</v>
      </c>
      <c r="AE84" s="259">
        <f t="shared" si="57"/>
        <v>98.333333333333329</v>
      </c>
      <c r="AF84" s="247">
        <f t="shared" si="58"/>
        <v>123.5</v>
      </c>
      <c r="AG84" s="258">
        <f t="shared" si="59"/>
        <v>-8.3333333333333329E-2</v>
      </c>
    </row>
    <row r="85" spans="2:33">
      <c r="B85" s="255" t="s">
        <v>442</v>
      </c>
      <c r="C85" s="255">
        <v>88</v>
      </c>
      <c r="D85" s="255">
        <v>5</v>
      </c>
      <c r="E85" s="262">
        <v>0</v>
      </c>
      <c r="G85" s="265" t="s">
        <v>831</v>
      </c>
      <c r="H85" s="255">
        <v>10</v>
      </c>
      <c r="I85" s="247">
        <f t="shared" si="60"/>
        <v>98</v>
      </c>
      <c r="L85" s="253">
        <v>2173</v>
      </c>
      <c r="N85" s="250">
        <f t="shared" si="61"/>
        <v>2173</v>
      </c>
      <c r="O85" s="250">
        <f t="shared" si="62"/>
        <v>18.108333333333334</v>
      </c>
      <c r="P85" s="250">
        <f t="shared" si="63"/>
        <v>0</v>
      </c>
      <c r="Q85" s="247">
        <f t="shared" si="64"/>
        <v>0</v>
      </c>
      <c r="R85" s="250">
        <f t="shared" si="65"/>
        <v>0</v>
      </c>
      <c r="S85" s="260">
        <v>1</v>
      </c>
      <c r="T85" s="250">
        <f t="shared" si="66"/>
        <v>0</v>
      </c>
      <c r="V85" s="250">
        <f t="shared" si="67"/>
        <v>2173</v>
      </c>
      <c r="W85" s="250">
        <f t="shared" si="68"/>
        <v>2173</v>
      </c>
      <c r="X85" s="260">
        <v>1</v>
      </c>
      <c r="Y85" s="250">
        <f t="shared" si="69"/>
        <v>2173</v>
      </c>
      <c r="Z85" s="250">
        <f t="shared" si="70"/>
        <v>2173</v>
      </c>
      <c r="AA85" s="250">
        <f t="shared" si="71"/>
        <v>0</v>
      </c>
      <c r="AB85" s="250">
        <f t="shared" si="72"/>
        <v>0</v>
      </c>
      <c r="AC85" s="259">
        <f t="shared" si="55"/>
        <v>88.333333333333329</v>
      </c>
      <c r="AD85" s="247">
        <f t="shared" si="56"/>
        <v>124.5</v>
      </c>
      <c r="AE85" s="259">
        <f t="shared" si="57"/>
        <v>98.333333333333329</v>
      </c>
      <c r="AF85" s="247">
        <f t="shared" si="58"/>
        <v>123.5</v>
      </c>
      <c r="AG85" s="258">
        <f t="shared" si="59"/>
        <v>-8.3333333333333329E-2</v>
      </c>
    </row>
    <row r="86" spans="2:33">
      <c r="B86" s="255" t="s">
        <v>443</v>
      </c>
      <c r="C86" s="255">
        <v>88</v>
      </c>
      <c r="D86" s="255">
        <v>5</v>
      </c>
      <c r="E86" s="262">
        <v>0</v>
      </c>
      <c r="G86" s="265" t="s">
        <v>831</v>
      </c>
      <c r="H86" s="255">
        <v>10</v>
      </c>
      <c r="I86" s="247">
        <f t="shared" si="60"/>
        <v>98</v>
      </c>
      <c r="L86" s="253">
        <v>251</v>
      </c>
      <c r="N86" s="250">
        <f t="shared" si="61"/>
        <v>251</v>
      </c>
      <c r="O86" s="250">
        <f t="shared" si="62"/>
        <v>2.0916666666666668</v>
      </c>
      <c r="P86" s="250">
        <f t="shared" si="63"/>
        <v>0</v>
      </c>
      <c r="Q86" s="247">
        <f t="shared" si="64"/>
        <v>0</v>
      </c>
      <c r="R86" s="250">
        <f t="shared" si="65"/>
        <v>0</v>
      </c>
      <c r="S86" s="260">
        <v>1</v>
      </c>
      <c r="T86" s="250">
        <f t="shared" si="66"/>
        <v>0</v>
      </c>
      <c r="V86" s="250">
        <f t="shared" si="67"/>
        <v>251</v>
      </c>
      <c r="W86" s="250">
        <f t="shared" si="68"/>
        <v>251</v>
      </c>
      <c r="X86" s="260">
        <v>1</v>
      </c>
      <c r="Y86" s="250">
        <f t="shared" si="69"/>
        <v>251</v>
      </c>
      <c r="Z86" s="250">
        <f t="shared" si="70"/>
        <v>251</v>
      </c>
      <c r="AA86" s="250">
        <f t="shared" si="71"/>
        <v>0</v>
      </c>
      <c r="AB86" s="250">
        <f t="shared" si="72"/>
        <v>0</v>
      </c>
      <c r="AC86" s="259">
        <f t="shared" si="55"/>
        <v>88.333333333333329</v>
      </c>
      <c r="AD86" s="247">
        <f t="shared" si="56"/>
        <v>124.5</v>
      </c>
      <c r="AE86" s="259">
        <f t="shared" si="57"/>
        <v>98.333333333333329</v>
      </c>
      <c r="AF86" s="247">
        <f t="shared" si="58"/>
        <v>123.5</v>
      </c>
      <c r="AG86" s="258">
        <f t="shared" si="59"/>
        <v>-8.3333333333333329E-2</v>
      </c>
    </row>
    <row r="87" spans="2:33">
      <c r="B87" s="255" t="s">
        <v>444</v>
      </c>
      <c r="C87" s="255">
        <v>88</v>
      </c>
      <c r="D87" s="255">
        <v>6</v>
      </c>
      <c r="E87" s="262">
        <v>0</v>
      </c>
      <c r="G87" s="265" t="s">
        <v>831</v>
      </c>
      <c r="H87" s="255">
        <v>10</v>
      </c>
      <c r="I87" s="247">
        <f t="shared" si="60"/>
        <v>98</v>
      </c>
      <c r="L87" s="253">
        <v>1202</v>
      </c>
      <c r="N87" s="250">
        <f t="shared" si="61"/>
        <v>1202</v>
      </c>
      <c r="O87" s="250">
        <f t="shared" si="62"/>
        <v>10.016666666666667</v>
      </c>
      <c r="P87" s="250">
        <f t="shared" si="63"/>
        <v>0</v>
      </c>
      <c r="Q87" s="247">
        <f t="shared" si="64"/>
        <v>0</v>
      </c>
      <c r="R87" s="250">
        <f t="shared" si="65"/>
        <v>0</v>
      </c>
      <c r="S87" s="260">
        <v>1</v>
      </c>
      <c r="T87" s="250">
        <f t="shared" si="66"/>
        <v>0</v>
      </c>
      <c r="V87" s="250">
        <f t="shared" si="67"/>
        <v>1202</v>
      </c>
      <c r="W87" s="250">
        <f t="shared" si="68"/>
        <v>1202</v>
      </c>
      <c r="X87" s="260">
        <v>1</v>
      </c>
      <c r="Y87" s="250">
        <f t="shared" si="69"/>
        <v>1202</v>
      </c>
      <c r="Z87" s="250">
        <f t="shared" si="70"/>
        <v>1202</v>
      </c>
      <c r="AA87" s="250">
        <f t="shared" si="71"/>
        <v>0</v>
      </c>
      <c r="AB87" s="250">
        <f t="shared" si="72"/>
        <v>0</v>
      </c>
      <c r="AC87" s="259">
        <f t="shared" si="55"/>
        <v>88.416666666666671</v>
      </c>
      <c r="AD87" s="247">
        <f t="shared" si="56"/>
        <v>124.5</v>
      </c>
      <c r="AE87" s="259">
        <f t="shared" si="57"/>
        <v>98.416666666666671</v>
      </c>
      <c r="AF87" s="247">
        <f t="shared" si="58"/>
        <v>123.5</v>
      </c>
      <c r="AG87" s="258">
        <f t="shared" si="59"/>
        <v>-8.3333333333333329E-2</v>
      </c>
    </row>
    <row r="88" spans="2:33">
      <c r="B88" s="255" t="s">
        <v>445</v>
      </c>
      <c r="C88" s="255">
        <v>88</v>
      </c>
      <c r="D88" s="255">
        <v>7</v>
      </c>
      <c r="E88" s="262">
        <v>0</v>
      </c>
      <c r="G88" s="265" t="s">
        <v>831</v>
      </c>
      <c r="H88" s="255">
        <v>10</v>
      </c>
      <c r="I88" s="247">
        <f t="shared" si="60"/>
        <v>98</v>
      </c>
      <c r="L88" s="253">
        <v>508</v>
      </c>
      <c r="N88" s="250">
        <f t="shared" si="61"/>
        <v>508</v>
      </c>
      <c r="O88" s="250">
        <f t="shared" si="62"/>
        <v>4.2333333333333334</v>
      </c>
      <c r="P88" s="250">
        <f t="shared" si="63"/>
        <v>0</v>
      </c>
      <c r="Q88" s="247">
        <f t="shared" si="64"/>
        <v>0</v>
      </c>
      <c r="R88" s="250">
        <f t="shared" si="65"/>
        <v>0</v>
      </c>
      <c r="S88" s="260">
        <v>1</v>
      </c>
      <c r="T88" s="250">
        <f t="shared" si="66"/>
        <v>0</v>
      </c>
      <c r="V88" s="250">
        <f t="shared" si="67"/>
        <v>508</v>
      </c>
      <c r="W88" s="250">
        <f t="shared" si="68"/>
        <v>508</v>
      </c>
      <c r="X88" s="260">
        <v>1</v>
      </c>
      <c r="Y88" s="250">
        <f t="shared" si="69"/>
        <v>508</v>
      </c>
      <c r="Z88" s="250">
        <f t="shared" si="70"/>
        <v>508</v>
      </c>
      <c r="AA88" s="250">
        <f t="shared" si="71"/>
        <v>0</v>
      </c>
      <c r="AB88" s="250">
        <f t="shared" si="72"/>
        <v>0</v>
      </c>
      <c r="AC88" s="259">
        <f t="shared" si="55"/>
        <v>88.5</v>
      </c>
      <c r="AD88" s="247">
        <f t="shared" si="56"/>
        <v>124.5</v>
      </c>
      <c r="AE88" s="259">
        <f t="shared" si="57"/>
        <v>98.5</v>
      </c>
      <c r="AF88" s="247">
        <f t="shared" si="58"/>
        <v>123.5</v>
      </c>
      <c r="AG88" s="258">
        <f t="shared" si="59"/>
        <v>-8.3333333333333329E-2</v>
      </c>
    </row>
    <row r="89" spans="2:33">
      <c r="B89" s="255" t="s">
        <v>446</v>
      </c>
      <c r="C89" s="255">
        <v>88</v>
      </c>
      <c r="D89" s="255">
        <v>7</v>
      </c>
      <c r="E89" s="262">
        <v>0</v>
      </c>
      <c r="G89" s="265" t="s">
        <v>831</v>
      </c>
      <c r="H89" s="255">
        <v>10</v>
      </c>
      <c r="I89" s="247">
        <f t="shared" si="60"/>
        <v>98</v>
      </c>
      <c r="L89" s="253">
        <v>601</v>
      </c>
      <c r="N89" s="250">
        <f t="shared" si="61"/>
        <v>601</v>
      </c>
      <c r="O89" s="250">
        <f t="shared" si="62"/>
        <v>5.0083333333333337</v>
      </c>
      <c r="P89" s="250">
        <f t="shared" si="63"/>
        <v>0</v>
      </c>
      <c r="Q89" s="247">
        <f t="shared" si="64"/>
        <v>0</v>
      </c>
      <c r="R89" s="250">
        <f t="shared" si="65"/>
        <v>0</v>
      </c>
      <c r="S89" s="260">
        <v>1</v>
      </c>
      <c r="T89" s="250">
        <f t="shared" si="66"/>
        <v>0</v>
      </c>
      <c r="V89" s="250">
        <f t="shared" si="67"/>
        <v>601</v>
      </c>
      <c r="W89" s="250">
        <f t="shared" si="68"/>
        <v>601</v>
      </c>
      <c r="X89" s="260">
        <v>1</v>
      </c>
      <c r="Y89" s="250">
        <f t="shared" si="69"/>
        <v>601</v>
      </c>
      <c r="Z89" s="250">
        <f t="shared" si="70"/>
        <v>601</v>
      </c>
      <c r="AA89" s="250">
        <f t="shared" si="71"/>
        <v>0</v>
      </c>
      <c r="AB89" s="250">
        <f t="shared" si="72"/>
        <v>0</v>
      </c>
      <c r="AC89" s="259">
        <f t="shared" si="55"/>
        <v>88.5</v>
      </c>
      <c r="AD89" s="247">
        <f t="shared" si="56"/>
        <v>124.5</v>
      </c>
      <c r="AE89" s="259">
        <f t="shared" si="57"/>
        <v>98.5</v>
      </c>
      <c r="AF89" s="247">
        <f t="shared" si="58"/>
        <v>123.5</v>
      </c>
      <c r="AG89" s="258">
        <f t="shared" si="59"/>
        <v>-8.3333333333333329E-2</v>
      </c>
    </row>
    <row r="90" spans="2:33">
      <c r="B90" s="255" t="s">
        <v>447</v>
      </c>
      <c r="C90" s="255">
        <v>88</v>
      </c>
      <c r="D90" s="255">
        <v>8</v>
      </c>
      <c r="E90" s="262">
        <v>0</v>
      </c>
      <c r="G90" s="265" t="s">
        <v>831</v>
      </c>
      <c r="H90" s="255">
        <v>10</v>
      </c>
      <c r="I90" s="247">
        <f t="shared" si="60"/>
        <v>98</v>
      </c>
      <c r="L90" s="253">
        <v>301</v>
      </c>
      <c r="N90" s="250">
        <f t="shared" si="61"/>
        <v>301</v>
      </c>
      <c r="O90" s="250">
        <f t="shared" si="62"/>
        <v>2.5083333333333333</v>
      </c>
      <c r="P90" s="250">
        <f t="shared" si="63"/>
        <v>0</v>
      </c>
      <c r="Q90" s="247">
        <f t="shared" si="64"/>
        <v>0</v>
      </c>
      <c r="R90" s="250">
        <f t="shared" si="65"/>
        <v>0</v>
      </c>
      <c r="S90" s="260">
        <v>1</v>
      </c>
      <c r="T90" s="250">
        <f t="shared" si="66"/>
        <v>0</v>
      </c>
      <c r="V90" s="250">
        <f t="shared" si="67"/>
        <v>301</v>
      </c>
      <c r="W90" s="250">
        <f t="shared" si="68"/>
        <v>301</v>
      </c>
      <c r="X90" s="260">
        <v>1</v>
      </c>
      <c r="Y90" s="250">
        <f t="shared" si="69"/>
        <v>301</v>
      </c>
      <c r="Z90" s="250">
        <f t="shared" si="70"/>
        <v>301</v>
      </c>
      <c r="AA90" s="250">
        <f t="shared" si="71"/>
        <v>0</v>
      </c>
      <c r="AB90" s="250">
        <f t="shared" si="72"/>
        <v>0</v>
      </c>
      <c r="AC90" s="259">
        <f t="shared" si="55"/>
        <v>88.583333333333329</v>
      </c>
      <c r="AD90" s="247">
        <f t="shared" si="56"/>
        <v>124.5</v>
      </c>
      <c r="AE90" s="259">
        <f t="shared" si="57"/>
        <v>98.583333333333329</v>
      </c>
      <c r="AF90" s="247">
        <f t="shared" si="58"/>
        <v>123.5</v>
      </c>
      <c r="AG90" s="258">
        <f t="shared" si="59"/>
        <v>-8.3333333333333329E-2</v>
      </c>
    </row>
    <row r="91" spans="2:33">
      <c r="B91" s="255" t="s">
        <v>448</v>
      </c>
      <c r="C91" s="255">
        <v>88</v>
      </c>
      <c r="D91" s="255">
        <v>8</v>
      </c>
      <c r="E91" s="262">
        <v>0</v>
      </c>
      <c r="G91" s="265" t="s">
        <v>831</v>
      </c>
      <c r="H91" s="255">
        <v>10</v>
      </c>
      <c r="I91" s="247">
        <f t="shared" si="60"/>
        <v>98</v>
      </c>
      <c r="L91" s="253">
        <v>730</v>
      </c>
      <c r="N91" s="250">
        <f t="shared" si="61"/>
        <v>730</v>
      </c>
      <c r="O91" s="250">
        <f t="shared" si="62"/>
        <v>6.083333333333333</v>
      </c>
      <c r="P91" s="250">
        <f t="shared" si="63"/>
        <v>0</v>
      </c>
      <c r="Q91" s="247">
        <f t="shared" si="64"/>
        <v>0</v>
      </c>
      <c r="R91" s="250">
        <f t="shared" si="65"/>
        <v>0</v>
      </c>
      <c r="S91" s="260">
        <v>1</v>
      </c>
      <c r="T91" s="250">
        <f t="shared" si="66"/>
        <v>0</v>
      </c>
      <c r="V91" s="250">
        <f t="shared" si="67"/>
        <v>730</v>
      </c>
      <c r="W91" s="250">
        <f t="shared" si="68"/>
        <v>730</v>
      </c>
      <c r="X91" s="260">
        <v>1</v>
      </c>
      <c r="Y91" s="250">
        <f t="shared" si="69"/>
        <v>730</v>
      </c>
      <c r="Z91" s="250">
        <f t="shared" si="70"/>
        <v>730</v>
      </c>
      <c r="AA91" s="250">
        <f t="shared" si="71"/>
        <v>0</v>
      </c>
      <c r="AB91" s="250">
        <f t="shared" si="72"/>
        <v>0</v>
      </c>
      <c r="AC91" s="259">
        <f t="shared" si="55"/>
        <v>88.583333333333329</v>
      </c>
      <c r="AD91" s="247">
        <f t="shared" si="56"/>
        <v>124.5</v>
      </c>
      <c r="AE91" s="259">
        <f t="shared" si="57"/>
        <v>98.583333333333329</v>
      </c>
      <c r="AF91" s="247">
        <f t="shared" si="58"/>
        <v>123.5</v>
      </c>
      <c r="AG91" s="258">
        <f t="shared" si="59"/>
        <v>-8.3333333333333329E-2</v>
      </c>
    </row>
    <row r="92" spans="2:33">
      <c r="B92" s="255" t="s">
        <v>449</v>
      </c>
      <c r="C92" s="255">
        <v>89</v>
      </c>
      <c r="D92" s="255">
        <v>3</v>
      </c>
      <c r="E92" s="262">
        <v>0</v>
      </c>
      <c r="G92" s="265" t="s">
        <v>831</v>
      </c>
      <c r="H92" s="255">
        <v>10</v>
      </c>
      <c r="I92" s="247">
        <f t="shared" si="60"/>
        <v>99</v>
      </c>
      <c r="L92" s="253">
        <v>1611</v>
      </c>
      <c r="N92" s="250">
        <f t="shared" si="61"/>
        <v>1611</v>
      </c>
      <c r="O92" s="250">
        <f t="shared" si="62"/>
        <v>13.424999999999999</v>
      </c>
      <c r="P92" s="250">
        <f t="shared" si="63"/>
        <v>0</v>
      </c>
      <c r="Q92" s="247">
        <f t="shared" si="64"/>
        <v>0</v>
      </c>
      <c r="R92" s="250">
        <f t="shared" si="65"/>
        <v>0</v>
      </c>
      <c r="S92" s="260">
        <v>1</v>
      </c>
      <c r="T92" s="250">
        <f t="shared" si="66"/>
        <v>0</v>
      </c>
      <c r="V92" s="250">
        <f t="shared" si="67"/>
        <v>1611</v>
      </c>
      <c r="W92" s="250">
        <f t="shared" si="68"/>
        <v>1611</v>
      </c>
      <c r="X92" s="260">
        <v>1</v>
      </c>
      <c r="Y92" s="250">
        <f t="shared" si="69"/>
        <v>1611</v>
      </c>
      <c r="Z92" s="250">
        <f t="shared" si="70"/>
        <v>1611</v>
      </c>
      <c r="AA92" s="250">
        <f t="shared" si="71"/>
        <v>0</v>
      </c>
      <c r="AB92" s="250">
        <f t="shared" si="72"/>
        <v>0</v>
      </c>
      <c r="AC92" s="259">
        <f t="shared" si="55"/>
        <v>89.166666666666671</v>
      </c>
      <c r="AD92" s="247">
        <f t="shared" si="56"/>
        <v>124.5</v>
      </c>
      <c r="AE92" s="259">
        <f t="shared" si="57"/>
        <v>99.166666666666671</v>
      </c>
      <c r="AF92" s="247">
        <f t="shared" si="58"/>
        <v>123.5</v>
      </c>
      <c r="AG92" s="258">
        <f t="shared" si="59"/>
        <v>-8.3333333333333329E-2</v>
      </c>
    </row>
    <row r="93" spans="2:33">
      <c r="B93" s="255" t="s">
        <v>450</v>
      </c>
      <c r="C93" s="255">
        <v>89</v>
      </c>
      <c r="D93" s="255">
        <v>4</v>
      </c>
      <c r="E93" s="262">
        <v>0</v>
      </c>
      <c r="G93" s="265" t="s">
        <v>831</v>
      </c>
      <c r="H93" s="255">
        <v>10</v>
      </c>
      <c r="I93" s="247">
        <f t="shared" si="60"/>
        <v>99</v>
      </c>
      <c r="L93" s="253">
        <v>2162</v>
      </c>
      <c r="N93" s="250">
        <f t="shared" si="61"/>
        <v>2162</v>
      </c>
      <c r="O93" s="250">
        <f t="shared" si="62"/>
        <v>18.016666666666666</v>
      </c>
      <c r="P93" s="250">
        <f t="shared" si="63"/>
        <v>0</v>
      </c>
      <c r="Q93" s="247">
        <f t="shared" si="64"/>
        <v>0</v>
      </c>
      <c r="R93" s="250">
        <f t="shared" si="65"/>
        <v>0</v>
      </c>
      <c r="S93" s="260">
        <v>1</v>
      </c>
      <c r="T93" s="250">
        <f t="shared" si="66"/>
        <v>0</v>
      </c>
      <c r="V93" s="250">
        <f t="shared" si="67"/>
        <v>2162</v>
      </c>
      <c r="W93" s="250">
        <f t="shared" si="68"/>
        <v>2162</v>
      </c>
      <c r="X93" s="260">
        <v>1</v>
      </c>
      <c r="Y93" s="250">
        <f t="shared" si="69"/>
        <v>2162</v>
      </c>
      <c r="Z93" s="250">
        <f t="shared" si="70"/>
        <v>2162</v>
      </c>
      <c r="AA93" s="250">
        <f t="shared" si="71"/>
        <v>0</v>
      </c>
      <c r="AB93" s="250">
        <f t="shared" si="72"/>
        <v>0</v>
      </c>
      <c r="AC93" s="259">
        <f t="shared" si="55"/>
        <v>89.25</v>
      </c>
      <c r="AD93" s="247">
        <f t="shared" si="56"/>
        <v>124.5</v>
      </c>
      <c r="AE93" s="259">
        <f t="shared" si="57"/>
        <v>99.25</v>
      </c>
      <c r="AF93" s="247">
        <f t="shared" si="58"/>
        <v>123.5</v>
      </c>
      <c r="AG93" s="258">
        <f t="shared" si="59"/>
        <v>-8.3333333333333329E-2</v>
      </c>
    </row>
    <row r="94" spans="2:33">
      <c r="B94" s="255" t="s">
        <v>451</v>
      </c>
      <c r="C94" s="255">
        <v>89</v>
      </c>
      <c r="D94" s="255">
        <v>4</v>
      </c>
      <c r="E94" s="262">
        <v>0</v>
      </c>
      <c r="G94" s="265" t="s">
        <v>831</v>
      </c>
      <c r="H94" s="255">
        <v>10</v>
      </c>
      <c r="I94" s="247">
        <f t="shared" si="60"/>
        <v>99</v>
      </c>
      <c r="L94" s="253">
        <v>3081</v>
      </c>
      <c r="N94" s="250">
        <f t="shared" si="61"/>
        <v>3081</v>
      </c>
      <c r="O94" s="250">
        <f t="shared" si="62"/>
        <v>25.675000000000001</v>
      </c>
      <c r="P94" s="250">
        <f t="shared" si="63"/>
        <v>0</v>
      </c>
      <c r="Q94" s="247">
        <f t="shared" si="64"/>
        <v>0</v>
      </c>
      <c r="R94" s="250">
        <f t="shared" si="65"/>
        <v>0</v>
      </c>
      <c r="S94" s="260">
        <v>1</v>
      </c>
      <c r="T94" s="250">
        <f t="shared" si="66"/>
        <v>0</v>
      </c>
      <c r="V94" s="250">
        <f t="shared" si="67"/>
        <v>3081</v>
      </c>
      <c r="W94" s="250">
        <f t="shared" si="68"/>
        <v>3081</v>
      </c>
      <c r="X94" s="260">
        <v>1</v>
      </c>
      <c r="Y94" s="250">
        <f t="shared" si="69"/>
        <v>3081</v>
      </c>
      <c r="Z94" s="250">
        <f t="shared" si="70"/>
        <v>3081</v>
      </c>
      <c r="AA94" s="250">
        <f t="shared" si="71"/>
        <v>0</v>
      </c>
      <c r="AB94" s="250">
        <f t="shared" si="72"/>
        <v>0</v>
      </c>
      <c r="AC94" s="259">
        <f t="shared" si="55"/>
        <v>89.25</v>
      </c>
      <c r="AD94" s="247">
        <f t="shared" si="56"/>
        <v>124.5</v>
      </c>
      <c r="AE94" s="259">
        <f t="shared" si="57"/>
        <v>99.25</v>
      </c>
      <c r="AF94" s="247">
        <f t="shared" si="58"/>
        <v>123.5</v>
      </c>
      <c r="AG94" s="258">
        <f t="shared" si="59"/>
        <v>-8.3333333333333329E-2</v>
      </c>
    </row>
    <row r="95" spans="2:33">
      <c r="B95" s="255" t="s">
        <v>448</v>
      </c>
      <c r="C95" s="255">
        <v>89</v>
      </c>
      <c r="D95" s="255">
        <v>5</v>
      </c>
      <c r="E95" s="262">
        <v>0</v>
      </c>
      <c r="G95" s="265" t="s">
        <v>831</v>
      </c>
      <c r="H95" s="255">
        <v>10</v>
      </c>
      <c r="I95" s="247">
        <f t="shared" si="60"/>
        <v>99</v>
      </c>
      <c r="L95" s="253">
        <v>805</v>
      </c>
      <c r="N95" s="250">
        <f t="shared" si="61"/>
        <v>805</v>
      </c>
      <c r="O95" s="250">
        <f t="shared" si="62"/>
        <v>6.708333333333333</v>
      </c>
      <c r="P95" s="250">
        <f t="shared" si="63"/>
        <v>0</v>
      </c>
      <c r="Q95" s="247">
        <f t="shared" si="64"/>
        <v>0</v>
      </c>
      <c r="R95" s="250">
        <f t="shared" si="65"/>
        <v>0</v>
      </c>
      <c r="S95" s="260">
        <v>1</v>
      </c>
      <c r="T95" s="250">
        <f t="shared" si="66"/>
        <v>0</v>
      </c>
      <c r="V95" s="250">
        <f t="shared" si="67"/>
        <v>805</v>
      </c>
      <c r="W95" s="250">
        <f t="shared" si="68"/>
        <v>805</v>
      </c>
      <c r="X95" s="260">
        <v>1</v>
      </c>
      <c r="Y95" s="250">
        <f t="shared" si="69"/>
        <v>805</v>
      </c>
      <c r="Z95" s="250">
        <f t="shared" si="70"/>
        <v>805</v>
      </c>
      <c r="AA95" s="250">
        <f t="shared" si="71"/>
        <v>0</v>
      </c>
      <c r="AB95" s="250">
        <f t="shared" si="72"/>
        <v>0</v>
      </c>
      <c r="AC95" s="259">
        <f t="shared" si="55"/>
        <v>89.333333333333329</v>
      </c>
      <c r="AD95" s="247">
        <f t="shared" si="56"/>
        <v>124.5</v>
      </c>
      <c r="AE95" s="259">
        <f t="shared" si="57"/>
        <v>99.333333333333329</v>
      </c>
      <c r="AF95" s="247">
        <f t="shared" si="58"/>
        <v>123.5</v>
      </c>
      <c r="AG95" s="258">
        <f t="shared" si="59"/>
        <v>-8.3333333333333329E-2</v>
      </c>
    </row>
    <row r="96" spans="2:33">
      <c r="B96" s="255" t="s">
        <v>448</v>
      </c>
      <c r="C96" s="255">
        <v>89</v>
      </c>
      <c r="D96" s="255">
        <v>6</v>
      </c>
      <c r="E96" s="262">
        <v>0</v>
      </c>
      <c r="G96" s="265" t="s">
        <v>831</v>
      </c>
      <c r="H96" s="255">
        <v>10</v>
      </c>
      <c r="I96" s="247">
        <f t="shared" si="60"/>
        <v>99</v>
      </c>
      <c r="L96" s="253">
        <v>805</v>
      </c>
      <c r="N96" s="250">
        <f t="shared" si="61"/>
        <v>805</v>
      </c>
      <c r="O96" s="250">
        <f t="shared" si="62"/>
        <v>6.708333333333333</v>
      </c>
      <c r="P96" s="250">
        <f t="shared" si="63"/>
        <v>0</v>
      </c>
      <c r="Q96" s="247">
        <f t="shared" si="64"/>
        <v>0</v>
      </c>
      <c r="R96" s="250">
        <f t="shared" si="65"/>
        <v>0</v>
      </c>
      <c r="S96" s="260">
        <v>1</v>
      </c>
      <c r="T96" s="250">
        <f t="shared" si="66"/>
        <v>0</v>
      </c>
      <c r="V96" s="250">
        <f t="shared" si="67"/>
        <v>805</v>
      </c>
      <c r="W96" s="250">
        <f t="shared" si="68"/>
        <v>805</v>
      </c>
      <c r="X96" s="260">
        <v>1</v>
      </c>
      <c r="Y96" s="250">
        <f t="shared" si="69"/>
        <v>805</v>
      </c>
      <c r="Z96" s="250">
        <f t="shared" si="70"/>
        <v>805</v>
      </c>
      <c r="AA96" s="250">
        <f t="shared" si="71"/>
        <v>0</v>
      </c>
      <c r="AB96" s="250">
        <f t="shared" si="72"/>
        <v>0</v>
      </c>
      <c r="AC96" s="259">
        <f t="shared" si="55"/>
        <v>89.416666666666671</v>
      </c>
      <c r="AD96" s="247">
        <f t="shared" si="56"/>
        <v>124.5</v>
      </c>
      <c r="AE96" s="259">
        <f t="shared" si="57"/>
        <v>99.416666666666671</v>
      </c>
      <c r="AF96" s="247">
        <f t="shared" si="58"/>
        <v>123.5</v>
      </c>
      <c r="AG96" s="258">
        <f t="shared" si="59"/>
        <v>-8.3333333333333329E-2</v>
      </c>
    </row>
    <row r="97" spans="2:33">
      <c r="B97" s="255" t="s">
        <v>452</v>
      </c>
      <c r="C97" s="255">
        <v>89</v>
      </c>
      <c r="D97" s="255">
        <v>6</v>
      </c>
      <c r="E97" s="262">
        <v>0</v>
      </c>
      <c r="G97" s="265" t="s">
        <v>831</v>
      </c>
      <c r="H97" s="255">
        <v>10</v>
      </c>
      <c r="I97" s="247">
        <f t="shared" si="60"/>
        <v>99</v>
      </c>
      <c r="L97" s="253">
        <v>1402</v>
      </c>
      <c r="N97" s="250">
        <f t="shared" si="61"/>
        <v>1402</v>
      </c>
      <c r="O97" s="250">
        <f t="shared" si="62"/>
        <v>11.683333333333332</v>
      </c>
      <c r="P97" s="250">
        <f t="shared" si="63"/>
        <v>0</v>
      </c>
      <c r="Q97" s="247">
        <f t="shared" si="64"/>
        <v>0</v>
      </c>
      <c r="R97" s="250">
        <f t="shared" si="65"/>
        <v>0</v>
      </c>
      <c r="S97" s="260">
        <v>1</v>
      </c>
      <c r="T97" s="250">
        <f t="shared" si="66"/>
        <v>0</v>
      </c>
      <c r="V97" s="250">
        <f t="shared" si="67"/>
        <v>1402</v>
      </c>
      <c r="W97" s="250">
        <f t="shared" si="68"/>
        <v>1402</v>
      </c>
      <c r="X97" s="260">
        <v>1</v>
      </c>
      <c r="Y97" s="250">
        <f t="shared" si="69"/>
        <v>1402</v>
      </c>
      <c r="Z97" s="250">
        <f t="shared" si="70"/>
        <v>1402</v>
      </c>
      <c r="AA97" s="250">
        <f t="shared" si="71"/>
        <v>0</v>
      </c>
      <c r="AB97" s="250">
        <f t="shared" si="72"/>
        <v>0</v>
      </c>
      <c r="AC97" s="259">
        <f t="shared" si="55"/>
        <v>89.416666666666671</v>
      </c>
      <c r="AD97" s="247">
        <f t="shared" si="56"/>
        <v>124.5</v>
      </c>
      <c r="AE97" s="259">
        <f t="shared" si="57"/>
        <v>99.416666666666671</v>
      </c>
      <c r="AF97" s="247">
        <f t="shared" si="58"/>
        <v>123.5</v>
      </c>
      <c r="AG97" s="258">
        <f t="shared" si="59"/>
        <v>-8.3333333333333329E-2</v>
      </c>
    </row>
    <row r="98" spans="2:33">
      <c r="B98" s="255" t="s">
        <v>453</v>
      </c>
      <c r="C98" s="255">
        <v>89</v>
      </c>
      <c r="D98" s="255">
        <v>7</v>
      </c>
      <c r="E98" s="262">
        <v>0</v>
      </c>
      <c r="G98" s="265" t="s">
        <v>831</v>
      </c>
      <c r="H98" s="255">
        <v>10</v>
      </c>
      <c r="I98" s="247">
        <f t="shared" si="60"/>
        <v>99</v>
      </c>
      <c r="L98" s="253">
        <v>1334</v>
      </c>
      <c r="N98" s="250">
        <f t="shared" si="61"/>
        <v>1334</v>
      </c>
      <c r="O98" s="250">
        <f t="shared" si="62"/>
        <v>11.116666666666667</v>
      </c>
      <c r="P98" s="250">
        <f t="shared" si="63"/>
        <v>0</v>
      </c>
      <c r="Q98" s="247">
        <f t="shared" si="64"/>
        <v>0</v>
      </c>
      <c r="R98" s="250">
        <f t="shared" si="65"/>
        <v>0</v>
      </c>
      <c r="S98" s="260">
        <v>1</v>
      </c>
      <c r="T98" s="250">
        <f t="shared" si="66"/>
        <v>0</v>
      </c>
      <c r="V98" s="250">
        <f t="shared" si="67"/>
        <v>1334</v>
      </c>
      <c r="W98" s="250">
        <f t="shared" si="68"/>
        <v>1334</v>
      </c>
      <c r="X98" s="260">
        <v>1</v>
      </c>
      <c r="Y98" s="250">
        <f t="shared" si="69"/>
        <v>1334</v>
      </c>
      <c r="Z98" s="250">
        <f t="shared" si="70"/>
        <v>1334</v>
      </c>
      <c r="AA98" s="250">
        <f t="shared" si="71"/>
        <v>0</v>
      </c>
      <c r="AB98" s="250">
        <f t="shared" si="72"/>
        <v>0</v>
      </c>
      <c r="AC98" s="259">
        <f t="shared" si="55"/>
        <v>89.5</v>
      </c>
      <c r="AD98" s="247">
        <f t="shared" si="56"/>
        <v>124.5</v>
      </c>
      <c r="AE98" s="259">
        <f t="shared" si="57"/>
        <v>99.5</v>
      </c>
      <c r="AF98" s="247">
        <f t="shared" si="58"/>
        <v>123.5</v>
      </c>
      <c r="AG98" s="258">
        <f t="shared" si="59"/>
        <v>-8.3333333333333329E-2</v>
      </c>
    </row>
    <row r="99" spans="2:33">
      <c r="B99" s="255" t="s">
        <v>444</v>
      </c>
      <c r="C99" s="255">
        <v>89</v>
      </c>
      <c r="D99" s="255">
        <v>7</v>
      </c>
      <c r="E99" s="262">
        <v>0</v>
      </c>
      <c r="G99" s="265" t="s">
        <v>831</v>
      </c>
      <c r="H99" s="255">
        <v>10</v>
      </c>
      <c r="I99" s="247">
        <f t="shared" si="60"/>
        <v>99</v>
      </c>
      <c r="L99" s="253">
        <v>1232</v>
      </c>
      <c r="N99" s="250">
        <f t="shared" si="61"/>
        <v>1232</v>
      </c>
      <c r="O99" s="250">
        <f t="shared" si="62"/>
        <v>10.266666666666667</v>
      </c>
      <c r="P99" s="250">
        <f t="shared" si="63"/>
        <v>0</v>
      </c>
      <c r="Q99" s="247">
        <f t="shared" si="64"/>
        <v>0</v>
      </c>
      <c r="R99" s="250">
        <f t="shared" si="65"/>
        <v>0</v>
      </c>
      <c r="S99" s="260">
        <v>1</v>
      </c>
      <c r="T99" s="250">
        <f t="shared" si="66"/>
        <v>0</v>
      </c>
      <c r="V99" s="250">
        <f t="shared" si="67"/>
        <v>1232</v>
      </c>
      <c r="W99" s="250">
        <f t="shared" si="68"/>
        <v>1232</v>
      </c>
      <c r="X99" s="260">
        <v>1</v>
      </c>
      <c r="Y99" s="250">
        <f t="shared" si="69"/>
        <v>1232</v>
      </c>
      <c r="Z99" s="250">
        <f t="shared" si="70"/>
        <v>1232</v>
      </c>
      <c r="AA99" s="250">
        <f t="shared" si="71"/>
        <v>0</v>
      </c>
      <c r="AB99" s="250">
        <f t="shared" si="72"/>
        <v>0</v>
      </c>
      <c r="AC99" s="259">
        <f t="shared" si="55"/>
        <v>89.5</v>
      </c>
      <c r="AD99" s="247">
        <f t="shared" si="56"/>
        <v>124.5</v>
      </c>
      <c r="AE99" s="259">
        <f t="shared" si="57"/>
        <v>99.5</v>
      </c>
      <c r="AF99" s="247">
        <f t="shared" si="58"/>
        <v>123.5</v>
      </c>
      <c r="AG99" s="258">
        <f t="shared" si="59"/>
        <v>-8.3333333333333329E-2</v>
      </c>
    </row>
    <row r="100" spans="2:33">
      <c r="B100" s="255" t="s">
        <v>452</v>
      </c>
      <c r="C100" s="255">
        <v>89</v>
      </c>
      <c r="D100" s="255">
        <v>8</v>
      </c>
      <c r="E100" s="262">
        <v>0</v>
      </c>
      <c r="G100" s="265" t="s">
        <v>831</v>
      </c>
      <c r="H100" s="255">
        <v>10</v>
      </c>
      <c r="I100" s="247">
        <f t="shared" si="60"/>
        <v>99</v>
      </c>
      <c r="L100" s="253">
        <v>1297</v>
      </c>
      <c r="N100" s="250">
        <f t="shared" si="61"/>
        <v>1297</v>
      </c>
      <c r="O100" s="250">
        <f t="shared" si="62"/>
        <v>10.808333333333332</v>
      </c>
      <c r="P100" s="250">
        <f t="shared" si="63"/>
        <v>0</v>
      </c>
      <c r="Q100" s="247">
        <f t="shared" si="64"/>
        <v>0</v>
      </c>
      <c r="R100" s="250">
        <f t="shared" si="65"/>
        <v>0</v>
      </c>
      <c r="S100" s="260">
        <v>1</v>
      </c>
      <c r="T100" s="250">
        <f t="shared" si="66"/>
        <v>0</v>
      </c>
      <c r="V100" s="250">
        <f t="shared" si="67"/>
        <v>1297</v>
      </c>
      <c r="W100" s="250">
        <f t="shared" si="68"/>
        <v>1297</v>
      </c>
      <c r="X100" s="260">
        <v>1</v>
      </c>
      <c r="Y100" s="250">
        <f t="shared" si="69"/>
        <v>1297</v>
      </c>
      <c r="Z100" s="250">
        <f t="shared" si="70"/>
        <v>1297</v>
      </c>
      <c r="AA100" s="250">
        <f t="shared" si="71"/>
        <v>0</v>
      </c>
      <c r="AB100" s="250">
        <f t="shared" si="72"/>
        <v>0</v>
      </c>
      <c r="AC100" s="259">
        <f t="shared" si="55"/>
        <v>89.583333333333329</v>
      </c>
      <c r="AD100" s="247">
        <f t="shared" si="56"/>
        <v>124.5</v>
      </c>
      <c r="AE100" s="259">
        <f t="shared" si="57"/>
        <v>99.583333333333329</v>
      </c>
      <c r="AF100" s="247">
        <f t="shared" si="58"/>
        <v>123.5</v>
      </c>
      <c r="AG100" s="258">
        <f t="shared" si="59"/>
        <v>-8.3333333333333329E-2</v>
      </c>
    </row>
    <row r="101" spans="2:33">
      <c r="B101" s="255" t="s">
        <v>454</v>
      </c>
      <c r="C101" s="255">
        <v>89</v>
      </c>
      <c r="D101" s="255">
        <v>9</v>
      </c>
      <c r="E101" s="262">
        <v>0</v>
      </c>
      <c r="G101" s="265" t="s">
        <v>831</v>
      </c>
      <c r="H101" s="255">
        <v>10</v>
      </c>
      <c r="I101" s="247">
        <f t="shared" si="60"/>
        <v>99</v>
      </c>
      <c r="L101" s="253">
        <v>3477</v>
      </c>
      <c r="N101" s="250">
        <f t="shared" si="61"/>
        <v>3477</v>
      </c>
      <c r="O101" s="250">
        <f t="shared" si="62"/>
        <v>28.974999999999998</v>
      </c>
      <c r="P101" s="250">
        <f t="shared" si="63"/>
        <v>0</v>
      </c>
      <c r="Q101" s="247">
        <f t="shared" si="64"/>
        <v>0</v>
      </c>
      <c r="R101" s="250">
        <f t="shared" si="65"/>
        <v>0</v>
      </c>
      <c r="S101" s="260">
        <v>1</v>
      </c>
      <c r="T101" s="250">
        <f t="shared" si="66"/>
        <v>0</v>
      </c>
      <c r="V101" s="250">
        <f t="shared" si="67"/>
        <v>3477</v>
      </c>
      <c r="W101" s="250">
        <f t="shared" si="68"/>
        <v>3477</v>
      </c>
      <c r="X101" s="260">
        <v>1</v>
      </c>
      <c r="Y101" s="250">
        <f t="shared" si="69"/>
        <v>3477</v>
      </c>
      <c r="Z101" s="250">
        <f t="shared" si="70"/>
        <v>3477</v>
      </c>
      <c r="AA101" s="250">
        <f t="shared" si="71"/>
        <v>0</v>
      </c>
      <c r="AB101" s="250">
        <f t="shared" si="72"/>
        <v>0</v>
      </c>
      <c r="AC101" s="259">
        <f t="shared" si="55"/>
        <v>89.666666666666671</v>
      </c>
      <c r="AD101" s="247">
        <f t="shared" si="56"/>
        <v>124.5</v>
      </c>
      <c r="AE101" s="259">
        <f t="shared" si="57"/>
        <v>99.666666666666671</v>
      </c>
      <c r="AF101" s="247">
        <f t="shared" si="58"/>
        <v>123.5</v>
      </c>
      <c r="AG101" s="258">
        <f t="shared" si="59"/>
        <v>-8.3333333333333329E-2</v>
      </c>
    </row>
    <row r="102" spans="2:33">
      <c r="B102" s="255" t="s">
        <v>451</v>
      </c>
      <c r="C102" s="255">
        <v>90</v>
      </c>
      <c r="D102" s="255">
        <v>5</v>
      </c>
      <c r="E102" s="262">
        <v>0</v>
      </c>
      <c r="G102" s="265" t="s">
        <v>831</v>
      </c>
      <c r="H102" s="255">
        <v>10</v>
      </c>
      <c r="I102" s="247">
        <f t="shared" si="60"/>
        <v>100</v>
      </c>
      <c r="L102" s="253">
        <v>3106</v>
      </c>
      <c r="N102" s="250">
        <f t="shared" si="61"/>
        <v>3106</v>
      </c>
      <c r="O102" s="250">
        <f t="shared" si="62"/>
        <v>25.883333333333336</v>
      </c>
      <c r="P102" s="250">
        <f t="shared" si="63"/>
        <v>0</v>
      </c>
      <c r="Q102" s="247">
        <f t="shared" si="64"/>
        <v>0</v>
      </c>
      <c r="R102" s="250">
        <f t="shared" si="65"/>
        <v>0</v>
      </c>
      <c r="S102" s="260">
        <v>1</v>
      </c>
      <c r="T102" s="250">
        <f t="shared" si="66"/>
        <v>0</v>
      </c>
      <c r="V102" s="250">
        <f t="shared" si="67"/>
        <v>3106</v>
      </c>
      <c r="W102" s="250">
        <f t="shared" si="68"/>
        <v>3106</v>
      </c>
      <c r="X102" s="260">
        <v>1</v>
      </c>
      <c r="Y102" s="250">
        <f t="shared" si="69"/>
        <v>3106</v>
      </c>
      <c r="Z102" s="250">
        <f t="shared" si="70"/>
        <v>3106</v>
      </c>
      <c r="AA102" s="250">
        <f t="shared" si="71"/>
        <v>0</v>
      </c>
      <c r="AB102" s="250">
        <f t="shared" si="72"/>
        <v>0</v>
      </c>
      <c r="AC102" s="259">
        <f t="shared" si="55"/>
        <v>90.333333333333329</v>
      </c>
      <c r="AD102" s="247">
        <f t="shared" si="56"/>
        <v>124.5</v>
      </c>
      <c r="AE102" s="259">
        <f t="shared" si="57"/>
        <v>100.33333333333333</v>
      </c>
      <c r="AF102" s="247">
        <f t="shared" si="58"/>
        <v>123.5</v>
      </c>
      <c r="AG102" s="258">
        <f t="shared" si="59"/>
        <v>-8.3333333333333329E-2</v>
      </c>
    </row>
    <row r="103" spans="2:33">
      <c r="B103" s="255" t="s">
        <v>455</v>
      </c>
      <c r="C103" s="255">
        <v>90</v>
      </c>
      <c r="D103" s="255">
        <v>5</v>
      </c>
      <c r="E103" s="262">
        <v>0</v>
      </c>
      <c r="G103" s="265" t="s">
        <v>831</v>
      </c>
      <c r="H103" s="255">
        <v>10</v>
      </c>
      <c r="I103" s="247">
        <f t="shared" si="60"/>
        <v>100</v>
      </c>
      <c r="L103" s="253">
        <v>2645</v>
      </c>
      <c r="N103" s="250">
        <f t="shared" si="61"/>
        <v>2645</v>
      </c>
      <c r="O103" s="250">
        <f t="shared" si="62"/>
        <v>22.041666666666668</v>
      </c>
      <c r="P103" s="250">
        <f t="shared" si="63"/>
        <v>0</v>
      </c>
      <c r="Q103" s="247">
        <f t="shared" si="64"/>
        <v>0</v>
      </c>
      <c r="R103" s="250">
        <f t="shared" si="65"/>
        <v>0</v>
      </c>
      <c r="S103" s="260">
        <v>1</v>
      </c>
      <c r="T103" s="250">
        <f t="shared" si="66"/>
        <v>0</v>
      </c>
      <c r="V103" s="250">
        <f t="shared" si="67"/>
        <v>2645</v>
      </c>
      <c r="W103" s="250">
        <f t="shared" si="68"/>
        <v>2645</v>
      </c>
      <c r="X103" s="260">
        <v>1</v>
      </c>
      <c r="Y103" s="250">
        <f t="shared" si="69"/>
        <v>2645</v>
      </c>
      <c r="Z103" s="250">
        <f t="shared" si="70"/>
        <v>2645</v>
      </c>
      <c r="AA103" s="250">
        <f t="shared" si="71"/>
        <v>0</v>
      </c>
      <c r="AB103" s="250">
        <f t="shared" si="72"/>
        <v>0</v>
      </c>
      <c r="AC103" s="259">
        <f t="shared" si="55"/>
        <v>90.333333333333329</v>
      </c>
      <c r="AD103" s="247">
        <f t="shared" si="56"/>
        <v>124.5</v>
      </c>
      <c r="AE103" s="259">
        <f t="shared" si="57"/>
        <v>100.33333333333333</v>
      </c>
      <c r="AF103" s="247">
        <f t="shared" si="58"/>
        <v>123.5</v>
      </c>
      <c r="AG103" s="258">
        <f t="shared" si="59"/>
        <v>-8.3333333333333329E-2</v>
      </c>
    </row>
    <row r="104" spans="2:33">
      <c r="B104" s="255" t="s">
        <v>456</v>
      </c>
      <c r="C104" s="255">
        <v>91</v>
      </c>
      <c r="D104" s="255">
        <v>4</v>
      </c>
      <c r="E104" s="262">
        <v>0</v>
      </c>
      <c r="G104" s="265" t="s">
        <v>831</v>
      </c>
      <c r="H104" s="255">
        <v>10</v>
      </c>
      <c r="I104" s="247">
        <f t="shared" si="60"/>
        <v>101</v>
      </c>
      <c r="L104" s="253">
        <v>4370</v>
      </c>
      <c r="N104" s="250">
        <f t="shared" si="61"/>
        <v>4370</v>
      </c>
      <c r="O104" s="250">
        <f t="shared" si="62"/>
        <v>36.416666666666664</v>
      </c>
      <c r="P104" s="250">
        <f t="shared" si="63"/>
        <v>0</v>
      </c>
      <c r="Q104" s="247">
        <f t="shared" si="64"/>
        <v>0</v>
      </c>
      <c r="R104" s="250">
        <f t="shared" si="65"/>
        <v>0</v>
      </c>
      <c r="S104" s="260">
        <v>1</v>
      </c>
      <c r="T104" s="250">
        <f t="shared" si="66"/>
        <v>0</v>
      </c>
      <c r="V104" s="250">
        <f t="shared" si="67"/>
        <v>4370</v>
      </c>
      <c r="W104" s="250">
        <f t="shared" si="68"/>
        <v>4370</v>
      </c>
      <c r="X104" s="260">
        <v>1</v>
      </c>
      <c r="Y104" s="250">
        <f t="shared" si="69"/>
        <v>4370</v>
      </c>
      <c r="Z104" s="250">
        <f t="shared" si="70"/>
        <v>4370</v>
      </c>
      <c r="AA104" s="250">
        <f t="shared" si="71"/>
        <v>0</v>
      </c>
      <c r="AB104" s="250">
        <f t="shared" si="72"/>
        <v>0</v>
      </c>
      <c r="AC104" s="259">
        <f t="shared" si="55"/>
        <v>91.25</v>
      </c>
      <c r="AD104" s="247">
        <f t="shared" si="56"/>
        <v>124.5</v>
      </c>
      <c r="AE104" s="259">
        <f t="shared" si="57"/>
        <v>101.25</v>
      </c>
      <c r="AF104" s="247">
        <f t="shared" si="58"/>
        <v>123.5</v>
      </c>
      <c r="AG104" s="258">
        <f t="shared" si="59"/>
        <v>-8.3333333333333329E-2</v>
      </c>
    </row>
    <row r="105" spans="2:33">
      <c r="B105" s="255" t="s">
        <v>455</v>
      </c>
      <c r="C105" s="255">
        <v>91</v>
      </c>
      <c r="D105" s="255">
        <v>6</v>
      </c>
      <c r="E105" s="262">
        <v>0</v>
      </c>
      <c r="G105" s="265" t="s">
        <v>831</v>
      </c>
      <c r="H105" s="255">
        <v>10</v>
      </c>
      <c r="I105" s="247">
        <f t="shared" ref="I105:I136" si="73">C105+H105</f>
        <v>101</v>
      </c>
      <c r="L105" s="253">
        <v>2579</v>
      </c>
      <c r="N105" s="250">
        <f t="shared" ref="N105:N136" si="74">L105-L105*E105</f>
        <v>2579</v>
      </c>
      <c r="O105" s="250">
        <f t="shared" ref="O105:O136" si="75">N105/H105/12</f>
        <v>21.491666666666664</v>
      </c>
      <c r="P105" s="250">
        <f t="shared" ref="P105:P136" si="76">IF(M105&gt;0,0,IF(OR(AC105&gt;AD105,AE105&lt;AF105),0,IF(AND(AE105&gt;=AF105,AE105&lt;=AD105),O105*((AE105-AF105)*12),IF(AND(AF105&lt;=AC105,AD105&gt;=AC105),((AD105-AC105)*12)*O105,IF(AE105&gt;AD105,12*O105,0)))))</f>
        <v>0</v>
      </c>
      <c r="Q105" s="247">
        <f t="shared" ref="Q105:Q136" si="77">IF(M105=0,0,IF(AND(AG105&gt;=AF105,AG105&lt;=AE105),((AG105-AF105)*12)*O105,0))</f>
        <v>0</v>
      </c>
      <c r="R105" s="250">
        <f t="shared" ref="R105:R136" si="78">IF(Q105&gt;0,Q105,P105)</f>
        <v>0</v>
      </c>
      <c r="S105" s="260">
        <v>1</v>
      </c>
      <c r="T105" s="250">
        <f t="shared" ref="T105:T136" si="79">S105*SUM(P105:Q105)</f>
        <v>0</v>
      </c>
      <c r="V105" s="250">
        <f t="shared" ref="V105:V136" si="80">IF(AC105&gt;AD105,0,IF(AE105&lt;AF105,N105,IF(AND(AE105&gt;=AF105,AE105&lt;=AD105),(N105-R105),IF(AND(AF105&lt;=AC105,AD105&gt;=AC105),0,IF(AE105&gt;AD105,((AF105-AC105)*12)*O105,0)))))</f>
        <v>2579</v>
      </c>
      <c r="W105" s="250">
        <f t="shared" ref="W105:W136" si="81">V105*S105</f>
        <v>2579</v>
      </c>
      <c r="X105" s="260">
        <v>1</v>
      </c>
      <c r="Y105" s="250">
        <f t="shared" ref="Y105:Y136" si="82">W105*X105</f>
        <v>2579</v>
      </c>
      <c r="Z105" s="250">
        <f t="shared" ref="Z105:Z136" si="83">IF(M105&gt;0,0,Y105+T105*X105)*X105</f>
        <v>2579</v>
      </c>
      <c r="AA105" s="250">
        <f t="shared" si="71"/>
        <v>0</v>
      </c>
      <c r="AB105" s="250">
        <f t="shared" si="72"/>
        <v>0</v>
      </c>
      <c r="AC105" s="259">
        <f t="shared" ref="AC105:AC136" si="84">$C105+(($D105-1)/12)</f>
        <v>91.416666666666671</v>
      </c>
      <c r="AD105" s="247">
        <f t="shared" ref="AD105:AD136" si="85">($N$5+1)-($N$2/12)</f>
        <v>124.5</v>
      </c>
      <c r="AE105" s="259">
        <f t="shared" ref="AE105:AE136" si="86">$I105+(($D105-1)/12)</f>
        <v>101.41666666666667</v>
      </c>
      <c r="AF105" s="247">
        <f t="shared" ref="AF105:AF136" si="87">$N$4+($N$3/12)</f>
        <v>123.5</v>
      </c>
      <c r="AG105" s="258">
        <f t="shared" ref="AG105:AG136" si="88">$J105+(($K105-1)/12)</f>
        <v>-8.3333333333333329E-2</v>
      </c>
    </row>
    <row r="106" spans="2:33">
      <c r="B106" s="255" t="s">
        <v>451</v>
      </c>
      <c r="C106" s="255">
        <v>91</v>
      </c>
      <c r="D106" s="255">
        <v>6</v>
      </c>
      <c r="E106" s="262">
        <v>0</v>
      </c>
      <c r="G106" s="265" t="s">
        <v>831</v>
      </c>
      <c r="H106" s="255">
        <v>10</v>
      </c>
      <c r="I106" s="247">
        <f t="shared" si="73"/>
        <v>101</v>
      </c>
      <c r="L106" s="253">
        <v>3010</v>
      </c>
      <c r="N106" s="250">
        <f t="shared" si="74"/>
        <v>3010</v>
      </c>
      <c r="O106" s="250">
        <f t="shared" si="75"/>
        <v>25.083333333333332</v>
      </c>
      <c r="P106" s="250">
        <f t="shared" si="76"/>
        <v>0</v>
      </c>
      <c r="Q106" s="247">
        <f t="shared" si="77"/>
        <v>0</v>
      </c>
      <c r="R106" s="250">
        <f t="shared" si="78"/>
        <v>0</v>
      </c>
      <c r="S106" s="260">
        <v>1</v>
      </c>
      <c r="T106" s="250">
        <f t="shared" si="79"/>
        <v>0</v>
      </c>
      <c r="V106" s="250">
        <f t="shared" si="80"/>
        <v>3010</v>
      </c>
      <c r="W106" s="250">
        <f t="shared" si="81"/>
        <v>3010</v>
      </c>
      <c r="X106" s="260">
        <v>1</v>
      </c>
      <c r="Y106" s="250">
        <f t="shared" si="82"/>
        <v>3010</v>
      </c>
      <c r="Z106" s="250">
        <f t="shared" si="83"/>
        <v>3010</v>
      </c>
      <c r="AA106" s="250">
        <f t="shared" si="71"/>
        <v>0</v>
      </c>
      <c r="AB106" s="250">
        <f t="shared" si="72"/>
        <v>0</v>
      </c>
      <c r="AC106" s="259">
        <f t="shared" si="84"/>
        <v>91.416666666666671</v>
      </c>
      <c r="AD106" s="247">
        <f t="shared" si="85"/>
        <v>124.5</v>
      </c>
      <c r="AE106" s="259">
        <f t="shared" si="86"/>
        <v>101.41666666666667</v>
      </c>
      <c r="AF106" s="247">
        <f t="shared" si="87"/>
        <v>123.5</v>
      </c>
      <c r="AG106" s="258">
        <f t="shared" si="88"/>
        <v>-8.3333333333333329E-2</v>
      </c>
    </row>
    <row r="107" spans="2:33">
      <c r="B107" s="255" t="s">
        <v>452</v>
      </c>
      <c r="C107" s="255">
        <v>92</v>
      </c>
      <c r="D107" s="255">
        <v>4</v>
      </c>
      <c r="E107" s="262">
        <v>0</v>
      </c>
      <c r="G107" s="265" t="s">
        <v>831</v>
      </c>
      <c r="H107" s="255">
        <v>10</v>
      </c>
      <c r="I107" s="247">
        <f t="shared" si="73"/>
        <v>102</v>
      </c>
      <c r="L107" s="253">
        <v>1364</v>
      </c>
      <c r="N107" s="250">
        <f t="shared" si="74"/>
        <v>1364</v>
      </c>
      <c r="O107" s="250">
        <f t="shared" si="75"/>
        <v>11.366666666666667</v>
      </c>
      <c r="P107" s="250">
        <f t="shared" si="76"/>
        <v>0</v>
      </c>
      <c r="Q107" s="247">
        <f t="shared" si="77"/>
        <v>0</v>
      </c>
      <c r="R107" s="250">
        <f t="shared" si="78"/>
        <v>0</v>
      </c>
      <c r="S107" s="260">
        <v>1</v>
      </c>
      <c r="T107" s="250">
        <f t="shared" si="79"/>
        <v>0</v>
      </c>
      <c r="V107" s="250">
        <f t="shared" si="80"/>
        <v>1364</v>
      </c>
      <c r="W107" s="250">
        <f t="shared" si="81"/>
        <v>1364</v>
      </c>
      <c r="X107" s="260">
        <v>1</v>
      </c>
      <c r="Y107" s="250">
        <f t="shared" si="82"/>
        <v>1364</v>
      </c>
      <c r="Z107" s="250">
        <f t="shared" si="83"/>
        <v>1364</v>
      </c>
      <c r="AA107" s="250">
        <f t="shared" si="71"/>
        <v>0</v>
      </c>
      <c r="AB107" s="250">
        <f t="shared" si="72"/>
        <v>0</v>
      </c>
      <c r="AC107" s="259">
        <f t="shared" si="84"/>
        <v>92.25</v>
      </c>
      <c r="AD107" s="247">
        <f t="shared" si="85"/>
        <v>124.5</v>
      </c>
      <c r="AE107" s="259">
        <f t="shared" si="86"/>
        <v>102.25</v>
      </c>
      <c r="AF107" s="247">
        <f t="shared" si="87"/>
        <v>123.5</v>
      </c>
      <c r="AG107" s="258">
        <f t="shared" si="88"/>
        <v>-8.3333333333333329E-2</v>
      </c>
    </row>
    <row r="108" spans="2:33">
      <c r="B108" s="255" t="s">
        <v>457</v>
      </c>
      <c r="C108" s="255">
        <v>92</v>
      </c>
      <c r="D108" s="255">
        <v>4</v>
      </c>
      <c r="E108" s="262">
        <v>0</v>
      </c>
      <c r="G108" s="265" t="s">
        <v>831</v>
      </c>
      <c r="H108" s="255">
        <v>10</v>
      </c>
      <c r="I108" s="247">
        <f t="shared" si="73"/>
        <v>102</v>
      </c>
      <c r="L108" s="253">
        <v>2769</v>
      </c>
      <c r="N108" s="250">
        <f t="shared" si="74"/>
        <v>2769</v>
      </c>
      <c r="O108" s="250">
        <f t="shared" si="75"/>
        <v>23.074999999999999</v>
      </c>
      <c r="P108" s="250">
        <f t="shared" si="76"/>
        <v>0</v>
      </c>
      <c r="Q108" s="247">
        <f t="shared" si="77"/>
        <v>0</v>
      </c>
      <c r="R108" s="250">
        <f t="shared" si="78"/>
        <v>0</v>
      </c>
      <c r="S108" s="260">
        <v>1</v>
      </c>
      <c r="T108" s="250">
        <f t="shared" si="79"/>
        <v>0</v>
      </c>
      <c r="V108" s="250">
        <f t="shared" si="80"/>
        <v>2769</v>
      </c>
      <c r="W108" s="250">
        <f t="shared" si="81"/>
        <v>2769</v>
      </c>
      <c r="X108" s="260">
        <v>1</v>
      </c>
      <c r="Y108" s="250">
        <f t="shared" si="82"/>
        <v>2769</v>
      </c>
      <c r="Z108" s="250">
        <f t="shared" si="83"/>
        <v>2769</v>
      </c>
      <c r="AA108" s="250">
        <f t="shared" si="71"/>
        <v>0</v>
      </c>
      <c r="AB108" s="250">
        <f t="shared" si="72"/>
        <v>0</v>
      </c>
      <c r="AC108" s="259">
        <f t="shared" si="84"/>
        <v>92.25</v>
      </c>
      <c r="AD108" s="247">
        <f t="shared" si="85"/>
        <v>124.5</v>
      </c>
      <c r="AE108" s="259">
        <f t="shared" si="86"/>
        <v>102.25</v>
      </c>
      <c r="AF108" s="247">
        <f t="shared" si="87"/>
        <v>123.5</v>
      </c>
      <c r="AG108" s="258">
        <f t="shared" si="88"/>
        <v>-8.3333333333333329E-2</v>
      </c>
    </row>
    <row r="109" spans="2:33">
      <c r="B109" s="255" t="s">
        <v>458</v>
      </c>
      <c r="C109" s="255">
        <v>92</v>
      </c>
      <c r="D109" s="255">
        <v>5</v>
      </c>
      <c r="E109" s="262">
        <v>0</v>
      </c>
      <c r="G109" s="265" t="s">
        <v>831</v>
      </c>
      <c r="H109" s="255">
        <v>10</v>
      </c>
      <c r="I109" s="247">
        <f t="shared" si="73"/>
        <v>102</v>
      </c>
      <c r="L109" s="253">
        <v>1466</v>
      </c>
      <c r="N109" s="250">
        <f t="shared" si="74"/>
        <v>1466</v>
      </c>
      <c r="O109" s="250">
        <f t="shared" si="75"/>
        <v>12.216666666666667</v>
      </c>
      <c r="P109" s="250">
        <f t="shared" si="76"/>
        <v>0</v>
      </c>
      <c r="Q109" s="247">
        <f t="shared" si="77"/>
        <v>0</v>
      </c>
      <c r="R109" s="250">
        <f t="shared" si="78"/>
        <v>0</v>
      </c>
      <c r="S109" s="260">
        <v>1</v>
      </c>
      <c r="T109" s="250">
        <f t="shared" si="79"/>
        <v>0</v>
      </c>
      <c r="V109" s="250">
        <f t="shared" si="80"/>
        <v>1466</v>
      </c>
      <c r="W109" s="250">
        <f t="shared" si="81"/>
        <v>1466</v>
      </c>
      <c r="X109" s="260">
        <v>1</v>
      </c>
      <c r="Y109" s="250">
        <f t="shared" si="82"/>
        <v>1466</v>
      </c>
      <c r="Z109" s="250">
        <f t="shared" si="83"/>
        <v>1466</v>
      </c>
      <c r="AA109" s="250">
        <f t="shared" si="71"/>
        <v>0</v>
      </c>
      <c r="AB109" s="250">
        <f t="shared" si="72"/>
        <v>0</v>
      </c>
      <c r="AC109" s="259">
        <f t="shared" si="84"/>
        <v>92.333333333333329</v>
      </c>
      <c r="AD109" s="247">
        <f t="shared" si="85"/>
        <v>124.5</v>
      </c>
      <c r="AE109" s="259">
        <f t="shared" si="86"/>
        <v>102.33333333333333</v>
      </c>
      <c r="AF109" s="247">
        <f t="shared" si="87"/>
        <v>123.5</v>
      </c>
      <c r="AG109" s="258">
        <f t="shared" si="88"/>
        <v>-8.3333333333333329E-2</v>
      </c>
    </row>
    <row r="110" spans="2:33">
      <c r="B110" s="255" t="s">
        <v>447</v>
      </c>
      <c r="C110" s="255">
        <v>92</v>
      </c>
      <c r="D110" s="255">
        <v>5</v>
      </c>
      <c r="E110" s="262">
        <v>0</v>
      </c>
      <c r="G110" s="265" t="s">
        <v>831</v>
      </c>
      <c r="H110" s="255">
        <v>10</v>
      </c>
      <c r="I110" s="247">
        <f t="shared" si="73"/>
        <v>102</v>
      </c>
      <c r="L110" s="253">
        <v>334</v>
      </c>
      <c r="N110" s="250">
        <f t="shared" si="74"/>
        <v>334</v>
      </c>
      <c r="O110" s="250">
        <f t="shared" si="75"/>
        <v>2.7833333333333332</v>
      </c>
      <c r="P110" s="250">
        <f t="shared" si="76"/>
        <v>0</v>
      </c>
      <c r="Q110" s="247">
        <f t="shared" si="77"/>
        <v>0</v>
      </c>
      <c r="R110" s="250">
        <f t="shared" si="78"/>
        <v>0</v>
      </c>
      <c r="S110" s="260">
        <v>1</v>
      </c>
      <c r="T110" s="250">
        <f t="shared" si="79"/>
        <v>0</v>
      </c>
      <c r="V110" s="250">
        <f t="shared" si="80"/>
        <v>334</v>
      </c>
      <c r="W110" s="250">
        <f t="shared" si="81"/>
        <v>334</v>
      </c>
      <c r="X110" s="260">
        <v>1</v>
      </c>
      <c r="Y110" s="250">
        <f t="shared" si="82"/>
        <v>334</v>
      </c>
      <c r="Z110" s="250">
        <f t="shared" si="83"/>
        <v>334</v>
      </c>
      <c r="AA110" s="250">
        <f t="shared" si="71"/>
        <v>0</v>
      </c>
      <c r="AB110" s="250">
        <f t="shared" si="72"/>
        <v>0</v>
      </c>
      <c r="AC110" s="259">
        <f t="shared" si="84"/>
        <v>92.333333333333329</v>
      </c>
      <c r="AD110" s="247">
        <f t="shared" si="85"/>
        <v>124.5</v>
      </c>
      <c r="AE110" s="259">
        <f t="shared" si="86"/>
        <v>102.33333333333333</v>
      </c>
      <c r="AF110" s="247">
        <f t="shared" si="87"/>
        <v>123.5</v>
      </c>
      <c r="AG110" s="258">
        <f t="shared" si="88"/>
        <v>-8.3333333333333329E-2</v>
      </c>
    </row>
    <row r="111" spans="2:33">
      <c r="B111" s="255" t="s">
        <v>449</v>
      </c>
      <c r="C111" s="255">
        <v>92</v>
      </c>
      <c r="D111" s="255">
        <v>5</v>
      </c>
      <c r="E111" s="262">
        <v>0</v>
      </c>
      <c r="G111" s="265" t="s">
        <v>831</v>
      </c>
      <c r="H111" s="255">
        <v>10</v>
      </c>
      <c r="I111" s="247">
        <f t="shared" si="73"/>
        <v>102</v>
      </c>
      <c r="L111" s="253">
        <v>1453</v>
      </c>
      <c r="N111" s="250">
        <f t="shared" si="74"/>
        <v>1453</v>
      </c>
      <c r="O111" s="250">
        <f t="shared" si="75"/>
        <v>12.108333333333334</v>
      </c>
      <c r="P111" s="250">
        <f t="shared" si="76"/>
        <v>0</v>
      </c>
      <c r="Q111" s="247">
        <f t="shared" si="77"/>
        <v>0</v>
      </c>
      <c r="R111" s="250">
        <f t="shared" si="78"/>
        <v>0</v>
      </c>
      <c r="S111" s="260">
        <v>1</v>
      </c>
      <c r="T111" s="250">
        <f t="shared" si="79"/>
        <v>0</v>
      </c>
      <c r="V111" s="250">
        <f t="shared" si="80"/>
        <v>1453</v>
      </c>
      <c r="W111" s="250">
        <f t="shared" si="81"/>
        <v>1453</v>
      </c>
      <c r="X111" s="260">
        <v>1</v>
      </c>
      <c r="Y111" s="250">
        <f t="shared" si="82"/>
        <v>1453</v>
      </c>
      <c r="Z111" s="250">
        <f t="shared" si="83"/>
        <v>1453</v>
      </c>
      <c r="AA111" s="250">
        <f t="shared" si="71"/>
        <v>0</v>
      </c>
      <c r="AB111" s="250">
        <f t="shared" si="72"/>
        <v>0</v>
      </c>
      <c r="AC111" s="259">
        <f t="shared" si="84"/>
        <v>92.333333333333329</v>
      </c>
      <c r="AD111" s="247">
        <f t="shared" si="85"/>
        <v>124.5</v>
      </c>
      <c r="AE111" s="259">
        <f t="shared" si="86"/>
        <v>102.33333333333333</v>
      </c>
      <c r="AF111" s="247">
        <f t="shared" si="87"/>
        <v>123.5</v>
      </c>
      <c r="AG111" s="258">
        <f t="shared" si="88"/>
        <v>-8.3333333333333329E-2</v>
      </c>
    </row>
    <row r="112" spans="2:33">
      <c r="B112" s="255" t="s">
        <v>459</v>
      </c>
      <c r="C112" s="255">
        <v>93</v>
      </c>
      <c r="D112" s="255">
        <v>4</v>
      </c>
      <c r="E112" s="262">
        <v>0</v>
      </c>
      <c r="G112" s="265" t="s">
        <v>831</v>
      </c>
      <c r="H112" s="255">
        <v>10</v>
      </c>
      <c r="I112" s="247">
        <f t="shared" si="73"/>
        <v>103</v>
      </c>
      <c r="L112" s="253">
        <v>3506</v>
      </c>
      <c r="N112" s="250">
        <f t="shared" si="74"/>
        <v>3506</v>
      </c>
      <c r="O112" s="250">
        <f t="shared" si="75"/>
        <v>29.216666666666669</v>
      </c>
      <c r="P112" s="250">
        <f t="shared" si="76"/>
        <v>0</v>
      </c>
      <c r="Q112" s="247">
        <f t="shared" si="77"/>
        <v>0</v>
      </c>
      <c r="R112" s="250">
        <f t="shared" si="78"/>
        <v>0</v>
      </c>
      <c r="S112" s="260">
        <v>1</v>
      </c>
      <c r="T112" s="250">
        <f t="shared" si="79"/>
        <v>0</v>
      </c>
      <c r="V112" s="250">
        <f t="shared" si="80"/>
        <v>3506</v>
      </c>
      <c r="W112" s="250">
        <f t="shared" si="81"/>
        <v>3506</v>
      </c>
      <c r="X112" s="260">
        <v>1</v>
      </c>
      <c r="Y112" s="250">
        <f t="shared" si="82"/>
        <v>3506</v>
      </c>
      <c r="Z112" s="250">
        <f t="shared" si="83"/>
        <v>3506</v>
      </c>
      <c r="AA112" s="250">
        <f t="shared" si="71"/>
        <v>0</v>
      </c>
      <c r="AB112" s="250">
        <f t="shared" si="72"/>
        <v>0</v>
      </c>
      <c r="AC112" s="259">
        <f t="shared" si="84"/>
        <v>93.25</v>
      </c>
      <c r="AD112" s="247">
        <f t="shared" si="85"/>
        <v>124.5</v>
      </c>
      <c r="AE112" s="259">
        <f t="shared" si="86"/>
        <v>103.25</v>
      </c>
      <c r="AF112" s="247">
        <f t="shared" si="87"/>
        <v>123.5</v>
      </c>
      <c r="AG112" s="258">
        <f t="shared" si="88"/>
        <v>-8.3333333333333329E-2</v>
      </c>
    </row>
    <row r="113" spans="2:33">
      <c r="B113" s="255" t="s">
        <v>453</v>
      </c>
      <c r="C113" s="255">
        <v>93</v>
      </c>
      <c r="D113" s="255">
        <v>4</v>
      </c>
      <c r="E113" s="262">
        <v>0</v>
      </c>
      <c r="G113" s="265" t="s">
        <v>831</v>
      </c>
      <c r="H113" s="255">
        <v>10</v>
      </c>
      <c r="I113" s="247">
        <f t="shared" si="73"/>
        <v>103</v>
      </c>
      <c r="L113" s="253">
        <v>1818</v>
      </c>
      <c r="N113" s="250">
        <f t="shared" si="74"/>
        <v>1818</v>
      </c>
      <c r="O113" s="250">
        <f t="shared" si="75"/>
        <v>15.15</v>
      </c>
      <c r="P113" s="250">
        <f t="shared" si="76"/>
        <v>0</v>
      </c>
      <c r="Q113" s="247">
        <f t="shared" si="77"/>
        <v>0</v>
      </c>
      <c r="R113" s="250">
        <f t="shared" si="78"/>
        <v>0</v>
      </c>
      <c r="S113" s="260">
        <v>1</v>
      </c>
      <c r="T113" s="250">
        <f t="shared" si="79"/>
        <v>0</v>
      </c>
      <c r="V113" s="250">
        <f t="shared" si="80"/>
        <v>1818</v>
      </c>
      <c r="W113" s="250">
        <f t="shared" si="81"/>
        <v>1818</v>
      </c>
      <c r="X113" s="260">
        <v>1</v>
      </c>
      <c r="Y113" s="250">
        <f t="shared" si="82"/>
        <v>1818</v>
      </c>
      <c r="Z113" s="250">
        <f t="shared" si="83"/>
        <v>1818</v>
      </c>
      <c r="AA113" s="250">
        <f t="shared" si="71"/>
        <v>0</v>
      </c>
      <c r="AB113" s="250">
        <f t="shared" si="72"/>
        <v>0</v>
      </c>
      <c r="AC113" s="259">
        <f t="shared" si="84"/>
        <v>93.25</v>
      </c>
      <c r="AD113" s="247">
        <f t="shared" si="85"/>
        <v>124.5</v>
      </c>
      <c r="AE113" s="259">
        <f t="shared" si="86"/>
        <v>103.25</v>
      </c>
      <c r="AF113" s="247">
        <f t="shared" si="87"/>
        <v>123.5</v>
      </c>
      <c r="AG113" s="258">
        <f t="shared" si="88"/>
        <v>-8.3333333333333329E-2</v>
      </c>
    </row>
    <row r="114" spans="2:33">
      <c r="B114" s="255" t="s">
        <v>460</v>
      </c>
      <c r="C114" s="255">
        <v>93</v>
      </c>
      <c r="D114" s="255">
        <v>4</v>
      </c>
      <c r="E114" s="262">
        <v>0</v>
      </c>
      <c r="G114" s="265" t="s">
        <v>831</v>
      </c>
      <c r="H114" s="255">
        <v>10</v>
      </c>
      <c r="I114" s="247">
        <f t="shared" si="73"/>
        <v>103</v>
      </c>
      <c r="L114" s="253">
        <v>3246</v>
      </c>
      <c r="N114" s="250">
        <f t="shared" si="74"/>
        <v>3246</v>
      </c>
      <c r="O114" s="250">
        <f t="shared" si="75"/>
        <v>27.05</v>
      </c>
      <c r="P114" s="250">
        <f t="shared" si="76"/>
        <v>0</v>
      </c>
      <c r="Q114" s="247">
        <f t="shared" si="77"/>
        <v>0</v>
      </c>
      <c r="R114" s="250">
        <f t="shared" si="78"/>
        <v>0</v>
      </c>
      <c r="S114" s="260">
        <v>1</v>
      </c>
      <c r="T114" s="250">
        <f t="shared" si="79"/>
        <v>0</v>
      </c>
      <c r="V114" s="250">
        <f t="shared" si="80"/>
        <v>3246</v>
      </c>
      <c r="W114" s="250">
        <f t="shared" si="81"/>
        <v>3246</v>
      </c>
      <c r="X114" s="260">
        <v>1</v>
      </c>
      <c r="Y114" s="250">
        <f t="shared" si="82"/>
        <v>3246</v>
      </c>
      <c r="Z114" s="250">
        <f t="shared" si="83"/>
        <v>3246</v>
      </c>
      <c r="AA114" s="250">
        <f t="shared" si="71"/>
        <v>0</v>
      </c>
      <c r="AB114" s="250">
        <f t="shared" si="72"/>
        <v>0</v>
      </c>
      <c r="AC114" s="259">
        <f t="shared" si="84"/>
        <v>93.25</v>
      </c>
      <c r="AD114" s="247">
        <f t="shared" si="85"/>
        <v>124.5</v>
      </c>
      <c r="AE114" s="259">
        <f t="shared" si="86"/>
        <v>103.25</v>
      </c>
      <c r="AF114" s="247">
        <f t="shared" si="87"/>
        <v>123.5</v>
      </c>
      <c r="AG114" s="258">
        <f t="shared" si="88"/>
        <v>-8.3333333333333329E-2</v>
      </c>
    </row>
    <row r="115" spans="2:33">
      <c r="B115" s="255" t="s">
        <v>455</v>
      </c>
      <c r="C115" s="255">
        <v>93</v>
      </c>
      <c r="D115" s="255">
        <v>5</v>
      </c>
      <c r="E115" s="262">
        <v>0</v>
      </c>
      <c r="G115" s="265" t="s">
        <v>831</v>
      </c>
      <c r="H115" s="255">
        <v>10</v>
      </c>
      <c r="I115" s="247">
        <f t="shared" si="73"/>
        <v>103</v>
      </c>
      <c r="L115" s="253">
        <v>2705</v>
      </c>
      <c r="N115" s="250">
        <f t="shared" si="74"/>
        <v>2705</v>
      </c>
      <c r="O115" s="250">
        <f t="shared" si="75"/>
        <v>22.541666666666668</v>
      </c>
      <c r="P115" s="250">
        <f t="shared" si="76"/>
        <v>0</v>
      </c>
      <c r="Q115" s="247">
        <f t="shared" si="77"/>
        <v>0</v>
      </c>
      <c r="R115" s="250">
        <f t="shared" si="78"/>
        <v>0</v>
      </c>
      <c r="S115" s="260">
        <v>1</v>
      </c>
      <c r="T115" s="250">
        <f t="shared" si="79"/>
        <v>0</v>
      </c>
      <c r="V115" s="250">
        <f t="shared" si="80"/>
        <v>2705</v>
      </c>
      <c r="W115" s="250">
        <f t="shared" si="81"/>
        <v>2705</v>
      </c>
      <c r="X115" s="260">
        <v>1</v>
      </c>
      <c r="Y115" s="250">
        <f t="shared" si="82"/>
        <v>2705</v>
      </c>
      <c r="Z115" s="250">
        <f t="shared" si="83"/>
        <v>2705</v>
      </c>
      <c r="AA115" s="250">
        <f t="shared" si="71"/>
        <v>0</v>
      </c>
      <c r="AB115" s="250">
        <f t="shared" si="72"/>
        <v>0</v>
      </c>
      <c r="AC115" s="259">
        <f t="shared" si="84"/>
        <v>93.333333333333329</v>
      </c>
      <c r="AD115" s="247">
        <f t="shared" si="85"/>
        <v>124.5</v>
      </c>
      <c r="AE115" s="259">
        <f t="shared" si="86"/>
        <v>103.33333333333333</v>
      </c>
      <c r="AF115" s="247">
        <f t="shared" si="87"/>
        <v>123.5</v>
      </c>
      <c r="AG115" s="258">
        <f t="shared" si="88"/>
        <v>-8.3333333333333329E-2</v>
      </c>
    </row>
    <row r="116" spans="2:33">
      <c r="B116" s="255" t="s">
        <v>451</v>
      </c>
      <c r="C116" s="255">
        <v>93</v>
      </c>
      <c r="D116" s="255">
        <v>5</v>
      </c>
      <c r="E116" s="262">
        <v>0</v>
      </c>
      <c r="G116" s="265" t="s">
        <v>831</v>
      </c>
      <c r="H116" s="255">
        <v>10</v>
      </c>
      <c r="I116" s="247">
        <f t="shared" si="73"/>
        <v>103</v>
      </c>
      <c r="L116" s="253">
        <v>2867</v>
      </c>
      <c r="N116" s="250">
        <f t="shared" si="74"/>
        <v>2867</v>
      </c>
      <c r="O116" s="250">
        <f t="shared" si="75"/>
        <v>23.891666666666666</v>
      </c>
      <c r="P116" s="250">
        <f t="shared" si="76"/>
        <v>0</v>
      </c>
      <c r="Q116" s="247">
        <f t="shared" si="77"/>
        <v>0</v>
      </c>
      <c r="R116" s="250">
        <f t="shared" si="78"/>
        <v>0</v>
      </c>
      <c r="S116" s="260">
        <v>1</v>
      </c>
      <c r="T116" s="250">
        <f t="shared" si="79"/>
        <v>0</v>
      </c>
      <c r="V116" s="250">
        <f t="shared" si="80"/>
        <v>2867</v>
      </c>
      <c r="W116" s="250">
        <f t="shared" si="81"/>
        <v>2867</v>
      </c>
      <c r="X116" s="260">
        <v>1</v>
      </c>
      <c r="Y116" s="250">
        <f t="shared" si="82"/>
        <v>2867</v>
      </c>
      <c r="Z116" s="250">
        <f t="shared" si="83"/>
        <v>2867</v>
      </c>
      <c r="AA116" s="250">
        <f t="shared" si="71"/>
        <v>0</v>
      </c>
      <c r="AB116" s="250">
        <f t="shared" si="72"/>
        <v>0</v>
      </c>
      <c r="AC116" s="259">
        <f t="shared" si="84"/>
        <v>93.333333333333329</v>
      </c>
      <c r="AD116" s="247">
        <f t="shared" si="85"/>
        <v>124.5</v>
      </c>
      <c r="AE116" s="259">
        <f t="shared" si="86"/>
        <v>103.33333333333333</v>
      </c>
      <c r="AF116" s="247">
        <f t="shared" si="87"/>
        <v>123.5</v>
      </c>
      <c r="AG116" s="258">
        <f t="shared" si="88"/>
        <v>-8.3333333333333329E-2</v>
      </c>
    </row>
    <row r="117" spans="2:33">
      <c r="B117" s="255" t="s">
        <v>449</v>
      </c>
      <c r="C117" s="255">
        <v>93</v>
      </c>
      <c r="D117" s="255">
        <v>5</v>
      </c>
      <c r="E117" s="262">
        <v>0</v>
      </c>
      <c r="G117" s="265" t="s">
        <v>831</v>
      </c>
      <c r="H117" s="255">
        <v>10</v>
      </c>
      <c r="I117" s="247">
        <f t="shared" si="73"/>
        <v>103</v>
      </c>
      <c r="L117" s="253">
        <v>1331</v>
      </c>
      <c r="N117" s="250">
        <f t="shared" si="74"/>
        <v>1331</v>
      </c>
      <c r="O117" s="250">
        <f t="shared" si="75"/>
        <v>11.091666666666667</v>
      </c>
      <c r="P117" s="250">
        <f t="shared" si="76"/>
        <v>0</v>
      </c>
      <c r="Q117" s="247">
        <f t="shared" si="77"/>
        <v>0</v>
      </c>
      <c r="R117" s="250">
        <f t="shared" si="78"/>
        <v>0</v>
      </c>
      <c r="S117" s="260">
        <v>1</v>
      </c>
      <c r="T117" s="250">
        <f t="shared" si="79"/>
        <v>0</v>
      </c>
      <c r="V117" s="250">
        <f t="shared" si="80"/>
        <v>1331</v>
      </c>
      <c r="W117" s="250">
        <f t="shared" si="81"/>
        <v>1331</v>
      </c>
      <c r="X117" s="260">
        <v>1</v>
      </c>
      <c r="Y117" s="250">
        <f t="shared" si="82"/>
        <v>1331</v>
      </c>
      <c r="Z117" s="250">
        <f t="shared" si="83"/>
        <v>1331</v>
      </c>
      <c r="AA117" s="250">
        <f t="shared" si="71"/>
        <v>0</v>
      </c>
      <c r="AB117" s="250">
        <f t="shared" si="72"/>
        <v>0</v>
      </c>
      <c r="AC117" s="259">
        <f t="shared" si="84"/>
        <v>93.333333333333329</v>
      </c>
      <c r="AD117" s="247">
        <f t="shared" si="85"/>
        <v>124.5</v>
      </c>
      <c r="AE117" s="259">
        <f t="shared" si="86"/>
        <v>103.33333333333333</v>
      </c>
      <c r="AF117" s="247">
        <f t="shared" si="87"/>
        <v>123.5</v>
      </c>
      <c r="AG117" s="258">
        <f t="shared" si="88"/>
        <v>-8.3333333333333329E-2</v>
      </c>
    </row>
    <row r="118" spans="2:33">
      <c r="B118" s="255" t="s">
        <v>448</v>
      </c>
      <c r="C118" s="255">
        <v>94</v>
      </c>
      <c r="D118" s="255">
        <v>6</v>
      </c>
      <c r="E118" s="262">
        <v>0</v>
      </c>
      <c r="G118" s="265" t="s">
        <v>831</v>
      </c>
      <c r="H118" s="255">
        <v>10</v>
      </c>
      <c r="I118" s="247">
        <f t="shared" si="73"/>
        <v>104</v>
      </c>
      <c r="L118" s="253">
        <v>432</v>
      </c>
      <c r="N118" s="250">
        <f t="shared" si="74"/>
        <v>432</v>
      </c>
      <c r="O118" s="250">
        <f t="shared" si="75"/>
        <v>3.6</v>
      </c>
      <c r="P118" s="250">
        <f t="shared" si="76"/>
        <v>0</v>
      </c>
      <c r="Q118" s="247">
        <f t="shared" si="77"/>
        <v>0</v>
      </c>
      <c r="R118" s="250">
        <f t="shared" si="78"/>
        <v>0</v>
      </c>
      <c r="S118" s="260">
        <v>1</v>
      </c>
      <c r="T118" s="250">
        <f t="shared" si="79"/>
        <v>0</v>
      </c>
      <c r="V118" s="250">
        <f t="shared" si="80"/>
        <v>432</v>
      </c>
      <c r="W118" s="250">
        <f t="shared" si="81"/>
        <v>432</v>
      </c>
      <c r="X118" s="260">
        <v>1</v>
      </c>
      <c r="Y118" s="250">
        <f t="shared" si="82"/>
        <v>432</v>
      </c>
      <c r="Z118" s="250">
        <f t="shared" si="83"/>
        <v>432</v>
      </c>
      <c r="AA118" s="250">
        <f t="shared" si="71"/>
        <v>0</v>
      </c>
      <c r="AB118" s="250">
        <f t="shared" si="72"/>
        <v>0</v>
      </c>
      <c r="AC118" s="259">
        <f t="shared" si="84"/>
        <v>94.416666666666671</v>
      </c>
      <c r="AD118" s="247">
        <f t="shared" si="85"/>
        <v>124.5</v>
      </c>
      <c r="AE118" s="259">
        <f t="shared" si="86"/>
        <v>104.41666666666667</v>
      </c>
      <c r="AF118" s="247">
        <f t="shared" si="87"/>
        <v>123.5</v>
      </c>
      <c r="AG118" s="258">
        <f t="shared" si="88"/>
        <v>-8.3333333333333329E-2</v>
      </c>
    </row>
    <row r="119" spans="2:33">
      <c r="B119" s="255" t="s">
        <v>461</v>
      </c>
      <c r="C119" s="255">
        <v>94</v>
      </c>
      <c r="D119" s="255">
        <v>6</v>
      </c>
      <c r="E119" s="262">
        <v>0</v>
      </c>
      <c r="G119" s="265" t="s">
        <v>831</v>
      </c>
      <c r="H119" s="255">
        <v>10</v>
      </c>
      <c r="I119" s="247">
        <f t="shared" si="73"/>
        <v>104</v>
      </c>
      <c r="L119" s="253">
        <v>756</v>
      </c>
      <c r="N119" s="250">
        <f t="shared" si="74"/>
        <v>756</v>
      </c>
      <c r="O119" s="250">
        <f t="shared" si="75"/>
        <v>6.3</v>
      </c>
      <c r="P119" s="250">
        <f t="shared" si="76"/>
        <v>0</v>
      </c>
      <c r="Q119" s="247">
        <f t="shared" si="77"/>
        <v>0</v>
      </c>
      <c r="R119" s="250">
        <f t="shared" si="78"/>
        <v>0</v>
      </c>
      <c r="S119" s="260">
        <v>1</v>
      </c>
      <c r="T119" s="250">
        <f t="shared" si="79"/>
        <v>0</v>
      </c>
      <c r="V119" s="250">
        <f t="shared" si="80"/>
        <v>756</v>
      </c>
      <c r="W119" s="250">
        <f t="shared" si="81"/>
        <v>756</v>
      </c>
      <c r="X119" s="260">
        <v>1</v>
      </c>
      <c r="Y119" s="250">
        <f t="shared" si="82"/>
        <v>756</v>
      </c>
      <c r="Z119" s="250">
        <f t="shared" si="83"/>
        <v>756</v>
      </c>
      <c r="AA119" s="250">
        <f t="shared" si="71"/>
        <v>0</v>
      </c>
      <c r="AB119" s="250">
        <f t="shared" si="72"/>
        <v>0</v>
      </c>
      <c r="AC119" s="259">
        <f t="shared" si="84"/>
        <v>94.416666666666671</v>
      </c>
      <c r="AD119" s="247">
        <f t="shared" si="85"/>
        <v>124.5</v>
      </c>
      <c r="AE119" s="259">
        <f t="shared" si="86"/>
        <v>104.41666666666667</v>
      </c>
      <c r="AF119" s="247">
        <f t="shared" si="87"/>
        <v>123.5</v>
      </c>
      <c r="AG119" s="258">
        <f t="shared" si="88"/>
        <v>-8.3333333333333329E-2</v>
      </c>
    </row>
    <row r="120" spans="2:33">
      <c r="B120" s="255" t="s">
        <v>445</v>
      </c>
      <c r="C120" s="255">
        <v>94</v>
      </c>
      <c r="D120" s="255">
        <v>6</v>
      </c>
      <c r="E120" s="262">
        <v>0</v>
      </c>
      <c r="G120" s="265" t="s">
        <v>831</v>
      </c>
      <c r="H120" s="255">
        <v>10</v>
      </c>
      <c r="I120" s="247">
        <f t="shared" si="73"/>
        <v>104</v>
      </c>
      <c r="L120" s="253">
        <v>367</v>
      </c>
      <c r="N120" s="250">
        <f t="shared" si="74"/>
        <v>367</v>
      </c>
      <c r="O120" s="250">
        <f t="shared" si="75"/>
        <v>3.0583333333333336</v>
      </c>
      <c r="P120" s="250">
        <f t="shared" si="76"/>
        <v>0</v>
      </c>
      <c r="Q120" s="247">
        <f t="shared" si="77"/>
        <v>0</v>
      </c>
      <c r="R120" s="250">
        <f t="shared" si="78"/>
        <v>0</v>
      </c>
      <c r="S120" s="260">
        <v>1</v>
      </c>
      <c r="T120" s="250">
        <f t="shared" si="79"/>
        <v>0</v>
      </c>
      <c r="V120" s="250">
        <f t="shared" si="80"/>
        <v>367</v>
      </c>
      <c r="W120" s="250">
        <f t="shared" si="81"/>
        <v>367</v>
      </c>
      <c r="X120" s="260">
        <v>1</v>
      </c>
      <c r="Y120" s="250">
        <f t="shared" si="82"/>
        <v>367</v>
      </c>
      <c r="Z120" s="250">
        <f t="shared" si="83"/>
        <v>367</v>
      </c>
      <c r="AA120" s="250">
        <f t="shared" si="71"/>
        <v>0</v>
      </c>
      <c r="AB120" s="250">
        <f t="shared" si="72"/>
        <v>0</v>
      </c>
      <c r="AC120" s="259">
        <f t="shared" si="84"/>
        <v>94.416666666666671</v>
      </c>
      <c r="AD120" s="247">
        <f t="shared" si="85"/>
        <v>124.5</v>
      </c>
      <c r="AE120" s="259">
        <f t="shared" si="86"/>
        <v>104.41666666666667</v>
      </c>
      <c r="AF120" s="247">
        <f t="shared" si="87"/>
        <v>123.5</v>
      </c>
      <c r="AG120" s="258">
        <f t="shared" si="88"/>
        <v>-8.3333333333333329E-2</v>
      </c>
    </row>
    <row r="121" spans="2:33">
      <c r="B121" s="255" t="s">
        <v>462</v>
      </c>
      <c r="C121" s="255">
        <v>94</v>
      </c>
      <c r="D121" s="255">
        <v>6</v>
      </c>
      <c r="E121" s="262">
        <v>0</v>
      </c>
      <c r="G121" s="265" t="s">
        <v>831</v>
      </c>
      <c r="H121" s="255">
        <v>10</v>
      </c>
      <c r="I121" s="247">
        <f t="shared" si="73"/>
        <v>104</v>
      </c>
      <c r="L121" s="253">
        <v>1890</v>
      </c>
      <c r="N121" s="250">
        <f t="shared" si="74"/>
        <v>1890</v>
      </c>
      <c r="O121" s="250">
        <f t="shared" si="75"/>
        <v>15.75</v>
      </c>
      <c r="P121" s="250">
        <f t="shared" si="76"/>
        <v>0</v>
      </c>
      <c r="Q121" s="247">
        <f t="shared" si="77"/>
        <v>0</v>
      </c>
      <c r="R121" s="250">
        <f t="shared" si="78"/>
        <v>0</v>
      </c>
      <c r="S121" s="260">
        <v>1</v>
      </c>
      <c r="T121" s="250">
        <f t="shared" si="79"/>
        <v>0</v>
      </c>
      <c r="V121" s="250">
        <f t="shared" si="80"/>
        <v>1890</v>
      </c>
      <c r="W121" s="250">
        <f t="shared" si="81"/>
        <v>1890</v>
      </c>
      <c r="X121" s="260">
        <v>1</v>
      </c>
      <c r="Y121" s="250">
        <f t="shared" si="82"/>
        <v>1890</v>
      </c>
      <c r="Z121" s="250">
        <f t="shared" si="83"/>
        <v>1890</v>
      </c>
      <c r="AA121" s="250">
        <f t="shared" si="71"/>
        <v>0</v>
      </c>
      <c r="AB121" s="250">
        <f t="shared" si="72"/>
        <v>0</v>
      </c>
      <c r="AC121" s="259">
        <f t="shared" si="84"/>
        <v>94.416666666666671</v>
      </c>
      <c r="AD121" s="247">
        <f t="shared" si="85"/>
        <v>124.5</v>
      </c>
      <c r="AE121" s="259">
        <f t="shared" si="86"/>
        <v>104.41666666666667</v>
      </c>
      <c r="AF121" s="247">
        <f t="shared" si="87"/>
        <v>123.5</v>
      </c>
      <c r="AG121" s="258">
        <f t="shared" si="88"/>
        <v>-8.3333333333333329E-2</v>
      </c>
    </row>
    <row r="122" spans="2:33">
      <c r="B122" s="255" t="s">
        <v>448</v>
      </c>
      <c r="C122" s="255">
        <v>94</v>
      </c>
      <c r="D122" s="255">
        <v>7</v>
      </c>
      <c r="E122" s="262">
        <v>0</v>
      </c>
      <c r="G122" s="265" t="s">
        <v>831</v>
      </c>
      <c r="H122" s="255">
        <v>10</v>
      </c>
      <c r="I122" s="247">
        <f t="shared" si="73"/>
        <v>104</v>
      </c>
      <c r="L122" s="253">
        <v>665</v>
      </c>
      <c r="N122" s="250">
        <f t="shared" si="74"/>
        <v>665</v>
      </c>
      <c r="O122" s="250">
        <f t="shared" si="75"/>
        <v>5.541666666666667</v>
      </c>
      <c r="P122" s="250">
        <f t="shared" si="76"/>
        <v>0</v>
      </c>
      <c r="Q122" s="247">
        <f t="shared" si="77"/>
        <v>0</v>
      </c>
      <c r="R122" s="250">
        <f t="shared" si="78"/>
        <v>0</v>
      </c>
      <c r="S122" s="260">
        <v>1</v>
      </c>
      <c r="T122" s="250">
        <f t="shared" si="79"/>
        <v>0</v>
      </c>
      <c r="V122" s="250">
        <f t="shared" si="80"/>
        <v>665</v>
      </c>
      <c r="W122" s="250">
        <f t="shared" si="81"/>
        <v>665</v>
      </c>
      <c r="X122" s="260">
        <v>1</v>
      </c>
      <c r="Y122" s="250">
        <f t="shared" si="82"/>
        <v>665</v>
      </c>
      <c r="Z122" s="250">
        <f t="shared" si="83"/>
        <v>665</v>
      </c>
      <c r="AA122" s="250">
        <f t="shared" si="71"/>
        <v>0</v>
      </c>
      <c r="AB122" s="250">
        <f t="shared" si="72"/>
        <v>0</v>
      </c>
      <c r="AC122" s="259">
        <f t="shared" si="84"/>
        <v>94.5</v>
      </c>
      <c r="AD122" s="247">
        <f t="shared" si="85"/>
        <v>124.5</v>
      </c>
      <c r="AE122" s="259">
        <f t="shared" si="86"/>
        <v>104.5</v>
      </c>
      <c r="AF122" s="247">
        <f t="shared" si="87"/>
        <v>123.5</v>
      </c>
      <c r="AG122" s="258">
        <f t="shared" si="88"/>
        <v>-8.3333333333333329E-2</v>
      </c>
    </row>
    <row r="123" spans="2:33">
      <c r="B123" s="255" t="s">
        <v>463</v>
      </c>
      <c r="C123" s="255">
        <v>94</v>
      </c>
      <c r="D123" s="255">
        <v>7</v>
      </c>
      <c r="E123" s="262">
        <v>0</v>
      </c>
      <c r="G123" s="265" t="s">
        <v>831</v>
      </c>
      <c r="H123" s="255">
        <v>10</v>
      </c>
      <c r="I123" s="247">
        <f t="shared" si="73"/>
        <v>104</v>
      </c>
      <c r="L123" s="253">
        <v>1642</v>
      </c>
      <c r="N123" s="250">
        <f t="shared" si="74"/>
        <v>1642</v>
      </c>
      <c r="O123" s="250">
        <f t="shared" si="75"/>
        <v>13.683333333333332</v>
      </c>
      <c r="P123" s="250">
        <f t="shared" si="76"/>
        <v>0</v>
      </c>
      <c r="Q123" s="247">
        <f t="shared" si="77"/>
        <v>0</v>
      </c>
      <c r="R123" s="250">
        <f t="shared" si="78"/>
        <v>0</v>
      </c>
      <c r="S123" s="260">
        <v>1</v>
      </c>
      <c r="T123" s="250">
        <f t="shared" si="79"/>
        <v>0</v>
      </c>
      <c r="V123" s="250">
        <f t="shared" si="80"/>
        <v>1642</v>
      </c>
      <c r="W123" s="250">
        <f t="shared" si="81"/>
        <v>1642</v>
      </c>
      <c r="X123" s="260">
        <v>1</v>
      </c>
      <c r="Y123" s="250">
        <f t="shared" si="82"/>
        <v>1642</v>
      </c>
      <c r="Z123" s="250">
        <f t="shared" si="83"/>
        <v>1642</v>
      </c>
      <c r="AA123" s="250">
        <f t="shared" si="71"/>
        <v>0</v>
      </c>
      <c r="AB123" s="250">
        <f t="shared" si="72"/>
        <v>0</v>
      </c>
      <c r="AC123" s="259">
        <f t="shared" si="84"/>
        <v>94.5</v>
      </c>
      <c r="AD123" s="247">
        <f t="shared" si="85"/>
        <v>124.5</v>
      </c>
      <c r="AE123" s="259">
        <f t="shared" si="86"/>
        <v>104.5</v>
      </c>
      <c r="AF123" s="247">
        <f t="shared" si="87"/>
        <v>123.5</v>
      </c>
      <c r="AG123" s="258">
        <f t="shared" si="88"/>
        <v>-8.3333333333333329E-2</v>
      </c>
    </row>
    <row r="124" spans="2:33">
      <c r="B124" s="255" t="s">
        <v>452</v>
      </c>
      <c r="C124" s="255">
        <v>94</v>
      </c>
      <c r="D124" s="255">
        <v>7</v>
      </c>
      <c r="E124" s="262">
        <v>0</v>
      </c>
      <c r="G124" s="265" t="s">
        <v>831</v>
      </c>
      <c r="H124" s="255">
        <v>10</v>
      </c>
      <c r="I124" s="247">
        <f t="shared" si="73"/>
        <v>104</v>
      </c>
      <c r="L124" s="253">
        <v>1377</v>
      </c>
      <c r="N124" s="250">
        <f t="shared" si="74"/>
        <v>1377</v>
      </c>
      <c r="O124" s="250">
        <f t="shared" si="75"/>
        <v>11.475</v>
      </c>
      <c r="P124" s="250">
        <f t="shared" si="76"/>
        <v>0</v>
      </c>
      <c r="Q124" s="247">
        <f t="shared" si="77"/>
        <v>0</v>
      </c>
      <c r="R124" s="250">
        <f t="shared" si="78"/>
        <v>0</v>
      </c>
      <c r="S124" s="260">
        <v>1</v>
      </c>
      <c r="T124" s="250">
        <f t="shared" si="79"/>
        <v>0</v>
      </c>
      <c r="V124" s="250">
        <f t="shared" si="80"/>
        <v>1377</v>
      </c>
      <c r="W124" s="250">
        <f t="shared" si="81"/>
        <v>1377</v>
      </c>
      <c r="X124" s="260">
        <v>1</v>
      </c>
      <c r="Y124" s="250">
        <f t="shared" si="82"/>
        <v>1377</v>
      </c>
      <c r="Z124" s="250">
        <f t="shared" si="83"/>
        <v>1377</v>
      </c>
      <c r="AA124" s="250">
        <f t="shared" si="71"/>
        <v>0</v>
      </c>
      <c r="AB124" s="250">
        <f t="shared" si="72"/>
        <v>0</v>
      </c>
      <c r="AC124" s="259">
        <f t="shared" si="84"/>
        <v>94.5</v>
      </c>
      <c r="AD124" s="247">
        <f t="shared" si="85"/>
        <v>124.5</v>
      </c>
      <c r="AE124" s="259">
        <f t="shared" si="86"/>
        <v>104.5</v>
      </c>
      <c r="AF124" s="247">
        <f t="shared" si="87"/>
        <v>123.5</v>
      </c>
      <c r="AG124" s="258">
        <f t="shared" si="88"/>
        <v>-8.3333333333333329E-2</v>
      </c>
    </row>
    <row r="125" spans="2:33">
      <c r="B125" s="255" t="s">
        <v>464</v>
      </c>
      <c r="C125" s="255">
        <v>95</v>
      </c>
      <c r="D125" s="255">
        <v>4</v>
      </c>
      <c r="E125" s="262">
        <v>0</v>
      </c>
      <c r="G125" s="265" t="s">
        <v>831</v>
      </c>
      <c r="H125" s="255">
        <v>10</v>
      </c>
      <c r="I125" s="247">
        <f t="shared" si="73"/>
        <v>105</v>
      </c>
      <c r="L125" s="253">
        <v>2554</v>
      </c>
      <c r="N125" s="250">
        <f t="shared" si="74"/>
        <v>2554</v>
      </c>
      <c r="O125" s="250">
        <f t="shared" si="75"/>
        <v>21.283333333333335</v>
      </c>
      <c r="P125" s="250">
        <f t="shared" si="76"/>
        <v>0</v>
      </c>
      <c r="Q125" s="247">
        <f t="shared" si="77"/>
        <v>0</v>
      </c>
      <c r="R125" s="250">
        <f t="shared" si="78"/>
        <v>0</v>
      </c>
      <c r="S125" s="260">
        <v>1</v>
      </c>
      <c r="T125" s="250">
        <f t="shared" si="79"/>
        <v>0</v>
      </c>
      <c r="V125" s="250">
        <f t="shared" si="80"/>
        <v>2554</v>
      </c>
      <c r="W125" s="250">
        <f t="shared" si="81"/>
        <v>2554</v>
      </c>
      <c r="X125" s="260">
        <v>1</v>
      </c>
      <c r="Y125" s="250">
        <f t="shared" si="82"/>
        <v>2554</v>
      </c>
      <c r="Z125" s="250">
        <f t="shared" si="83"/>
        <v>2554</v>
      </c>
      <c r="AA125" s="250">
        <f t="shared" si="71"/>
        <v>0</v>
      </c>
      <c r="AB125" s="250">
        <f t="shared" si="72"/>
        <v>0</v>
      </c>
      <c r="AC125" s="259">
        <f t="shared" si="84"/>
        <v>95.25</v>
      </c>
      <c r="AD125" s="247">
        <f t="shared" si="85"/>
        <v>124.5</v>
      </c>
      <c r="AE125" s="259">
        <f t="shared" si="86"/>
        <v>105.25</v>
      </c>
      <c r="AF125" s="247">
        <f t="shared" si="87"/>
        <v>123.5</v>
      </c>
      <c r="AG125" s="258">
        <f t="shared" si="88"/>
        <v>-8.3333333333333329E-2</v>
      </c>
    </row>
    <row r="126" spans="2:33">
      <c r="B126" s="255" t="s">
        <v>460</v>
      </c>
      <c r="C126" s="255">
        <v>95</v>
      </c>
      <c r="D126" s="255">
        <v>6</v>
      </c>
      <c r="E126" s="262">
        <v>0</v>
      </c>
      <c r="G126" s="265" t="s">
        <v>831</v>
      </c>
      <c r="H126" s="255">
        <v>10</v>
      </c>
      <c r="I126" s="247">
        <f t="shared" si="73"/>
        <v>105</v>
      </c>
      <c r="L126" s="253">
        <v>3376</v>
      </c>
      <c r="N126" s="250">
        <f t="shared" si="74"/>
        <v>3376</v>
      </c>
      <c r="O126" s="250">
        <f t="shared" si="75"/>
        <v>28.133333333333336</v>
      </c>
      <c r="P126" s="250">
        <f t="shared" si="76"/>
        <v>0</v>
      </c>
      <c r="Q126" s="247">
        <f t="shared" si="77"/>
        <v>0</v>
      </c>
      <c r="R126" s="250">
        <f t="shared" si="78"/>
        <v>0</v>
      </c>
      <c r="S126" s="260">
        <v>1</v>
      </c>
      <c r="T126" s="250">
        <f t="shared" si="79"/>
        <v>0</v>
      </c>
      <c r="V126" s="250">
        <f t="shared" si="80"/>
        <v>3376</v>
      </c>
      <c r="W126" s="250">
        <f t="shared" si="81"/>
        <v>3376</v>
      </c>
      <c r="X126" s="260">
        <v>1</v>
      </c>
      <c r="Y126" s="250">
        <f t="shared" si="82"/>
        <v>3376</v>
      </c>
      <c r="Z126" s="250">
        <f t="shared" si="83"/>
        <v>3376</v>
      </c>
      <c r="AA126" s="250">
        <f t="shared" si="71"/>
        <v>0</v>
      </c>
      <c r="AB126" s="250">
        <f t="shared" si="72"/>
        <v>0</v>
      </c>
      <c r="AC126" s="259">
        <f t="shared" si="84"/>
        <v>95.416666666666671</v>
      </c>
      <c r="AD126" s="247">
        <f t="shared" si="85"/>
        <v>124.5</v>
      </c>
      <c r="AE126" s="259">
        <f t="shared" si="86"/>
        <v>105.41666666666667</v>
      </c>
      <c r="AF126" s="247">
        <f t="shared" si="87"/>
        <v>123.5</v>
      </c>
      <c r="AG126" s="258">
        <f t="shared" si="88"/>
        <v>-8.3333333333333329E-2</v>
      </c>
    </row>
    <row r="127" spans="2:33">
      <c r="B127" s="255" t="s">
        <v>449</v>
      </c>
      <c r="C127" s="255">
        <v>95</v>
      </c>
      <c r="D127" s="255">
        <v>6</v>
      </c>
      <c r="E127" s="262">
        <v>0</v>
      </c>
      <c r="G127" s="265" t="s">
        <v>831</v>
      </c>
      <c r="H127" s="255">
        <v>10</v>
      </c>
      <c r="I127" s="247">
        <f t="shared" si="73"/>
        <v>105</v>
      </c>
      <c r="L127" s="253">
        <v>1623</v>
      </c>
      <c r="N127" s="250">
        <f t="shared" si="74"/>
        <v>1623</v>
      </c>
      <c r="O127" s="250">
        <f t="shared" si="75"/>
        <v>13.525</v>
      </c>
      <c r="P127" s="250">
        <f t="shared" si="76"/>
        <v>0</v>
      </c>
      <c r="Q127" s="247">
        <f t="shared" si="77"/>
        <v>0</v>
      </c>
      <c r="R127" s="250">
        <f t="shared" si="78"/>
        <v>0</v>
      </c>
      <c r="S127" s="260">
        <v>1</v>
      </c>
      <c r="T127" s="250">
        <f t="shared" si="79"/>
        <v>0</v>
      </c>
      <c r="V127" s="250">
        <f t="shared" si="80"/>
        <v>1623</v>
      </c>
      <c r="W127" s="250">
        <f t="shared" si="81"/>
        <v>1623</v>
      </c>
      <c r="X127" s="260">
        <v>1</v>
      </c>
      <c r="Y127" s="250">
        <f t="shared" si="82"/>
        <v>1623</v>
      </c>
      <c r="Z127" s="250">
        <f t="shared" si="83"/>
        <v>1623</v>
      </c>
      <c r="AA127" s="250">
        <f t="shared" si="71"/>
        <v>0</v>
      </c>
      <c r="AB127" s="250">
        <f t="shared" si="72"/>
        <v>0</v>
      </c>
      <c r="AC127" s="259">
        <f t="shared" si="84"/>
        <v>95.416666666666671</v>
      </c>
      <c r="AD127" s="247">
        <f t="shared" si="85"/>
        <v>124.5</v>
      </c>
      <c r="AE127" s="259">
        <f t="shared" si="86"/>
        <v>105.41666666666667</v>
      </c>
      <c r="AF127" s="247">
        <f t="shared" si="87"/>
        <v>123.5</v>
      </c>
      <c r="AG127" s="258">
        <f t="shared" si="88"/>
        <v>-8.3333333333333329E-2</v>
      </c>
    </row>
    <row r="128" spans="2:33">
      <c r="B128" s="255" t="s">
        <v>451</v>
      </c>
      <c r="C128" s="255">
        <v>96</v>
      </c>
      <c r="D128" s="255">
        <v>4</v>
      </c>
      <c r="E128" s="262">
        <v>0</v>
      </c>
      <c r="G128" s="265" t="s">
        <v>831</v>
      </c>
      <c r="H128" s="255">
        <v>10</v>
      </c>
      <c r="I128" s="247">
        <f t="shared" si="73"/>
        <v>106</v>
      </c>
      <c r="L128" s="253">
        <v>3246</v>
      </c>
      <c r="N128" s="250">
        <f t="shared" si="74"/>
        <v>3246</v>
      </c>
      <c r="O128" s="250">
        <f t="shared" si="75"/>
        <v>27.05</v>
      </c>
      <c r="P128" s="250">
        <f t="shared" si="76"/>
        <v>0</v>
      </c>
      <c r="Q128" s="247">
        <f t="shared" si="77"/>
        <v>0</v>
      </c>
      <c r="R128" s="250">
        <f t="shared" si="78"/>
        <v>0</v>
      </c>
      <c r="S128" s="260">
        <v>1</v>
      </c>
      <c r="T128" s="250">
        <f t="shared" si="79"/>
        <v>0</v>
      </c>
      <c r="V128" s="250">
        <f t="shared" si="80"/>
        <v>3246</v>
      </c>
      <c r="W128" s="250">
        <f t="shared" si="81"/>
        <v>3246</v>
      </c>
      <c r="X128" s="260">
        <v>1</v>
      </c>
      <c r="Y128" s="250">
        <f t="shared" si="82"/>
        <v>3246</v>
      </c>
      <c r="Z128" s="250">
        <f t="shared" si="83"/>
        <v>3246</v>
      </c>
      <c r="AA128" s="250">
        <f t="shared" si="71"/>
        <v>0</v>
      </c>
      <c r="AB128" s="250">
        <f t="shared" si="72"/>
        <v>0</v>
      </c>
      <c r="AC128" s="259">
        <f t="shared" si="84"/>
        <v>96.25</v>
      </c>
      <c r="AD128" s="247">
        <f t="shared" si="85"/>
        <v>124.5</v>
      </c>
      <c r="AE128" s="259">
        <f t="shared" si="86"/>
        <v>106.25</v>
      </c>
      <c r="AF128" s="247">
        <f t="shared" si="87"/>
        <v>123.5</v>
      </c>
      <c r="AG128" s="258">
        <f t="shared" si="88"/>
        <v>-8.3333333333333329E-2</v>
      </c>
    </row>
    <row r="129" spans="2:33">
      <c r="B129" s="255" t="s">
        <v>455</v>
      </c>
      <c r="C129" s="255">
        <v>96</v>
      </c>
      <c r="D129" s="255">
        <v>4</v>
      </c>
      <c r="E129" s="262">
        <v>0</v>
      </c>
      <c r="G129" s="265" t="s">
        <v>831</v>
      </c>
      <c r="H129" s="255">
        <v>10</v>
      </c>
      <c r="I129" s="247">
        <f t="shared" si="73"/>
        <v>106</v>
      </c>
      <c r="L129" s="253">
        <v>2813</v>
      </c>
      <c r="N129" s="250">
        <f t="shared" si="74"/>
        <v>2813</v>
      </c>
      <c r="O129" s="250">
        <f t="shared" si="75"/>
        <v>23.441666666666666</v>
      </c>
      <c r="P129" s="250">
        <f t="shared" si="76"/>
        <v>0</v>
      </c>
      <c r="Q129" s="247">
        <f t="shared" si="77"/>
        <v>0</v>
      </c>
      <c r="R129" s="250">
        <f t="shared" si="78"/>
        <v>0</v>
      </c>
      <c r="S129" s="260">
        <v>1</v>
      </c>
      <c r="T129" s="250">
        <f t="shared" si="79"/>
        <v>0</v>
      </c>
      <c r="V129" s="250">
        <f t="shared" si="80"/>
        <v>2813</v>
      </c>
      <c r="W129" s="250">
        <f t="shared" si="81"/>
        <v>2813</v>
      </c>
      <c r="X129" s="260">
        <v>1</v>
      </c>
      <c r="Y129" s="250">
        <f t="shared" si="82"/>
        <v>2813</v>
      </c>
      <c r="Z129" s="250">
        <f t="shared" si="83"/>
        <v>2813</v>
      </c>
      <c r="AA129" s="250">
        <f t="shared" si="71"/>
        <v>0</v>
      </c>
      <c r="AB129" s="250">
        <f t="shared" si="72"/>
        <v>0</v>
      </c>
      <c r="AC129" s="259">
        <f t="shared" si="84"/>
        <v>96.25</v>
      </c>
      <c r="AD129" s="247">
        <f t="shared" si="85"/>
        <v>124.5</v>
      </c>
      <c r="AE129" s="259">
        <f t="shared" si="86"/>
        <v>106.25</v>
      </c>
      <c r="AF129" s="247">
        <f t="shared" si="87"/>
        <v>123.5</v>
      </c>
      <c r="AG129" s="258">
        <f t="shared" si="88"/>
        <v>-8.3333333333333329E-2</v>
      </c>
    </row>
    <row r="130" spans="2:33">
      <c r="B130" s="255" t="s">
        <v>449</v>
      </c>
      <c r="C130" s="255">
        <v>96</v>
      </c>
      <c r="D130" s="255">
        <v>9</v>
      </c>
      <c r="E130" s="262">
        <v>0</v>
      </c>
      <c r="G130" s="265" t="s">
        <v>831</v>
      </c>
      <c r="H130" s="255">
        <v>10</v>
      </c>
      <c r="I130" s="247">
        <f t="shared" si="73"/>
        <v>106</v>
      </c>
      <c r="L130" s="253">
        <v>1720</v>
      </c>
      <c r="N130" s="250">
        <f t="shared" si="74"/>
        <v>1720</v>
      </c>
      <c r="O130" s="250">
        <f t="shared" si="75"/>
        <v>14.333333333333334</v>
      </c>
      <c r="P130" s="250">
        <f t="shared" si="76"/>
        <v>0</v>
      </c>
      <c r="Q130" s="247">
        <f t="shared" si="77"/>
        <v>0</v>
      </c>
      <c r="R130" s="250">
        <f t="shared" si="78"/>
        <v>0</v>
      </c>
      <c r="S130" s="260">
        <v>1</v>
      </c>
      <c r="T130" s="250">
        <f t="shared" si="79"/>
        <v>0</v>
      </c>
      <c r="V130" s="250">
        <f t="shared" si="80"/>
        <v>1720</v>
      </c>
      <c r="W130" s="250">
        <f t="shared" si="81"/>
        <v>1720</v>
      </c>
      <c r="X130" s="260">
        <v>1</v>
      </c>
      <c r="Y130" s="250">
        <f t="shared" si="82"/>
        <v>1720</v>
      </c>
      <c r="Z130" s="250">
        <f t="shared" si="83"/>
        <v>1720</v>
      </c>
      <c r="AA130" s="250">
        <f t="shared" si="71"/>
        <v>0</v>
      </c>
      <c r="AB130" s="250">
        <f t="shared" si="72"/>
        <v>0</v>
      </c>
      <c r="AC130" s="259">
        <f t="shared" si="84"/>
        <v>96.666666666666671</v>
      </c>
      <c r="AD130" s="247">
        <f t="shared" si="85"/>
        <v>124.5</v>
      </c>
      <c r="AE130" s="259">
        <f t="shared" si="86"/>
        <v>106.66666666666667</v>
      </c>
      <c r="AF130" s="247">
        <f t="shared" si="87"/>
        <v>123.5</v>
      </c>
      <c r="AG130" s="258">
        <f t="shared" si="88"/>
        <v>-8.3333333333333329E-2</v>
      </c>
    </row>
    <row r="131" spans="2:33">
      <c r="B131" s="255" t="s">
        <v>455</v>
      </c>
      <c r="C131" s="255">
        <v>97</v>
      </c>
      <c r="D131" s="255">
        <v>4</v>
      </c>
      <c r="E131" s="262">
        <v>0</v>
      </c>
      <c r="G131" s="265" t="s">
        <v>831</v>
      </c>
      <c r="H131" s="255">
        <v>10</v>
      </c>
      <c r="I131" s="247">
        <f t="shared" si="73"/>
        <v>107</v>
      </c>
      <c r="L131" s="253">
        <v>2911</v>
      </c>
      <c r="N131" s="250">
        <f t="shared" si="74"/>
        <v>2911</v>
      </c>
      <c r="O131" s="250">
        <f t="shared" si="75"/>
        <v>24.258333333333336</v>
      </c>
      <c r="P131" s="250">
        <f t="shared" si="76"/>
        <v>0</v>
      </c>
      <c r="Q131" s="247">
        <f t="shared" si="77"/>
        <v>0</v>
      </c>
      <c r="R131" s="250">
        <f t="shared" si="78"/>
        <v>0</v>
      </c>
      <c r="S131" s="260">
        <v>1</v>
      </c>
      <c r="T131" s="250">
        <f t="shared" si="79"/>
        <v>0</v>
      </c>
      <c r="V131" s="250">
        <f t="shared" si="80"/>
        <v>2911</v>
      </c>
      <c r="W131" s="250">
        <f t="shared" si="81"/>
        <v>2911</v>
      </c>
      <c r="X131" s="260">
        <v>1</v>
      </c>
      <c r="Y131" s="250">
        <f t="shared" si="82"/>
        <v>2911</v>
      </c>
      <c r="Z131" s="250">
        <f t="shared" si="83"/>
        <v>2911</v>
      </c>
      <c r="AA131" s="250">
        <f t="shared" si="71"/>
        <v>0</v>
      </c>
      <c r="AB131" s="250">
        <f t="shared" si="72"/>
        <v>0</v>
      </c>
      <c r="AC131" s="259">
        <f t="shared" si="84"/>
        <v>97.25</v>
      </c>
      <c r="AD131" s="247">
        <f t="shared" si="85"/>
        <v>124.5</v>
      </c>
      <c r="AE131" s="259">
        <f t="shared" si="86"/>
        <v>107.25</v>
      </c>
      <c r="AF131" s="247">
        <f t="shared" si="87"/>
        <v>123.5</v>
      </c>
      <c r="AG131" s="258">
        <f t="shared" si="88"/>
        <v>-8.3333333333333329E-2</v>
      </c>
    </row>
    <row r="132" spans="2:33">
      <c r="B132" s="255" t="s">
        <v>451</v>
      </c>
      <c r="C132" s="255">
        <v>97</v>
      </c>
      <c r="D132" s="255">
        <v>4</v>
      </c>
      <c r="E132" s="262">
        <v>0</v>
      </c>
      <c r="G132" s="265" t="s">
        <v>831</v>
      </c>
      <c r="H132" s="255">
        <v>10</v>
      </c>
      <c r="I132" s="247">
        <f t="shared" si="73"/>
        <v>107</v>
      </c>
      <c r="L132" s="253">
        <v>3364</v>
      </c>
      <c r="N132" s="250">
        <f t="shared" si="74"/>
        <v>3364</v>
      </c>
      <c r="O132" s="250">
        <f t="shared" si="75"/>
        <v>28.033333333333331</v>
      </c>
      <c r="P132" s="250">
        <f t="shared" si="76"/>
        <v>0</v>
      </c>
      <c r="Q132" s="247">
        <f t="shared" si="77"/>
        <v>0</v>
      </c>
      <c r="R132" s="250">
        <f t="shared" si="78"/>
        <v>0</v>
      </c>
      <c r="S132" s="260">
        <v>1</v>
      </c>
      <c r="T132" s="250">
        <f t="shared" si="79"/>
        <v>0</v>
      </c>
      <c r="V132" s="250">
        <f t="shared" si="80"/>
        <v>3364</v>
      </c>
      <c r="W132" s="250">
        <f t="shared" si="81"/>
        <v>3364</v>
      </c>
      <c r="X132" s="260">
        <v>1</v>
      </c>
      <c r="Y132" s="250">
        <f t="shared" si="82"/>
        <v>3364</v>
      </c>
      <c r="Z132" s="250">
        <f t="shared" si="83"/>
        <v>3364</v>
      </c>
      <c r="AA132" s="250">
        <f t="shared" si="71"/>
        <v>0</v>
      </c>
      <c r="AB132" s="250">
        <f t="shared" si="72"/>
        <v>0</v>
      </c>
      <c r="AC132" s="259">
        <f t="shared" si="84"/>
        <v>97.25</v>
      </c>
      <c r="AD132" s="247">
        <f t="shared" si="85"/>
        <v>124.5</v>
      </c>
      <c r="AE132" s="259">
        <f t="shared" si="86"/>
        <v>107.25</v>
      </c>
      <c r="AF132" s="247">
        <f t="shared" si="87"/>
        <v>123.5</v>
      </c>
      <c r="AG132" s="258">
        <f t="shared" si="88"/>
        <v>-8.3333333333333329E-2</v>
      </c>
    </row>
    <row r="133" spans="2:33">
      <c r="B133" s="255" t="s">
        <v>449</v>
      </c>
      <c r="C133" s="255">
        <v>97</v>
      </c>
      <c r="D133" s="255">
        <v>4</v>
      </c>
      <c r="E133" s="262">
        <v>0</v>
      </c>
      <c r="G133" s="265" t="s">
        <v>831</v>
      </c>
      <c r="H133" s="255">
        <v>10</v>
      </c>
      <c r="I133" s="247">
        <f t="shared" si="73"/>
        <v>107</v>
      </c>
      <c r="L133" s="253">
        <v>1561</v>
      </c>
      <c r="N133" s="250">
        <f t="shared" si="74"/>
        <v>1561</v>
      </c>
      <c r="O133" s="250">
        <f t="shared" si="75"/>
        <v>13.008333333333333</v>
      </c>
      <c r="P133" s="250">
        <f t="shared" si="76"/>
        <v>0</v>
      </c>
      <c r="Q133" s="247">
        <f t="shared" si="77"/>
        <v>0</v>
      </c>
      <c r="R133" s="250">
        <f t="shared" si="78"/>
        <v>0</v>
      </c>
      <c r="S133" s="260">
        <v>1</v>
      </c>
      <c r="T133" s="250">
        <f t="shared" si="79"/>
        <v>0</v>
      </c>
      <c r="V133" s="250">
        <f t="shared" si="80"/>
        <v>1561</v>
      </c>
      <c r="W133" s="250">
        <f t="shared" si="81"/>
        <v>1561</v>
      </c>
      <c r="X133" s="260">
        <v>1</v>
      </c>
      <c r="Y133" s="250">
        <f t="shared" si="82"/>
        <v>1561</v>
      </c>
      <c r="Z133" s="250">
        <f t="shared" si="83"/>
        <v>1561</v>
      </c>
      <c r="AA133" s="250">
        <f t="shared" si="71"/>
        <v>0</v>
      </c>
      <c r="AB133" s="250">
        <f t="shared" si="72"/>
        <v>0</v>
      </c>
      <c r="AC133" s="259">
        <f t="shared" si="84"/>
        <v>97.25</v>
      </c>
      <c r="AD133" s="247">
        <f t="shared" si="85"/>
        <v>124.5</v>
      </c>
      <c r="AE133" s="259">
        <f t="shared" si="86"/>
        <v>107.25</v>
      </c>
      <c r="AF133" s="247">
        <f t="shared" si="87"/>
        <v>123.5</v>
      </c>
      <c r="AG133" s="258">
        <f t="shared" si="88"/>
        <v>-8.3333333333333329E-2</v>
      </c>
    </row>
    <row r="134" spans="2:33">
      <c r="B134" s="255" t="s">
        <v>453</v>
      </c>
      <c r="C134" s="255">
        <v>97</v>
      </c>
      <c r="D134" s="255">
        <v>4</v>
      </c>
      <c r="E134" s="262">
        <v>0</v>
      </c>
      <c r="G134" s="265" t="s">
        <v>831</v>
      </c>
      <c r="H134" s="255">
        <v>10</v>
      </c>
      <c r="I134" s="247">
        <f t="shared" si="73"/>
        <v>107</v>
      </c>
      <c r="L134" s="253">
        <v>2055</v>
      </c>
      <c r="N134" s="250">
        <f t="shared" si="74"/>
        <v>2055</v>
      </c>
      <c r="O134" s="250">
        <f t="shared" si="75"/>
        <v>17.125</v>
      </c>
      <c r="P134" s="250">
        <f t="shared" si="76"/>
        <v>0</v>
      </c>
      <c r="Q134" s="247">
        <f t="shared" si="77"/>
        <v>0</v>
      </c>
      <c r="R134" s="250">
        <f t="shared" si="78"/>
        <v>0</v>
      </c>
      <c r="S134" s="260">
        <v>1</v>
      </c>
      <c r="T134" s="250">
        <f t="shared" si="79"/>
        <v>0</v>
      </c>
      <c r="V134" s="250">
        <f t="shared" si="80"/>
        <v>2055</v>
      </c>
      <c r="W134" s="250">
        <f t="shared" si="81"/>
        <v>2055</v>
      </c>
      <c r="X134" s="260">
        <v>1</v>
      </c>
      <c r="Y134" s="250">
        <f t="shared" si="82"/>
        <v>2055</v>
      </c>
      <c r="Z134" s="250">
        <f t="shared" si="83"/>
        <v>2055</v>
      </c>
      <c r="AA134" s="250">
        <f t="shared" si="71"/>
        <v>0</v>
      </c>
      <c r="AB134" s="250">
        <f t="shared" si="72"/>
        <v>0</v>
      </c>
      <c r="AC134" s="259">
        <f t="shared" si="84"/>
        <v>97.25</v>
      </c>
      <c r="AD134" s="247">
        <f t="shared" si="85"/>
        <v>124.5</v>
      </c>
      <c r="AE134" s="259">
        <f t="shared" si="86"/>
        <v>107.25</v>
      </c>
      <c r="AF134" s="247">
        <f t="shared" si="87"/>
        <v>123.5</v>
      </c>
      <c r="AG134" s="258">
        <f t="shared" si="88"/>
        <v>-8.3333333333333329E-2</v>
      </c>
    </row>
    <row r="135" spans="2:33">
      <c r="B135" s="255" t="s">
        <v>448</v>
      </c>
      <c r="C135" s="255">
        <v>97</v>
      </c>
      <c r="D135" s="255">
        <v>4</v>
      </c>
      <c r="E135" s="262">
        <v>0</v>
      </c>
      <c r="G135" s="265" t="s">
        <v>831</v>
      </c>
      <c r="H135" s="255">
        <v>10</v>
      </c>
      <c r="I135" s="247">
        <f t="shared" si="73"/>
        <v>107</v>
      </c>
      <c r="L135" s="253">
        <v>751</v>
      </c>
      <c r="N135" s="250">
        <f t="shared" si="74"/>
        <v>751</v>
      </c>
      <c r="O135" s="250">
        <f t="shared" si="75"/>
        <v>6.2583333333333329</v>
      </c>
      <c r="P135" s="250">
        <f t="shared" si="76"/>
        <v>0</v>
      </c>
      <c r="Q135" s="247">
        <f t="shared" si="77"/>
        <v>0</v>
      </c>
      <c r="R135" s="250">
        <f t="shared" si="78"/>
        <v>0</v>
      </c>
      <c r="S135" s="260">
        <v>1</v>
      </c>
      <c r="T135" s="250">
        <f t="shared" si="79"/>
        <v>0</v>
      </c>
      <c r="V135" s="250">
        <f t="shared" si="80"/>
        <v>751</v>
      </c>
      <c r="W135" s="250">
        <f t="shared" si="81"/>
        <v>751</v>
      </c>
      <c r="X135" s="260">
        <v>1</v>
      </c>
      <c r="Y135" s="250">
        <f t="shared" si="82"/>
        <v>751</v>
      </c>
      <c r="Z135" s="250">
        <f t="shared" si="83"/>
        <v>751</v>
      </c>
      <c r="AA135" s="250">
        <f t="shared" si="71"/>
        <v>0</v>
      </c>
      <c r="AB135" s="250">
        <f t="shared" si="72"/>
        <v>0</v>
      </c>
      <c r="AC135" s="259">
        <f t="shared" si="84"/>
        <v>97.25</v>
      </c>
      <c r="AD135" s="247">
        <f t="shared" si="85"/>
        <v>124.5</v>
      </c>
      <c r="AE135" s="259">
        <f t="shared" si="86"/>
        <v>107.25</v>
      </c>
      <c r="AF135" s="247">
        <f t="shared" si="87"/>
        <v>123.5</v>
      </c>
      <c r="AG135" s="258">
        <f t="shared" si="88"/>
        <v>-8.3333333333333329E-2</v>
      </c>
    </row>
    <row r="136" spans="2:33">
      <c r="B136" s="255" t="s">
        <v>465</v>
      </c>
      <c r="C136" s="255">
        <v>97</v>
      </c>
      <c r="D136" s="255">
        <v>5</v>
      </c>
      <c r="E136" s="262">
        <v>0</v>
      </c>
      <c r="G136" s="265" t="s">
        <v>831</v>
      </c>
      <c r="H136" s="255">
        <v>10</v>
      </c>
      <c r="I136" s="247">
        <f t="shared" si="73"/>
        <v>107</v>
      </c>
      <c r="L136" s="253">
        <v>7324</v>
      </c>
      <c r="N136" s="250">
        <f t="shared" si="74"/>
        <v>7324</v>
      </c>
      <c r="O136" s="250">
        <f t="shared" si="75"/>
        <v>61.033333333333331</v>
      </c>
      <c r="P136" s="250">
        <f t="shared" si="76"/>
        <v>0</v>
      </c>
      <c r="Q136" s="247">
        <f t="shared" si="77"/>
        <v>0</v>
      </c>
      <c r="R136" s="250">
        <f t="shared" si="78"/>
        <v>0</v>
      </c>
      <c r="S136" s="260">
        <v>1</v>
      </c>
      <c r="T136" s="250">
        <f t="shared" si="79"/>
        <v>0</v>
      </c>
      <c r="V136" s="250">
        <f t="shared" si="80"/>
        <v>7324</v>
      </c>
      <c r="W136" s="250">
        <f t="shared" si="81"/>
        <v>7324</v>
      </c>
      <c r="X136" s="260">
        <v>1</v>
      </c>
      <c r="Y136" s="250">
        <f t="shared" si="82"/>
        <v>7324</v>
      </c>
      <c r="Z136" s="250">
        <f t="shared" si="83"/>
        <v>7324</v>
      </c>
      <c r="AA136" s="250">
        <f t="shared" si="71"/>
        <v>0</v>
      </c>
      <c r="AB136" s="250">
        <f t="shared" si="72"/>
        <v>0</v>
      </c>
      <c r="AC136" s="259">
        <f t="shared" si="84"/>
        <v>97.333333333333329</v>
      </c>
      <c r="AD136" s="247">
        <f t="shared" si="85"/>
        <v>124.5</v>
      </c>
      <c r="AE136" s="259">
        <f t="shared" si="86"/>
        <v>107.33333333333333</v>
      </c>
      <c r="AF136" s="247">
        <f t="shared" si="87"/>
        <v>123.5</v>
      </c>
      <c r="AG136" s="258">
        <f t="shared" si="88"/>
        <v>-8.3333333333333329E-2</v>
      </c>
    </row>
    <row r="137" spans="2:33">
      <c r="B137" s="255" t="s">
        <v>466</v>
      </c>
      <c r="C137" s="255">
        <v>98</v>
      </c>
      <c r="D137" s="255">
        <v>3</v>
      </c>
      <c r="E137" s="262">
        <v>0</v>
      </c>
      <c r="G137" s="265" t="s">
        <v>831</v>
      </c>
      <c r="H137" s="255">
        <v>10</v>
      </c>
      <c r="I137" s="247">
        <f t="shared" ref="I137:I168" si="89">C137+H137</f>
        <v>108</v>
      </c>
      <c r="L137" s="253">
        <v>3410</v>
      </c>
      <c r="N137" s="250">
        <f t="shared" ref="N137:N168" si="90">L137-L137*E137</f>
        <v>3410</v>
      </c>
      <c r="O137" s="250">
        <f t="shared" ref="O137:O168" si="91">N137/H137/12</f>
        <v>28.416666666666668</v>
      </c>
      <c r="P137" s="250">
        <f t="shared" ref="P137:P168" si="92">IF(M137&gt;0,0,IF(OR(AC137&gt;AD137,AE137&lt;AF137),0,IF(AND(AE137&gt;=AF137,AE137&lt;=AD137),O137*((AE137-AF137)*12),IF(AND(AF137&lt;=AC137,AD137&gt;=AC137),((AD137-AC137)*12)*O137,IF(AE137&gt;AD137,12*O137,0)))))</f>
        <v>0</v>
      </c>
      <c r="Q137" s="247">
        <f t="shared" ref="Q137:Q168" si="93">IF(M137=0,0,IF(AND(AG137&gt;=AF137,AG137&lt;=AE137),((AG137-AF137)*12)*O137,0))</f>
        <v>0</v>
      </c>
      <c r="R137" s="250">
        <f t="shared" ref="R137:R168" si="94">IF(Q137&gt;0,Q137,P137)</f>
        <v>0</v>
      </c>
      <c r="S137" s="260">
        <v>1</v>
      </c>
      <c r="T137" s="250">
        <f t="shared" ref="T137:T168" si="95">S137*SUM(P137:Q137)</f>
        <v>0</v>
      </c>
      <c r="V137" s="250">
        <f t="shared" ref="V137:V168" si="96">IF(AC137&gt;AD137,0,IF(AE137&lt;AF137,N137,IF(AND(AE137&gt;=AF137,AE137&lt;=AD137),(N137-R137),IF(AND(AF137&lt;=AC137,AD137&gt;=AC137),0,IF(AE137&gt;AD137,((AF137-AC137)*12)*O137,0)))))</f>
        <v>3410</v>
      </c>
      <c r="W137" s="250">
        <f t="shared" ref="W137:W168" si="97">V137*S137</f>
        <v>3410</v>
      </c>
      <c r="X137" s="260">
        <v>1</v>
      </c>
      <c r="Y137" s="250">
        <f t="shared" ref="Y137:Y168" si="98">W137*X137</f>
        <v>3410</v>
      </c>
      <c r="Z137" s="250">
        <f t="shared" ref="Z137:Z168" si="99">IF(M137&gt;0,0,Y137+T137*X137)*X137</f>
        <v>3410</v>
      </c>
      <c r="AA137" s="250">
        <f t="shared" ref="AA137:AA200" si="100">IF(M137&gt;0,(L137-Y137)/2,IF(AC137&gt;=AF137,(((L137*S137)*X137)-Z137)/2,((((L137*S137)*X137)-Y137)+(((L137*S137)*X137)-Z137))/2))</f>
        <v>0</v>
      </c>
      <c r="AB137" s="250">
        <f t="shared" si="72"/>
        <v>0</v>
      </c>
      <c r="AC137" s="259">
        <f t="shared" ref="AC137:AC168" si="101">$C137+(($D137-1)/12)</f>
        <v>98.166666666666671</v>
      </c>
      <c r="AD137" s="247">
        <f t="shared" ref="AD137:AD168" si="102">($N$5+1)-($N$2/12)</f>
        <v>124.5</v>
      </c>
      <c r="AE137" s="259">
        <f t="shared" ref="AE137:AE168" si="103">$I137+(($D137-1)/12)</f>
        <v>108.16666666666667</v>
      </c>
      <c r="AF137" s="247">
        <f t="shared" ref="AF137:AF168" si="104">$N$4+($N$3/12)</f>
        <v>123.5</v>
      </c>
      <c r="AG137" s="258">
        <f t="shared" ref="AG137:AG168" si="105">$J137+(($K137-1)/12)</f>
        <v>-8.3333333333333329E-2</v>
      </c>
    </row>
    <row r="138" spans="2:33">
      <c r="B138" s="255" t="s">
        <v>451</v>
      </c>
      <c r="C138" s="255">
        <v>98</v>
      </c>
      <c r="D138" s="255">
        <v>3</v>
      </c>
      <c r="E138" s="262">
        <v>0</v>
      </c>
      <c r="G138" s="265" t="s">
        <v>831</v>
      </c>
      <c r="H138" s="255">
        <v>10</v>
      </c>
      <c r="I138" s="247">
        <f t="shared" si="89"/>
        <v>108</v>
      </c>
      <c r="L138" s="253">
        <v>3833</v>
      </c>
      <c r="N138" s="250">
        <f t="shared" si="90"/>
        <v>3833</v>
      </c>
      <c r="O138" s="250">
        <f t="shared" si="91"/>
        <v>31.941666666666666</v>
      </c>
      <c r="P138" s="250">
        <f t="shared" si="92"/>
        <v>0</v>
      </c>
      <c r="Q138" s="247">
        <f t="shared" si="93"/>
        <v>0</v>
      </c>
      <c r="R138" s="250">
        <f t="shared" si="94"/>
        <v>0</v>
      </c>
      <c r="S138" s="260">
        <v>1</v>
      </c>
      <c r="T138" s="250">
        <f t="shared" si="95"/>
        <v>0</v>
      </c>
      <c r="V138" s="250">
        <f t="shared" si="96"/>
        <v>3833</v>
      </c>
      <c r="W138" s="250">
        <f t="shared" si="97"/>
        <v>3833</v>
      </c>
      <c r="X138" s="260">
        <v>1</v>
      </c>
      <c r="Y138" s="250">
        <f t="shared" si="98"/>
        <v>3833</v>
      </c>
      <c r="Z138" s="250">
        <f t="shared" si="99"/>
        <v>3833</v>
      </c>
      <c r="AA138" s="250">
        <f t="shared" si="100"/>
        <v>0</v>
      </c>
      <c r="AB138" s="250">
        <f t="shared" ref="AB138:AB212" si="106">L138-Z138</f>
        <v>0</v>
      </c>
      <c r="AC138" s="259">
        <f t="shared" si="101"/>
        <v>98.166666666666671</v>
      </c>
      <c r="AD138" s="247">
        <f t="shared" si="102"/>
        <v>124.5</v>
      </c>
      <c r="AE138" s="259">
        <f t="shared" si="103"/>
        <v>108.16666666666667</v>
      </c>
      <c r="AF138" s="247">
        <f t="shared" si="104"/>
        <v>123.5</v>
      </c>
      <c r="AG138" s="258">
        <f t="shared" si="105"/>
        <v>-8.3333333333333329E-2</v>
      </c>
    </row>
    <row r="139" spans="2:33">
      <c r="B139" s="255" t="s">
        <v>467</v>
      </c>
      <c r="C139" s="255">
        <v>98</v>
      </c>
      <c r="D139" s="255">
        <v>11</v>
      </c>
      <c r="E139" s="262">
        <v>0</v>
      </c>
      <c r="G139" s="265" t="s">
        <v>831</v>
      </c>
      <c r="H139" s="255">
        <v>10</v>
      </c>
      <c r="I139" s="247">
        <f t="shared" si="89"/>
        <v>108</v>
      </c>
      <c r="L139" s="253">
        <v>5946</v>
      </c>
      <c r="N139" s="250">
        <f t="shared" si="90"/>
        <v>5946</v>
      </c>
      <c r="O139" s="250">
        <f t="shared" si="91"/>
        <v>49.550000000000004</v>
      </c>
      <c r="P139" s="250">
        <f t="shared" si="92"/>
        <v>0</v>
      </c>
      <c r="Q139" s="247">
        <f t="shared" si="93"/>
        <v>0</v>
      </c>
      <c r="R139" s="250">
        <f t="shared" si="94"/>
        <v>0</v>
      </c>
      <c r="S139" s="260">
        <v>1</v>
      </c>
      <c r="T139" s="250">
        <f t="shared" si="95"/>
        <v>0</v>
      </c>
      <c r="V139" s="250">
        <f t="shared" si="96"/>
        <v>5946</v>
      </c>
      <c r="W139" s="250">
        <f t="shared" si="97"/>
        <v>5946</v>
      </c>
      <c r="X139" s="260">
        <v>1</v>
      </c>
      <c r="Y139" s="250">
        <f t="shared" si="98"/>
        <v>5946</v>
      </c>
      <c r="Z139" s="250">
        <f t="shared" si="99"/>
        <v>5946</v>
      </c>
      <c r="AA139" s="250">
        <f t="shared" si="100"/>
        <v>0</v>
      </c>
      <c r="AB139" s="250">
        <f t="shared" si="106"/>
        <v>0</v>
      </c>
      <c r="AC139" s="259">
        <f t="shared" si="101"/>
        <v>98.833333333333329</v>
      </c>
      <c r="AD139" s="247">
        <f t="shared" si="102"/>
        <v>124.5</v>
      </c>
      <c r="AE139" s="259">
        <f t="shared" si="103"/>
        <v>108.83333333333333</v>
      </c>
      <c r="AF139" s="247">
        <f t="shared" si="104"/>
        <v>123.5</v>
      </c>
      <c r="AG139" s="258">
        <f t="shared" si="105"/>
        <v>-8.3333333333333329E-2</v>
      </c>
    </row>
    <row r="140" spans="2:33">
      <c r="B140" s="255" t="s">
        <v>468</v>
      </c>
      <c r="C140" s="255">
        <v>98</v>
      </c>
      <c r="D140" s="255">
        <v>11</v>
      </c>
      <c r="E140" s="262">
        <v>0</v>
      </c>
      <c r="G140" s="265" t="s">
        <v>831</v>
      </c>
      <c r="H140" s="255">
        <v>10</v>
      </c>
      <c r="I140" s="247">
        <f t="shared" si="89"/>
        <v>108</v>
      </c>
      <c r="L140" s="253">
        <v>6594</v>
      </c>
      <c r="N140" s="250">
        <f t="shared" si="90"/>
        <v>6594</v>
      </c>
      <c r="O140" s="250">
        <f t="shared" si="91"/>
        <v>54.949999999999996</v>
      </c>
      <c r="P140" s="250">
        <f t="shared" si="92"/>
        <v>0</v>
      </c>
      <c r="Q140" s="247">
        <f t="shared" si="93"/>
        <v>0</v>
      </c>
      <c r="R140" s="250">
        <f t="shared" si="94"/>
        <v>0</v>
      </c>
      <c r="S140" s="260">
        <v>1</v>
      </c>
      <c r="T140" s="250">
        <f t="shared" si="95"/>
        <v>0</v>
      </c>
      <c r="V140" s="250">
        <f t="shared" si="96"/>
        <v>6594</v>
      </c>
      <c r="W140" s="250">
        <f t="shared" si="97"/>
        <v>6594</v>
      </c>
      <c r="X140" s="260">
        <v>1</v>
      </c>
      <c r="Y140" s="250">
        <f t="shared" si="98"/>
        <v>6594</v>
      </c>
      <c r="Z140" s="250">
        <f t="shared" si="99"/>
        <v>6594</v>
      </c>
      <c r="AA140" s="250">
        <f t="shared" si="100"/>
        <v>0</v>
      </c>
      <c r="AB140" s="250">
        <f t="shared" si="106"/>
        <v>0</v>
      </c>
      <c r="AC140" s="259">
        <f t="shared" si="101"/>
        <v>98.833333333333329</v>
      </c>
      <c r="AD140" s="247">
        <f t="shared" si="102"/>
        <v>124.5</v>
      </c>
      <c r="AE140" s="259">
        <f t="shared" si="103"/>
        <v>108.83333333333333</v>
      </c>
      <c r="AF140" s="247">
        <f t="shared" si="104"/>
        <v>123.5</v>
      </c>
      <c r="AG140" s="258">
        <f t="shared" si="105"/>
        <v>-8.3333333333333329E-2</v>
      </c>
    </row>
    <row r="141" spans="2:33">
      <c r="B141" s="255" t="s">
        <v>469</v>
      </c>
      <c r="C141" s="255">
        <v>98</v>
      </c>
      <c r="D141" s="255">
        <v>11</v>
      </c>
      <c r="E141" s="262">
        <v>0</v>
      </c>
      <c r="G141" s="265" t="s">
        <v>831</v>
      </c>
      <c r="H141" s="255">
        <v>10</v>
      </c>
      <c r="I141" s="247">
        <f t="shared" si="89"/>
        <v>108</v>
      </c>
      <c r="L141" s="253">
        <v>2897</v>
      </c>
      <c r="N141" s="250">
        <f t="shared" si="90"/>
        <v>2897</v>
      </c>
      <c r="O141" s="250">
        <f t="shared" si="91"/>
        <v>24.141666666666666</v>
      </c>
      <c r="P141" s="250">
        <f t="shared" si="92"/>
        <v>0</v>
      </c>
      <c r="Q141" s="247">
        <f t="shared" si="93"/>
        <v>0</v>
      </c>
      <c r="R141" s="250">
        <f t="shared" si="94"/>
        <v>0</v>
      </c>
      <c r="S141" s="260">
        <v>1</v>
      </c>
      <c r="T141" s="250">
        <f t="shared" si="95"/>
        <v>0</v>
      </c>
      <c r="V141" s="250">
        <f t="shared" si="96"/>
        <v>2897</v>
      </c>
      <c r="W141" s="250">
        <f t="shared" si="97"/>
        <v>2897</v>
      </c>
      <c r="X141" s="260">
        <v>1</v>
      </c>
      <c r="Y141" s="250">
        <f t="shared" si="98"/>
        <v>2897</v>
      </c>
      <c r="Z141" s="250">
        <f t="shared" si="99"/>
        <v>2897</v>
      </c>
      <c r="AA141" s="250">
        <f t="shared" si="100"/>
        <v>0</v>
      </c>
      <c r="AB141" s="250">
        <f t="shared" si="106"/>
        <v>0</v>
      </c>
      <c r="AC141" s="259">
        <f t="shared" si="101"/>
        <v>98.833333333333329</v>
      </c>
      <c r="AD141" s="247">
        <f t="shared" si="102"/>
        <v>124.5</v>
      </c>
      <c r="AE141" s="259">
        <f t="shared" si="103"/>
        <v>108.83333333333333</v>
      </c>
      <c r="AF141" s="247">
        <f t="shared" si="104"/>
        <v>123.5</v>
      </c>
      <c r="AG141" s="258">
        <f t="shared" si="105"/>
        <v>-8.3333333333333329E-2</v>
      </c>
    </row>
    <row r="142" spans="2:33">
      <c r="B142" s="255" t="s">
        <v>470</v>
      </c>
      <c r="C142" s="255">
        <v>99</v>
      </c>
      <c r="D142" s="255">
        <v>12</v>
      </c>
      <c r="E142" s="262">
        <v>0</v>
      </c>
      <c r="G142" s="265" t="s">
        <v>831</v>
      </c>
      <c r="H142" s="255">
        <v>10</v>
      </c>
      <c r="I142" s="247">
        <f t="shared" si="89"/>
        <v>109</v>
      </c>
      <c r="L142" s="253">
        <v>4459</v>
      </c>
      <c r="N142" s="250">
        <f t="shared" si="90"/>
        <v>4459</v>
      </c>
      <c r="O142" s="250">
        <f t="shared" si="91"/>
        <v>37.158333333333331</v>
      </c>
      <c r="P142" s="250">
        <f t="shared" si="92"/>
        <v>0</v>
      </c>
      <c r="Q142" s="247">
        <f t="shared" si="93"/>
        <v>0</v>
      </c>
      <c r="R142" s="250">
        <f t="shared" si="94"/>
        <v>0</v>
      </c>
      <c r="S142" s="260">
        <v>1</v>
      </c>
      <c r="T142" s="250">
        <f t="shared" si="95"/>
        <v>0</v>
      </c>
      <c r="V142" s="250">
        <f t="shared" si="96"/>
        <v>4459</v>
      </c>
      <c r="W142" s="250">
        <f t="shared" si="97"/>
        <v>4459</v>
      </c>
      <c r="X142" s="260">
        <v>1</v>
      </c>
      <c r="Y142" s="250">
        <f t="shared" si="98"/>
        <v>4459</v>
      </c>
      <c r="Z142" s="250">
        <f t="shared" si="99"/>
        <v>4459</v>
      </c>
      <c r="AA142" s="250">
        <f t="shared" si="100"/>
        <v>0</v>
      </c>
      <c r="AB142" s="250">
        <f t="shared" si="106"/>
        <v>0</v>
      </c>
      <c r="AC142" s="259">
        <f t="shared" si="101"/>
        <v>99.916666666666671</v>
      </c>
      <c r="AD142" s="247">
        <f t="shared" si="102"/>
        <v>124.5</v>
      </c>
      <c r="AE142" s="259">
        <f t="shared" si="103"/>
        <v>109.91666666666667</v>
      </c>
      <c r="AF142" s="247">
        <f t="shared" si="104"/>
        <v>123.5</v>
      </c>
      <c r="AG142" s="258">
        <f t="shared" si="105"/>
        <v>-8.3333333333333329E-2</v>
      </c>
    </row>
    <row r="143" spans="2:33">
      <c r="B143" s="255" t="s">
        <v>471</v>
      </c>
      <c r="C143" s="255">
        <v>99</v>
      </c>
      <c r="D143" s="255">
        <v>12</v>
      </c>
      <c r="E143" s="262">
        <v>0</v>
      </c>
      <c r="G143" s="265" t="s">
        <v>831</v>
      </c>
      <c r="H143" s="255">
        <v>10</v>
      </c>
      <c r="I143" s="247">
        <f t="shared" si="89"/>
        <v>109</v>
      </c>
      <c r="L143" s="253">
        <v>5108</v>
      </c>
      <c r="N143" s="250">
        <f t="shared" si="90"/>
        <v>5108</v>
      </c>
      <c r="O143" s="250">
        <f t="shared" si="91"/>
        <v>42.56666666666667</v>
      </c>
      <c r="P143" s="250">
        <f t="shared" si="92"/>
        <v>0</v>
      </c>
      <c r="Q143" s="247">
        <f t="shared" si="93"/>
        <v>0</v>
      </c>
      <c r="R143" s="250">
        <f t="shared" si="94"/>
        <v>0</v>
      </c>
      <c r="S143" s="260">
        <v>1</v>
      </c>
      <c r="T143" s="250">
        <f t="shared" si="95"/>
        <v>0</v>
      </c>
      <c r="V143" s="250">
        <f t="shared" si="96"/>
        <v>5108</v>
      </c>
      <c r="W143" s="250">
        <f t="shared" si="97"/>
        <v>5108</v>
      </c>
      <c r="X143" s="260">
        <v>1</v>
      </c>
      <c r="Y143" s="250">
        <f t="shared" si="98"/>
        <v>5108</v>
      </c>
      <c r="Z143" s="250">
        <f t="shared" si="99"/>
        <v>5108</v>
      </c>
      <c r="AA143" s="250">
        <f t="shared" si="100"/>
        <v>0</v>
      </c>
      <c r="AB143" s="250">
        <f t="shared" si="106"/>
        <v>0</v>
      </c>
      <c r="AC143" s="259">
        <f t="shared" si="101"/>
        <v>99.916666666666671</v>
      </c>
      <c r="AD143" s="247">
        <f t="shared" si="102"/>
        <v>124.5</v>
      </c>
      <c r="AE143" s="259">
        <f t="shared" si="103"/>
        <v>109.91666666666667</v>
      </c>
      <c r="AF143" s="247">
        <f t="shared" si="104"/>
        <v>123.5</v>
      </c>
      <c r="AG143" s="258">
        <f t="shared" si="105"/>
        <v>-8.3333333333333329E-2</v>
      </c>
    </row>
    <row r="144" spans="2:33">
      <c r="B144" s="255" t="s">
        <v>449</v>
      </c>
      <c r="C144" s="255">
        <v>99</v>
      </c>
      <c r="D144" s="255">
        <v>12</v>
      </c>
      <c r="E144" s="262">
        <v>0</v>
      </c>
      <c r="G144" s="265" t="s">
        <v>831</v>
      </c>
      <c r="H144" s="255">
        <v>10</v>
      </c>
      <c r="I144" s="247">
        <f t="shared" si="89"/>
        <v>109</v>
      </c>
      <c r="L144" s="253">
        <v>1654</v>
      </c>
      <c r="N144" s="250">
        <f t="shared" si="90"/>
        <v>1654</v>
      </c>
      <c r="O144" s="250">
        <f t="shared" si="91"/>
        <v>13.783333333333333</v>
      </c>
      <c r="P144" s="250">
        <f t="shared" si="92"/>
        <v>0</v>
      </c>
      <c r="Q144" s="247">
        <f t="shared" si="93"/>
        <v>0</v>
      </c>
      <c r="R144" s="250">
        <f t="shared" si="94"/>
        <v>0</v>
      </c>
      <c r="S144" s="260">
        <v>1</v>
      </c>
      <c r="T144" s="250">
        <f t="shared" si="95"/>
        <v>0</v>
      </c>
      <c r="V144" s="250">
        <f t="shared" si="96"/>
        <v>1654</v>
      </c>
      <c r="W144" s="250">
        <f t="shared" si="97"/>
        <v>1654</v>
      </c>
      <c r="X144" s="260">
        <v>1</v>
      </c>
      <c r="Y144" s="250">
        <f t="shared" si="98"/>
        <v>1654</v>
      </c>
      <c r="Z144" s="250">
        <f t="shared" si="99"/>
        <v>1654</v>
      </c>
      <c r="AA144" s="250">
        <f t="shared" si="100"/>
        <v>0</v>
      </c>
      <c r="AB144" s="250">
        <f t="shared" si="106"/>
        <v>0</v>
      </c>
      <c r="AC144" s="259">
        <f t="shared" si="101"/>
        <v>99.916666666666671</v>
      </c>
      <c r="AD144" s="247">
        <f t="shared" si="102"/>
        <v>124.5</v>
      </c>
      <c r="AE144" s="259">
        <f t="shared" si="103"/>
        <v>109.91666666666667</v>
      </c>
      <c r="AF144" s="247">
        <f t="shared" si="104"/>
        <v>123.5</v>
      </c>
      <c r="AG144" s="258">
        <f t="shared" si="105"/>
        <v>-8.3333333333333329E-2</v>
      </c>
    </row>
    <row r="145" spans="2:33">
      <c r="B145" s="255" t="s">
        <v>472</v>
      </c>
      <c r="C145" s="255">
        <v>101</v>
      </c>
      <c r="D145" s="255">
        <v>5</v>
      </c>
      <c r="E145" s="262">
        <v>0</v>
      </c>
      <c r="G145" s="265" t="s">
        <v>831</v>
      </c>
      <c r="H145" s="255">
        <v>10</v>
      </c>
      <c r="I145" s="247">
        <f t="shared" si="89"/>
        <v>111</v>
      </c>
      <c r="L145" s="253">
        <v>3600</v>
      </c>
      <c r="N145" s="250">
        <f t="shared" si="90"/>
        <v>3600</v>
      </c>
      <c r="O145" s="250">
        <f t="shared" si="91"/>
        <v>30</v>
      </c>
      <c r="P145" s="250">
        <f t="shared" si="92"/>
        <v>0</v>
      </c>
      <c r="Q145" s="247">
        <f t="shared" si="93"/>
        <v>0</v>
      </c>
      <c r="R145" s="250">
        <f t="shared" si="94"/>
        <v>0</v>
      </c>
      <c r="S145" s="260">
        <v>1</v>
      </c>
      <c r="T145" s="250">
        <f t="shared" si="95"/>
        <v>0</v>
      </c>
      <c r="V145" s="250">
        <f t="shared" si="96"/>
        <v>3600</v>
      </c>
      <c r="W145" s="250">
        <f t="shared" si="97"/>
        <v>3600</v>
      </c>
      <c r="X145" s="260">
        <v>1</v>
      </c>
      <c r="Y145" s="250">
        <f t="shared" si="98"/>
        <v>3600</v>
      </c>
      <c r="Z145" s="250">
        <f t="shared" si="99"/>
        <v>3600</v>
      </c>
      <c r="AA145" s="250">
        <f t="shared" si="100"/>
        <v>0</v>
      </c>
      <c r="AB145" s="250">
        <f t="shared" si="106"/>
        <v>0</v>
      </c>
      <c r="AC145" s="259">
        <f t="shared" si="101"/>
        <v>101.33333333333333</v>
      </c>
      <c r="AD145" s="247">
        <f t="shared" si="102"/>
        <v>124.5</v>
      </c>
      <c r="AE145" s="259">
        <f t="shared" si="103"/>
        <v>111.33333333333333</v>
      </c>
      <c r="AF145" s="247">
        <f t="shared" si="104"/>
        <v>123.5</v>
      </c>
      <c r="AG145" s="258">
        <f t="shared" si="105"/>
        <v>-8.3333333333333329E-2</v>
      </c>
    </row>
    <row r="146" spans="2:33">
      <c r="B146" s="255" t="s">
        <v>473</v>
      </c>
      <c r="C146" s="255">
        <v>101</v>
      </c>
      <c r="D146" s="255">
        <v>5</v>
      </c>
      <c r="E146" s="262">
        <v>0</v>
      </c>
      <c r="G146" s="265" t="s">
        <v>831</v>
      </c>
      <c r="H146" s="255">
        <v>10</v>
      </c>
      <c r="I146" s="247">
        <f t="shared" si="89"/>
        <v>111</v>
      </c>
      <c r="L146" s="253">
        <v>2168</v>
      </c>
      <c r="N146" s="250">
        <f t="shared" si="90"/>
        <v>2168</v>
      </c>
      <c r="O146" s="250">
        <f t="shared" si="91"/>
        <v>18.066666666666666</v>
      </c>
      <c r="P146" s="250">
        <f t="shared" si="92"/>
        <v>0</v>
      </c>
      <c r="Q146" s="247">
        <f t="shared" si="93"/>
        <v>0</v>
      </c>
      <c r="R146" s="250">
        <f t="shared" si="94"/>
        <v>0</v>
      </c>
      <c r="S146" s="260">
        <v>1</v>
      </c>
      <c r="T146" s="250">
        <f t="shared" si="95"/>
        <v>0</v>
      </c>
      <c r="V146" s="250">
        <f t="shared" si="96"/>
        <v>2168</v>
      </c>
      <c r="W146" s="250">
        <f t="shared" si="97"/>
        <v>2168</v>
      </c>
      <c r="X146" s="260">
        <v>1</v>
      </c>
      <c r="Y146" s="250">
        <f t="shared" si="98"/>
        <v>2168</v>
      </c>
      <c r="Z146" s="250">
        <f t="shared" si="99"/>
        <v>2168</v>
      </c>
      <c r="AA146" s="250">
        <f t="shared" si="100"/>
        <v>0</v>
      </c>
      <c r="AB146" s="250">
        <f t="shared" si="106"/>
        <v>0</v>
      </c>
      <c r="AC146" s="259">
        <f t="shared" si="101"/>
        <v>101.33333333333333</v>
      </c>
      <c r="AD146" s="247">
        <f t="shared" si="102"/>
        <v>124.5</v>
      </c>
      <c r="AE146" s="259">
        <f t="shared" si="103"/>
        <v>111.33333333333333</v>
      </c>
      <c r="AF146" s="247">
        <f t="shared" si="104"/>
        <v>123.5</v>
      </c>
      <c r="AG146" s="258">
        <f t="shared" si="105"/>
        <v>-8.3333333333333329E-2</v>
      </c>
    </row>
    <row r="147" spans="2:33">
      <c r="B147" s="255" t="s">
        <v>472</v>
      </c>
      <c r="C147" s="255">
        <v>102</v>
      </c>
      <c r="D147" s="255">
        <v>6</v>
      </c>
      <c r="E147" s="262">
        <v>0</v>
      </c>
      <c r="G147" s="265" t="s">
        <v>831</v>
      </c>
      <c r="H147" s="255">
        <v>10</v>
      </c>
      <c r="I147" s="247">
        <f t="shared" si="89"/>
        <v>112</v>
      </c>
      <c r="L147" s="253">
        <v>3221</v>
      </c>
      <c r="N147" s="250">
        <f t="shared" si="90"/>
        <v>3221</v>
      </c>
      <c r="O147" s="250">
        <f t="shared" si="91"/>
        <v>26.841666666666669</v>
      </c>
      <c r="P147" s="250">
        <f t="shared" si="92"/>
        <v>0</v>
      </c>
      <c r="Q147" s="247">
        <f t="shared" si="93"/>
        <v>0</v>
      </c>
      <c r="R147" s="250">
        <f t="shared" si="94"/>
        <v>0</v>
      </c>
      <c r="S147" s="260">
        <v>1</v>
      </c>
      <c r="T147" s="250">
        <f t="shared" si="95"/>
        <v>0</v>
      </c>
      <c r="V147" s="250">
        <f t="shared" si="96"/>
        <v>3221</v>
      </c>
      <c r="W147" s="250">
        <f t="shared" si="97"/>
        <v>3221</v>
      </c>
      <c r="X147" s="260">
        <v>1</v>
      </c>
      <c r="Y147" s="250">
        <f t="shared" si="98"/>
        <v>3221</v>
      </c>
      <c r="Z147" s="250">
        <f t="shared" si="99"/>
        <v>3221</v>
      </c>
      <c r="AA147" s="250">
        <f t="shared" si="100"/>
        <v>0</v>
      </c>
      <c r="AB147" s="250">
        <f t="shared" si="106"/>
        <v>0</v>
      </c>
      <c r="AC147" s="259">
        <f t="shared" si="101"/>
        <v>102.41666666666667</v>
      </c>
      <c r="AD147" s="247">
        <f t="shared" si="102"/>
        <v>124.5</v>
      </c>
      <c r="AE147" s="259">
        <f t="shared" si="103"/>
        <v>112.41666666666667</v>
      </c>
      <c r="AF147" s="247">
        <f t="shared" si="104"/>
        <v>123.5</v>
      </c>
      <c r="AG147" s="258">
        <f t="shared" si="105"/>
        <v>-8.3333333333333329E-2</v>
      </c>
    </row>
    <row r="148" spans="2:33">
      <c r="B148" s="255" t="s">
        <v>474</v>
      </c>
      <c r="C148" s="255">
        <v>102</v>
      </c>
      <c r="D148" s="255">
        <v>6</v>
      </c>
      <c r="E148" s="262">
        <v>0</v>
      </c>
      <c r="G148" s="265" t="s">
        <v>831</v>
      </c>
      <c r="H148" s="255">
        <v>10</v>
      </c>
      <c r="I148" s="247">
        <f t="shared" si="89"/>
        <v>112</v>
      </c>
      <c r="L148" s="253">
        <v>5319</v>
      </c>
      <c r="N148" s="250">
        <f t="shared" si="90"/>
        <v>5319</v>
      </c>
      <c r="O148" s="250">
        <f t="shared" si="91"/>
        <v>44.324999999999996</v>
      </c>
      <c r="P148" s="250">
        <f t="shared" si="92"/>
        <v>0</v>
      </c>
      <c r="Q148" s="247">
        <f t="shared" si="93"/>
        <v>0</v>
      </c>
      <c r="R148" s="250">
        <f t="shared" si="94"/>
        <v>0</v>
      </c>
      <c r="S148" s="260">
        <v>1</v>
      </c>
      <c r="T148" s="250">
        <f t="shared" si="95"/>
        <v>0</v>
      </c>
      <c r="V148" s="250">
        <f t="shared" si="96"/>
        <v>5319</v>
      </c>
      <c r="W148" s="250">
        <f t="shared" si="97"/>
        <v>5319</v>
      </c>
      <c r="X148" s="260">
        <v>1</v>
      </c>
      <c r="Y148" s="250">
        <f t="shared" si="98"/>
        <v>5319</v>
      </c>
      <c r="Z148" s="250">
        <f t="shared" si="99"/>
        <v>5319</v>
      </c>
      <c r="AA148" s="250">
        <f t="shared" si="100"/>
        <v>0</v>
      </c>
      <c r="AB148" s="250">
        <f t="shared" si="106"/>
        <v>0</v>
      </c>
      <c r="AC148" s="259">
        <f t="shared" si="101"/>
        <v>102.41666666666667</v>
      </c>
      <c r="AD148" s="247">
        <f t="shared" si="102"/>
        <v>124.5</v>
      </c>
      <c r="AE148" s="259">
        <f t="shared" si="103"/>
        <v>112.41666666666667</v>
      </c>
      <c r="AF148" s="247">
        <f t="shared" si="104"/>
        <v>123.5</v>
      </c>
      <c r="AG148" s="258">
        <f t="shared" si="105"/>
        <v>-8.3333333333333329E-2</v>
      </c>
    </row>
    <row r="149" spans="2:33">
      <c r="B149" s="255" t="s">
        <v>475</v>
      </c>
      <c r="C149" s="255">
        <v>102</v>
      </c>
      <c r="D149" s="255">
        <v>6</v>
      </c>
      <c r="E149" s="262">
        <v>0</v>
      </c>
      <c r="G149" s="265" t="s">
        <v>831</v>
      </c>
      <c r="H149" s="255">
        <v>10</v>
      </c>
      <c r="I149" s="247">
        <f t="shared" si="89"/>
        <v>112</v>
      </c>
      <c r="L149" s="253">
        <v>1773</v>
      </c>
      <c r="N149" s="250">
        <f t="shared" si="90"/>
        <v>1773</v>
      </c>
      <c r="O149" s="250">
        <f t="shared" si="91"/>
        <v>14.775</v>
      </c>
      <c r="P149" s="250">
        <f t="shared" si="92"/>
        <v>0</v>
      </c>
      <c r="Q149" s="247">
        <f t="shared" si="93"/>
        <v>0</v>
      </c>
      <c r="R149" s="250">
        <f t="shared" si="94"/>
        <v>0</v>
      </c>
      <c r="S149" s="260">
        <v>1</v>
      </c>
      <c r="T149" s="250">
        <f t="shared" si="95"/>
        <v>0</v>
      </c>
      <c r="V149" s="250">
        <f t="shared" si="96"/>
        <v>1773</v>
      </c>
      <c r="W149" s="250">
        <f t="shared" si="97"/>
        <v>1773</v>
      </c>
      <c r="X149" s="260">
        <v>1</v>
      </c>
      <c r="Y149" s="250">
        <f t="shared" si="98"/>
        <v>1773</v>
      </c>
      <c r="Z149" s="250">
        <f t="shared" si="99"/>
        <v>1773</v>
      </c>
      <c r="AA149" s="250">
        <f t="shared" si="100"/>
        <v>0</v>
      </c>
      <c r="AB149" s="250">
        <f t="shared" si="106"/>
        <v>0</v>
      </c>
      <c r="AC149" s="259">
        <f t="shared" si="101"/>
        <v>102.41666666666667</v>
      </c>
      <c r="AD149" s="247">
        <f t="shared" si="102"/>
        <v>124.5</v>
      </c>
      <c r="AE149" s="259">
        <f t="shared" si="103"/>
        <v>112.41666666666667</v>
      </c>
      <c r="AF149" s="247">
        <f t="shared" si="104"/>
        <v>123.5</v>
      </c>
      <c r="AG149" s="258">
        <f t="shared" si="105"/>
        <v>-8.3333333333333329E-2</v>
      </c>
    </row>
    <row r="150" spans="2:33">
      <c r="B150" s="255" t="s">
        <v>476</v>
      </c>
      <c r="C150" s="255">
        <v>102</v>
      </c>
      <c r="D150" s="255">
        <v>6</v>
      </c>
      <c r="E150" s="262">
        <v>0</v>
      </c>
      <c r="G150" s="265" t="s">
        <v>831</v>
      </c>
      <c r="H150" s="255">
        <v>10</v>
      </c>
      <c r="I150" s="247">
        <f t="shared" si="89"/>
        <v>112</v>
      </c>
      <c r="L150" s="253">
        <v>1119</v>
      </c>
      <c r="N150" s="250">
        <f t="shared" si="90"/>
        <v>1119</v>
      </c>
      <c r="O150" s="250">
        <f t="shared" si="91"/>
        <v>9.3250000000000011</v>
      </c>
      <c r="P150" s="250">
        <f t="shared" si="92"/>
        <v>0</v>
      </c>
      <c r="Q150" s="247">
        <f t="shared" si="93"/>
        <v>0</v>
      </c>
      <c r="R150" s="250">
        <f t="shared" si="94"/>
        <v>0</v>
      </c>
      <c r="S150" s="260">
        <v>1</v>
      </c>
      <c r="T150" s="250">
        <f t="shared" si="95"/>
        <v>0</v>
      </c>
      <c r="V150" s="250">
        <f t="shared" si="96"/>
        <v>1119</v>
      </c>
      <c r="W150" s="250">
        <f t="shared" si="97"/>
        <v>1119</v>
      </c>
      <c r="X150" s="260">
        <v>1</v>
      </c>
      <c r="Y150" s="250">
        <f t="shared" si="98"/>
        <v>1119</v>
      </c>
      <c r="Z150" s="250">
        <f t="shared" si="99"/>
        <v>1119</v>
      </c>
      <c r="AA150" s="250">
        <f t="shared" si="100"/>
        <v>0</v>
      </c>
      <c r="AB150" s="250">
        <f t="shared" si="106"/>
        <v>0</v>
      </c>
      <c r="AC150" s="259">
        <f t="shared" si="101"/>
        <v>102.41666666666667</v>
      </c>
      <c r="AD150" s="247">
        <f t="shared" si="102"/>
        <v>124.5</v>
      </c>
      <c r="AE150" s="259">
        <f t="shared" si="103"/>
        <v>112.41666666666667</v>
      </c>
      <c r="AF150" s="247">
        <f t="shared" si="104"/>
        <v>123.5</v>
      </c>
      <c r="AG150" s="258">
        <f t="shared" si="105"/>
        <v>-8.3333333333333329E-2</v>
      </c>
    </row>
    <row r="151" spans="2:33">
      <c r="B151" s="255" t="s">
        <v>477</v>
      </c>
      <c r="C151" s="255">
        <v>102</v>
      </c>
      <c r="D151" s="255">
        <v>6</v>
      </c>
      <c r="E151" s="262">
        <v>0</v>
      </c>
      <c r="G151" s="265" t="s">
        <v>831</v>
      </c>
      <c r="H151" s="255">
        <v>10</v>
      </c>
      <c r="I151" s="247">
        <f t="shared" si="89"/>
        <v>112</v>
      </c>
      <c r="L151" s="253">
        <v>2194</v>
      </c>
      <c r="N151" s="250">
        <f t="shared" si="90"/>
        <v>2194</v>
      </c>
      <c r="O151" s="250">
        <f t="shared" si="91"/>
        <v>18.283333333333335</v>
      </c>
      <c r="P151" s="250">
        <f t="shared" si="92"/>
        <v>0</v>
      </c>
      <c r="Q151" s="247">
        <f t="shared" si="93"/>
        <v>0</v>
      </c>
      <c r="R151" s="250">
        <f t="shared" si="94"/>
        <v>0</v>
      </c>
      <c r="S151" s="260">
        <v>1</v>
      </c>
      <c r="T151" s="250">
        <f t="shared" si="95"/>
        <v>0</v>
      </c>
      <c r="V151" s="250">
        <f t="shared" si="96"/>
        <v>2194</v>
      </c>
      <c r="W151" s="250">
        <f t="shared" si="97"/>
        <v>2194</v>
      </c>
      <c r="X151" s="260">
        <v>1</v>
      </c>
      <c r="Y151" s="250">
        <f t="shared" si="98"/>
        <v>2194</v>
      </c>
      <c r="Z151" s="250">
        <f t="shared" si="99"/>
        <v>2194</v>
      </c>
      <c r="AA151" s="250">
        <f t="shared" si="100"/>
        <v>0</v>
      </c>
      <c r="AB151" s="250">
        <f t="shared" si="106"/>
        <v>0</v>
      </c>
      <c r="AC151" s="259">
        <f t="shared" si="101"/>
        <v>102.41666666666667</v>
      </c>
      <c r="AD151" s="247">
        <f t="shared" si="102"/>
        <v>124.5</v>
      </c>
      <c r="AE151" s="259">
        <f t="shared" si="103"/>
        <v>112.41666666666667</v>
      </c>
      <c r="AF151" s="247">
        <f t="shared" si="104"/>
        <v>123.5</v>
      </c>
      <c r="AG151" s="258">
        <f t="shared" si="105"/>
        <v>-8.3333333333333329E-2</v>
      </c>
    </row>
    <row r="152" spans="2:33">
      <c r="B152" s="255" t="s">
        <v>478</v>
      </c>
      <c r="C152" s="255">
        <v>103</v>
      </c>
      <c r="D152" s="255">
        <v>6</v>
      </c>
      <c r="E152" s="262">
        <v>0</v>
      </c>
      <c r="G152" s="265" t="s">
        <v>831</v>
      </c>
      <c r="H152" s="255">
        <v>10</v>
      </c>
      <c r="I152" s="247">
        <f t="shared" si="89"/>
        <v>113</v>
      </c>
      <c r="L152" s="253">
        <v>3292</v>
      </c>
      <c r="N152" s="250">
        <f t="shared" si="90"/>
        <v>3292</v>
      </c>
      <c r="O152" s="250">
        <f t="shared" si="91"/>
        <v>27.433333333333334</v>
      </c>
      <c r="P152" s="250">
        <f t="shared" si="92"/>
        <v>0</v>
      </c>
      <c r="Q152" s="247">
        <f t="shared" si="93"/>
        <v>0</v>
      </c>
      <c r="R152" s="250">
        <f t="shared" si="94"/>
        <v>0</v>
      </c>
      <c r="S152" s="260">
        <v>1</v>
      </c>
      <c r="T152" s="250">
        <f t="shared" si="95"/>
        <v>0</v>
      </c>
      <c r="V152" s="250">
        <f t="shared" si="96"/>
        <v>3292</v>
      </c>
      <c r="W152" s="250">
        <f t="shared" si="97"/>
        <v>3292</v>
      </c>
      <c r="X152" s="260">
        <v>1</v>
      </c>
      <c r="Y152" s="250">
        <f t="shared" si="98"/>
        <v>3292</v>
      </c>
      <c r="Z152" s="250">
        <f t="shared" si="99"/>
        <v>3292</v>
      </c>
      <c r="AA152" s="250">
        <f t="shared" si="100"/>
        <v>0</v>
      </c>
      <c r="AB152" s="250">
        <f t="shared" si="106"/>
        <v>0</v>
      </c>
      <c r="AC152" s="259">
        <f t="shared" si="101"/>
        <v>103.41666666666667</v>
      </c>
      <c r="AD152" s="247">
        <f t="shared" si="102"/>
        <v>124.5</v>
      </c>
      <c r="AE152" s="259">
        <f t="shared" si="103"/>
        <v>113.41666666666667</v>
      </c>
      <c r="AF152" s="247">
        <f t="shared" si="104"/>
        <v>123.5</v>
      </c>
      <c r="AG152" s="258">
        <f t="shared" si="105"/>
        <v>-8.3333333333333329E-2</v>
      </c>
    </row>
    <row r="153" spans="2:33">
      <c r="B153" s="255" t="s">
        <v>479</v>
      </c>
      <c r="C153" s="255">
        <v>103</v>
      </c>
      <c r="D153" s="255">
        <v>6</v>
      </c>
      <c r="E153" s="262">
        <v>0</v>
      </c>
      <c r="G153" s="265" t="s">
        <v>831</v>
      </c>
      <c r="H153" s="255">
        <v>10</v>
      </c>
      <c r="I153" s="247">
        <f t="shared" si="89"/>
        <v>113</v>
      </c>
      <c r="L153" s="253">
        <v>5279</v>
      </c>
      <c r="N153" s="250">
        <f t="shared" si="90"/>
        <v>5279</v>
      </c>
      <c r="O153" s="250">
        <f t="shared" si="91"/>
        <v>43.991666666666667</v>
      </c>
      <c r="P153" s="250">
        <f t="shared" si="92"/>
        <v>0</v>
      </c>
      <c r="Q153" s="247">
        <f t="shared" si="93"/>
        <v>0</v>
      </c>
      <c r="R153" s="250">
        <f t="shared" si="94"/>
        <v>0</v>
      </c>
      <c r="S153" s="260">
        <v>1</v>
      </c>
      <c r="T153" s="250">
        <f t="shared" si="95"/>
        <v>0</v>
      </c>
      <c r="V153" s="250">
        <f t="shared" si="96"/>
        <v>5279</v>
      </c>
      <c r="W153" s="250">
        <f t="shared" si="97"/>
        <v>5279</v>
      </c>
      <c r="X153" s="260">
        <v>1</v>
      </c>
      <c r="Y153" s="250">
        <f t="shared" si="98"/>
        <v>5279</v>
      </c>
      <c r="Z153" s="250">
        <f t="shared" si="99"/>
        <v>5279</v>
      </c>
      <c r="AA153" s="250">
        <f t="shared" si="100"/>
        <v>0</v>
      </c>
      <c r="AB153" s="250">
        <f t="shared" si="106"/>
        <v>0</v>
      </c>
      <c r="AC153" s="259">
        <f t="shared" si="101"/>
        <v>103.41666666666667</v>
      </c>
      <c r="AD153" s="247">
        <f t="shared" si="102"/>
        <v>124.5</v>
      </c>
      <c r="AE153" s="259">
        <f t="shared" si="103"/>
        <v>113.41666666666667</v>
      </c>
      <c r="AF153" s="247">
        <f t="shared" si="104"/>
        <v>123.5</v>
      </c>
      <c r="AG153" s="258">
        <f t="shared" si="105"/>
        <v>-8.3333333333333329E-2</v>
      </c>
    </row>
    <row r="154" spans="2:33">
      <c r="B154" s="255" t="s">
        <v>480</v>
      </c>
      <c r="C154" s="255">
        <v>103</v>
      </c>
      <c r="D154" s="255">
        <v>6</v>
      </c>
      <c r="E154" s="262">
        <v>0</v>
      </c>
      <c r="G154" s="265" t="s">
        <v>831</v>
      </c>
      <c r="H154" s="255">
        <v>10</v>
      </c>
      <c r="I154" s="247">
        <f t="shared" si="89"/>
        <v>113</v>
      </c>
      <c r="L154" s="253">
        <v>3065</v>
      </c>
      <c r="N154" s="250">
        <f t="shared" si="90"/>
        <v>3065</v>
      </c>
      <c r="O154" s="250">
        <f t="shared" si="91"/>
        <v>25.541666666666668</v>
      </c>
      <c r="P154" s="250">
        <f t="shared" si="92"/>
        <v>0</v>
      </c>
      <c r="Q154" s="247">
        <f t="shared" si="93"/>
        <v>0</v>
      </c>
      <c r="R154" s="250">
        <f t="shared" si="94"/>
        <v>0</v>
      </c>
      <c r="S154" s="260">
        <v>1</v>
      </c>
      <c r="T154" s="250">
        <f t="shared" si="95"/>
        <v>0</v>
      </c>
      <c r="V154" s="250">
        <f t="shared" si="96"/>
        <v>3065</v>
      </c>
      <c r="W154" s="250">
        <f t="shared" si="97"/>
        <v>3065</v>
      </c>
      <c r="X154" s="260">
        <v>1</v>
      </c>
      <c r="Y154" s="250">
        <f t="shared" si="98"/>
        <v>3065</v>
      </c>
      <c r="Z154" s="250">
        <f t="shared" si="99"/>
        <v>3065</v>
      </c>
      <c r="AA154" s="250">
        <f t="shared" si="100"/>
        <v>0</v>
      </c>
      <c r="AB154" s="250">
        <f t="shared" si="106"/>
        <v>0</v>
      </c>
      <c r="AC154" s="259">
        <f t="shared" si="101"/>
        <v>103.41666666666667</v>
      </c>
      <c r="AD154" s="247">
        <f t="shared" si="102"/>
        <v>124.5</v>
      </c>
      <c r="AE154" s="259">
        <f t="shared" si="103"/>
        <v>113.41666666666667</v>
      </c>
      <c r="AF154" s="247">
        <f t="shared" si="104"/>
        <v>123.5</v>
      </c>
      <c r="AG154" s="258">
        <f t="shared" si="105"/>
        <v>-8.3333333333333329E-2</v>
      </c>
    </row>
    <row r="155" spans="2:33">
      <c r="B155" s="255" t="s">
        <v>481</v>
      </c>
      <c r="C155" s="255">
        <v>103</v>
      </c>
      <c r="D155" s="255">
        <v>6</v>
      </c>
      <c r="E155" s="262">
        <v>0</v>
      </c>
      <c r="G155" s="265" t="s">
        <v>831</v>
      </c>
      <c r="H155" s="255">
        <v>10</v>
      </c>
      <c r="I155" s="247">
        <f t="shared" si="89"/>
        <v>113</v>
      </c>
      <c r="L155" s="253">
        <v>1998</v>
      </c>
      <c r="N155" s="250">
        <f t="shared" si="90"/>
        <v>1998</v>
      </c>
      <c r="O155" s="250">
        <f t="shared" si="91"/>
        <v>16.650000000000002</v>
      </c>
      <c r="P155" s="250">
        <f t="shared" si="92"/>
        <v>0</v>
      </c>
      <c r="Q155" s="247">
        <f t="shared" si="93"/>
        <v>0</v>
      </c>
      <c r="R155" s="250">
        <f t="shared" si="94"/>
        <v>0</v>
      </c>
      <c r="S155" s="260">
        <v>1</v>
      </c>
      <c r="T155" s="250">
        <f t="shared" si="95"/>
        <v>0</v>
      </c>
      <c r="V155" s="250">
        <f t="shared" si="96"/>
        <v>1998</v>
      </c>
      <c r="W155" s="250">
        <f t="shared" si="97"/>
        <v>1998</v>
      </c>
      <c r="X155" s="260">
        <v>1</v>
      </c>
      <c r="Y155" s="250">
        <f t="shared" si="98"/>
        <v>1998</v>
      </c>
      <c r="Z155" s="250">
        <f t="shared" si="99"/>
        <v>1998</v>
      </c>
      <c r="AA155" s="250">
        <f t="shared" si="100"/>
        <v>0</v>
      </c>
      <c r="AB155" s="250">
        <f t="shared" si="106"/>
        <v>0</v>
      </c>
      <c r="AC155" s="259">
        <f t="shared" si="101"/>
        <v>103.41666666666667</v>
      </c>
      <c r="AD155" s="247">
        <f t="shared" si="102"/>
        <v>124.5</v>
      </c>
      <c r="AE155" s="259">
        <f t="shared" si="103"/>
        <v>113.41666666666667</v>
      </c>
      <c r="AF155" s="247">
        <f t="shared" si="104"/>
        <v>123.5</v>
      </c>
      <c r="AG155" s="258">
        <f t="shared" si="105"/>
        <v>-8.3333333333333329E-2</v>
      </c>
    </row>
    <row r="156" spans="2:33">
      <c r="B156" s="255" t="s">
        <v>482</v>
      </c>
      <c r="C156" s="255">
        <v>103</v>
      </c>
      <c r="D156" s="255">
        <v>12</v>
      </c>
      <c r="E156" s="262">
        <v>0</v>
      </c>
      <c r="G156" s="265" t="s">
        <v>831</v>
      </c>
      <c r="H156" s="255">
        <v>10</v>
      </c>
      <c r="I156" s="247">
        <f t="shared" si="89"/>
        <v>113</v>
      </c>
      <c r="L156" s="253">
        <v>5027</v>
      </c>
      <c r="N156" s="250">
        <f t="shared" si="90"/>
        <v>5027</v>
      </c>
      <c r="O156" s="250">
        <f t="shared" si="91"/>
        <v>41.891666666666666</v>
      </c>
      <c r="P156" s="250">
        <f t="shared" si="92"/>
        <v>0</v>
      </c>
      <c r="Q156" s="247">
        <f t="shared" si="93"/>
        <v>0</v>
      </c>
      <c r="R156" s="250">
        <f t="shared" si="94"/>
        <v>0</v>
      </c>
      <c r="S156" s="260">
        <v>1</v>
      </c>
      <c r="T156" s="250">
        <f t="shared" si="95"/>
        <v>0</v>
      </c>
      <c r="V156" s="250">
        <f t="shared" si="96"/>
        <v>5027</v>
      </c>
      <c r="W156" s="250">
        <f t="shared" si="97"/>
        <v>5027</v>
      </c>
      <c r="X156" s="260">
        <v>1</v>
      </c>
      <c r="Y156" s="250">
        <f t="shared" si="98"/>
        <v>5027</v>
      </c>
      <c r="Z156" s="250">
        <f t="shared" si="99"/>
        <v>5027</v>
      </c>
      <c r="AA156" s="250">
        <f t="shared" si="100"/>
        <v>0</v>
      </c>
      <c r="AB156" s="250">
        <f t="shared" si="106"/>
        <v>0</v>
      </c>
      <c r="AC156" s="259">
        <f t="shared" si="101"/>
        <v>103.91666666666667</v>
      </c>
      <c r="AD156" s="247">
        <f t="shared" si="102"/>
        <v>124.5</v>
      </c>
      <c r="AE156" s="259">
        <f t="shared" si="103"/>
        <v>113.91666666666667</v>
      </c>
      <c r="AF156" s="247">
        <f t="shared" si="104"/>
        <v>123.5</v>
      </c>
      <c r="AG156" s="258">
        <f t="shared" si="105"/>
        <v>-8.3333333333333329E-2</v>
      </c>
    </row>
    <row r="157" spans="2:33">
      <c r="B157" s="255" t="s">
        <v>479</v>
      </c>
      <c r="C157" s="255">
        <v>103</v>
      </c>
      <c r="D157" s="255">
        <v>12</v>
      </c>
      <c r="E157" s="262">
        <v>0</v>
      </c>
      <c r="G157" s="265" t="s">
        <v>831</v>
      </c>
      <c r="H157" s="255">
        <v>10</v>
      </c>
      <c r="I157" s="247">
        <f t="shared" si="89"/>
        <v>113</v>
      </c>
      <c r="L157" s="253">
        <v>5546</v>
      </c>
      <c r="N157" s="250">
        <f t="shared" si="90"/>
        <v>5546</v>
      </c>
      <c r="O157" s="250">
        <f t="shared" si="91"/>
        <v>46.216666666666669</v>
      </c>
      <c r="P157" s="250">
        <f t="shared" si="92"/>
        <v>0</v>
      </c>
      <c r="Q157" s="247">
        <f t="shared" si="93"/>
        <v>0</v>
      </c>
      <c r="R157" s="250">
        <f t="shared" si="94"/>
        <v>0</v>
      </c>
      <c r="S157" s="260">
        <v>1</v>
      </c>
      <c r="T157" s="250">
        <f t="shared" si="95"/>
        <v>0</v>
      </c>
      <c r="V157" s="250">
        <f t="shared" si="96"/>
        <v>5546</v>
      </c>
      <c r="W157" s="250">
        <f t="shared" si="97"/>
        <v>5546</v>
      </c>
      <c r="X157" s="260">
        <v>1</v>
      </c>
      <c r="Y157" s="250">
        <f t="shared" si="98"/>
        <v>5546</v>
      </c>
      <c r="Z157" s="250">
        <f t="shared" si="99"/>
        <v>5546</v>
      </c>
      <c r="AA157" s="250">
        <f t="shared" si="100"/>
        <v>0</v>
      </c>
      <c r="AB157" s="250">
        <f t="shared" si="106"/>
        <v>0</v>
      </c>
      <c r="AC157" s="259">
        <f t="shared" si="101"/>
        <v>103.91666666666667</v>
      </c>
      <c r="AD157" s="247">
        <f t="shared" si="102"/>
        <v>124.5</v>
      </c>
      <c r="AE157" s="259">
        <f t="shared" si="103"/>
        <v>113.91666666666667</v>
      </c>
      <c r="AF157" s="247">
        <f t="shared" si="104"/>
        <v>123.5</v>
      </c>
      <c r="AG157" s="258">
        <f t="shared" si="105"/>
        <v>-8.3333333333333329E-2</v>
      </c>
    </row>
    <row r="158" spans="2:33">
      <c r="B158" s="255" t="s">
        <v>481</v>
      </c>
      <c r="C158" s="255">
        <v>103</v>
      </c>
      <c r="D158" s="255">
        <v>12</v>
      </c>
      <c r="E158" s="262">
        <v>0</v>
      </c>
      <c r="G158" s="265" t="s">
        <v>831</v>
      </c>
      <c r="H158" s="255">
        <v>10</v>
      </c>
      <c r="I158" s="247">
        <f t="shared" si="89"/>
        <v>113</v>
      </c>
      <c r="L158" s="253">
        <v>1903</v>
      </c>
      <c r="N158" s="250">
        <f t="shared" si="90"/>
        <v>1903</v>
      </c>
      <c r="O158" s="250">
        <f t="shared" si="91"/>
        <v>15.858333333333334</v>
      </c>
      <c r="P158" s="250">
        <f t="shared" si="92"/>
        <v>0</v>
      </c>
      <c r="Q158" s="247">
        <f t="shared" si="93"/>
        <v>0</v>
      </c>
      <c r="R158" s="250">
        <f t="shared" si="94"/>
        <v>0</v>
      </c>
      <c r="S158" s="260">
        <v>1</v>
      </c>
      <c r="T158" s="250">
        <f t="shared" si="95"/>
        <v>0</v>
      </c>
      <c r="V158" s="250">
        <f t="shared" si="96"/>
        <v>1903</v>
      </c>
      <c r="W158" s="250">
        <f t="shared" si="97"/>
        <v>1903</v>
      </c>
      <c r="X158" s="260">
        <v>1</v>
      </c>
      <c r="Y158" s="250">
        <f t="shared" si="98"/>
        <v>1903</v>
      </c>
      <c r="Z158" s="250">
        <f t="shared" si="99"/>
        <v>1903</v>
      </c>
      <c r="AA158" s="250">
        <f t="shared" si="100"/>
        <v>0</v>
      </c>
      <c r="AB158" s="250">
        <f t="shared" si="106"/>
        <v>0</v>
      </c>
      <c r="AC158" s="259">
        <f t="shared" si="101"/>
        <v>103.91666666666667</v>
      </c>
      <c r="AD158" s="247">
        <f t="shared" si="102"/>
        <v>124.5</v>
      </c>
      <c r="AE158" s="259">
        <f t="shared" si="103"/>
        <v>113.91666666666667</v>
      </c>
      <c r="AF158" s="247">
        <f t="shared" si="104"/>
        <v>123.5</v>
      </c>
      <c r="AG158" s="258">
        <f t="shared" si="105"/>
        <v>-8.3333333333333329E-2</v>
      </c>
    </row>
    <row r="159" spans="2:33">
      <c r="B159" s="255" t="s">
        <v>481</v>
      </c>
      <c r="C159" s="255">
        <v>104</v>
      </c>
      <c r="D159" s="255">
        <v>3</v>
      </c>
      <c r="E159" s="262">
        <v>0</v>
      </c>
      <c r="G159" s="265" t="s">
        <v>831</v>
      </c>
      <c r="H159" s="255">
        <v>10</v>
      </c>
      <c r="I159" s="247">
        <f t="shared" si="89"/>
        <v>114</v>
      </c>
      <c r="L159" s="253">
        <v>2586</v>
      </c>
      <c r="N159" s="250">
        <f t="shared" si="90"/>
        <v>2586</v>
      </c>
      <c r="O159" s="250">
        <f t="shared" si="91"/>
        <v>21.55</v>
      </c>
      <c r="P159" s="250">
        <f t="shared" si="92"/>
        <v>0</v>
      </c>
      <c r="Q159" s="247">
        <f t="shared" si="93"/>
        <v>0</v>
      </c>
      <c r="R159" s="250">
        <f t="shared" si="94"/>
        <v>0</v>
      </c>
      <c r="S159" s="260">
        <v>1</v>
      </c>
      <c r="T159" s="250">
        <f t="shared" si="95"/>
        <v>0</v>
      </c>
      <c r="V159" s="250">
        <f t="shared" si="96"/>
        <v>2586</v>
      </c>
      <c r="W159" s="250">
        <f t="shared" si="97"/>
        <v>2586</v>
      </c>
      <c r="X159" s="260">
        <v>1</v>
      </c>
      <c r="Y159" s="250">
        <f t="shared" si="98"/>
        <v>2586</v>
      </c>
      <c r="Z159" s="250">
        <f t="shared" si="99"/>
        <v>2586</v>
      </c>
      <c r="AA159" s="250">
        <f t="shared" si="100"/>
        <v>0</v>
      </c>
      <c r="AB159" s="250">
        <f t="shared" si="106"/>
        <v>0</v>
      </c>
      <c r="AC159" s="259">
        <f t="shared" si="101"/>
        <v>104.16666666666667</v>
      </c>
      <c r="AD159" s="247">
        <f t="shared" si="102"/>
        <v>124.5</v>
      </c>
      <c r="AE159" s="259">
        <f t="shared" si="103"/>
        <v>114.16666666666667</v>
      </c>
      <c r="AF159" s="247">
        <f t="shared" si="104"/>
        <v>123.5</v>
      </c>
      <c r="AG159" s="258">
        <f t="shared" si="105"/>
        <v>-8.3333333333333329E-2</v>
      </c>
    </row>
    <row r="160" spans="2:33">
      <c r="B160" s="255" t="s">
        <v>483</v>
      </c>
      <c r="C160" s="255">
        <v>104</v>
      </c>
      <c r="D160" s="255">
        <v>4</v>
      </c>
      <c r="E160" s="262">
        <v>0</v>
      </c>
      <c r="G160" s="265" t="s">
        <v>831</v>
      </c>
      <c r="H160" s="255">
        <v>10</v>
      </c>
      <c r="I160" s="247">
        <f t="shared" si="89"/>
        <v>114</v>
      </c>
      <c r="L160" s="253">
        <v>1571</v>
      </c>
      <c r="N160" s="250">
        <f t="shared" si="90"/>
        <v>1571</v>
      </c>
      <c r="O160" s="250">
        <f t="shared" si="91"/>
        <v>13.091666666666667</v>
      </c>
      <c r="P160" s="250">
        <f t="shared" si="92"/>
        <v>0</v>
      </c>
      <c r="Q160" s="247">
        <f t="shared" si="93"/>
        <v>0</v>
      </c>
      <c r="R160" s="250">
        <f t="shared" si="94"/>
        <v>0</v>
      </c>
      <c r="S160" s="260">
        <v>1</v>
      </c>
      <c r="T160" s="250">
        <f t="shared" si="95"/>
        <v>0</v>
      </c>
      <c r="V160" s="250">
        <f t="shared" si="96"/>
        <v>1571</v>
      </c>
      <c r="W160" s="250">
        <f t="shared" si="97"/>
        <v>1571</v>
      </c>
      <c r="X160" s="260">
        <v>1</v>
      </c>
      <c r="Y160" s="250">
        <f t="shared" si="98"/>
        <v>1571</v>
      </c>
      <c r="Z160" s="250">
        <f t="shared" si="99"/>
        <v>1571</v>
      </c>
      <c r="AA160" s="250">
        <f t="shared" si="100"/>
        <v>0</v>
      </c>
      <c r="AB160" s="250">
        <f t="shared" si="106"/>
        <v>0</v>
      </c>
      <c r="AC160" s="259">
        <f t="shared" si="101"/>
        <v>104.25</v>
      </c>
      <c r="AD160" s="247">
        <f t="shared" si="102"/>
        <v>124.5</v>
      </c>
      <c r="AE160" s="259">
        <f t="shared" si="103"/>
        <v>114.25</v>
      </c>
      <c r="AF160" s="247">
        <f t="shared" si="104"/>
        <v>123.5</v>
      </c>
      <c r="AG160" s="258">
        <f t="shared" si="105"/>
        <v>-8.3333333333333329E-2</v>
      </c>
    </row>
    <row r="161" spans="1:33">
      <c r="B161" s="255" t="s">
        <v>484</v>
      </c>
      <c r="C161" s="255">
        <v>104</v>
      </c>
      <c r="D161" s="255">
        <v>4</v>
      </c>
      <c r="E161" s="262">
        <v>0</v>
      </c>
      <c r="G161" s="265" t="s">
        <v>831</v>
      </c>
      <c r="H161" s="255">
        <v>10</v>
      </c>
      <c r="I161" s="247">
        <f t="shared" si="89"/>
        <v>114</v>
      </c>
      <c r="L161" s="253">
        <v>3159</v>
      </c>
      <c r="N161" s="250">
        <f t="shared" si="90"/>
        <v>3159</v>
      </c>
      <c r="O161" s="250">
        <f t="shared" si="91"/>
        <v>26.324999999999999</v>
      </c>
      <c r="P161" s="250">
        <f t="shared" si="92"/>
        <v>0</v>
      </c>
      <c r="Q161" s="247">
        <f t="shared" si="93"/>
        <v>0</v>
      </c>
      <c r="R161" s="250">
        <f t="shared" si="94"/>
        <v>0</v>
      </c>
      <c r="S161" s="260">
        <v>1</v>
      </c>
      <c r="T161" s="250">
        <f t="shared" si="95"/>
        <v>0</v>
      </c>
      <c r="V161" s="250">
        <f t="shared" si="96"/>
        <v>3159</v>
      </c>
      <c r="W161" s="250">
        <f t="shared" si="97"/>
        <v>3159</v>
      </c>
      <c r="X161" s="260">
        <v>1</v>
      </c>
      <c r="Y161" s="250">
        <f t="shared" si="98"/>
        <v>3159</v>
      </c>
      <c r="Z161" s="250">
        <f t="shared" si="99"/>
        <v>3159</v>
      </c>
      <c r="AA161" s="250">
        <f t="shared" si="100"/>
        <v>0</v>
      </c>
      <c r="AB161" s="250">
        <f t="shared" si="106"/>
        <v>0</v>
      </c>
      <c r="AC161" s="259">
        <f t="shared" si="101"/>
        <v>104.25</v>
      </c>
      <c r="AD161" s="247">
        <f t="shared" si="102"/>
        <v>124.5</v>
      </c>
      <c r="AE161" s="259">
        <f t="shared" si="103"/>
        <v>114.25</v>
      </c>
      <c r="AF161" s="247">
        <f t="shared" si="104"/>
        <v>123.5</v>
      </c>
      <c r="AG161" s="258">
        <f t="shared" si="105"/>
        <v>-8.3333333333333329E-2</v>
      </c>
    </row>
    <row r="162" spans="1:33">
      <c r="B162" s="255" t="s">
        <v>485</v>
      </c>
      <c r="C162" s="255">
        <v>104</v>
      </c>
      <c r="D162" s="255">
        <v>12</v>
      </c>
      <c r="E162" s="262">
        <v>0</v>
      </c>
      <c r="G162" s="265" t="s">
        <v>831</v>
      </c>
      <c r="H162" s="255">
        <v>10</v>
      </c>
      <c r="I162" s="247">
        <f t="shared" si="89"/>
        <v>114</v>
      </c>
      <c r="L162" s="253">
        <v>7476</v>
      </c>
      <c r="N162" s="250">
        <f t="shared" si="90"/>
        <v>7476</v>
      </c>
      <c r="O162" s="250">
        <f t="shared" si="91"/>
        <v>62.300000000000004</v>
      </c>
      <c r="P162" s="250">
        <f t="shared" si="92"/>
        <v>0</v>
      </c>
      <c r="Q162" s="247">
        <f t="shared" si="93"/>
        <v>0</v>
      </c>
      <c r="R162" s="250">
        <f t="shared" si="94"/>
        <v>0</v>
      </c>
      <c r="S162" s="260">
        <v>1</v>
      </c>
      <c r="T162" s="250">
        <f t="shared" si="95"/>
        <v>0</v>
      </c>
      <c r="V162" s="250">
        <f t="shared" si="96"/>
        <v>7476</v>
      </c>
      <c r="W162" s="250">
        <f t="shared" si="97"/>
        <v>7476</v>
      </c>
      <c r="X162" s="260">
        <v>1</v>
      </c>
      <c r="Y162" s="250">
        <f t="shared" si="98"/>
        <v>7476</v>
      </c>
      <c r="Z162" s="250">
        <f t="shared" si="99"/>
        <v>7476</v>
      </c>
      <c r="AA162" s="250">
        <f t="shared" si="100"/>
        <v>0</v>
      </c>
      <c r="AB162" s="250">
        <f t="shared" si="106"/>
        <v>0</v>
      </c>
      <c r="AC162" s="259">
        <f t="shared" si="101"/>
        <v>104.91666666666667</v>
      </c>
      <c r="AD162" s="247">
        <f t="shared" si="102"/>
        <v>124.5</v>
      </c>
      <c r="AE162" s="259">
        <f t="shared" si="103"/>
        <v>114.91666666666667</v>
      </c>
      <c r="AF162" s="247">
        <f t="shared" si="104"/>
        <v>123.5</v>
      </c>
      <c r="AG162" s="258">
        <f t="shared" si="105"/>
        <v>-8.3333333333333329E-2</v>
      </c>
    </row>
    <row r="163" spans="1:33">
      <c r="B163" s="255" t="s">
        <v>486</v>
      </c>
      <c r="C163" s="255">
        <v>104</v>
      </c>
      <c r="D163" s="255">
        <v>12</v>
      </c>
      <c r="E163" s="262">
        <v>0</v>
      </c>
      <c r="G163" s="265" t="s">
        <v>831</v>
      </c>
      <c r="H163" s="255">
        <v>10</v>
      </c>
      <c r="I163" s="247">
        <f t="shared" si="89"/>
        <v>114</v>
      </c>
      <c r="L163" s="253">
        <v>6540</v>
      </c>
      <c r="N163" s="250">
        <f t="shared" si="90"/>
        <v>6540</v>
      </c>
      <c r="O163" s="250">
        <f t="shared" si="91"/>
        <v>54.5</v>
      </c>
      <c r="P163" s="250">
        <f t="shared" si="92"/>
        <v>0</v>
      </c>
      <c r="Q163" s="247">
        <f t="shared" si="93"/>
        <v>0</v>
      </c>
      <c r="R163" s="250">
        <f t="shared" si="94"/>
        <v>0</v>
      </c>
      <c r="S163" s="260">
        <v>1</v>
      </c>
      <c r="T163" s="250">
        <f t="shared" si="95"/>
        <v>0</v>
      </c>
      <c r="V163" s="250">
        <f t="shared" si="96"/>
        <v>6540</v>
      </c>
      <c r="W163" s="250">
        <f t="shared" si="97"/>
        <v>6540</v>
      </c>
      <c r="X163" s="260">
        <v>1</v>
      </c>
      <c r="Y163" s="250">
        <f t="shared" si="98"/>
        <v>6540</v>
      </c>
      <c r="Z163" s="250">
        <f t="shared" si="99"/>
        <v>6540</v>
      </c>
      <c r="AA163" s="250">
        <f t="shared" si="100"/>
        <v>0</v>
      </c>
      <c r="AB163" s="250">
        <f t="shared" si="106"/>
        <v>0</v>
      </c>
      <c r="AC163" s="259">
        <f t="shared" si="101"/>
        <v>104.91666666666667</v>
      </c>
      <c r="AD163" s="247">
        <f t="shared" si="102"/>
        <v>124.5</v>
      </c>
      <c r="AE163" s="259">
        <f t="shared" si="103"/>
        <v>114.91666666666667</v>
      </c>
      <c r="AF163" s="247">
        <f t="shared" si="104"/>
        <v>123.5</v>
      </c>
      <c r="AG163" s="258">
        <f t="shared" si="105"/>
        <v>-8.3333333333333329E-2</v>
      </c>
    </row>
    <row r="164" spans="1:33">
      <c r="B164" s="255" t="s">
        <v>481</v>
      </c>
      <c r="C164" s="255">
        <v>105</v>
      </c>
      <c r="D164" s="255">
        <v>7</v>
      </c>
      <c r="E164" s="262">
        <v>0</v>
      </c>
      <c r="G164" s="265" t="s">
        <v>831</v>
      </c>
      <c r="H164" s="255">
        <v>10</v>
      </c>
      <c r="I164" s="247">
        <f t="shared" si="89"/>
        <v>115</v>
      </c>
      <c r="L164" s="253">
        <v>2532</v>
      </c>
      <c r="N164" s="250">
        <f t="shared" si="90"/>
        <v>2532</v>
      </c>
      <c r="O164" s="250">
        <f t="shared" si="91"/>
        <v>21.099999999999998</v>
      </c>
      <c r="P164" s="250">
        <f t="shared" si="92"/>
        <v>0</v>
      </c>
      <c r="Q164" s="247">
        <f t="shared" si="93"/>
        <v>0</v>
      </c>
      <c r="R164" s="250">
        <f t="shared" si="94"/>
        <v>0</v>
      </c>
      <c r="S164" s="260">
        <v>1</v>
      </c>
      <c r="T164" s="250">
        <f t="shared" si="95"/>
        <v>0</v>
      </c>
      <c r="V164" s="250">
        <f t="shared" si="96"/>
        <v>2532</v>
      </c>
      <c r="W164" s="250">
        <f t="shared" si="97"/>
        <v>2532</v>
      </c>
      <c r="X164" s="260">
        <v>1</v>
      </c>
      <c r="Y164" s="250">
        <f t="shared" si="98"/>
        <v>2532</v>
      </c>
      <c r="Z164" s="250">
        <f t="shared" si="99"/>
        <v>2532</v>
      </c>
      <c r="AA164" s="250">
        <f t="shared" si="100"/>
        <v>0</v>
      </c>
      <c r="AB164" s="250">
        <f t="shared" si="106"/>
        <v>0</v>
      </c>
      <c r="AC164" s="259">
        <f t="shared" si="101"/>
        <v>105.5</v>
      </c>
      <c r="AD164" s="247">
        <f t="shared" si="102"/>
        <v>124.5</v>
      </c>
      <c r="AE164" s="259">
        <f t="shared" si="103"/>
        <v>115.5</v>
      </c>
      <c r="AF164" s="247">
        <f t="shared" si="104"/>
        <v>123.5</v>
      </c>
      <c r="AG164" s="258">
        <f t="shared" si="105"/>
        <v>-8.3333333333333329E-2</v>
      </c>
    </row>
    <row r="165" spans="1:33">
      <c r="B165" s="255" t="s">
        <v>487</v>
      </c>
      <c r="C165" s="255">
        <v>105</v>
      </c>
      <c r="D165" s="255">
        <v>7</v>
      </c>
      <c r="E165" s="262">
        <v>0</v>
      </c>
      <c r="G165" s="265" t="s">
        <v>831</v>
      </c>
      <c r="H165" s="255">
        <v>10</v>
      </c>
      <c r="I165" s="247">
        <f t="shared" si="89"/>
        <v>115</v>
      </c>
      <c r="L165" s="253">
        <v>2012</v>
      </c>
      <c r="N165" s="250">
        <f t="shared" si="90"/>
        <v>2012</v>
      </c>
      <c r="O165" s="250">
        <f t="shared" si="91"/>
        <v>16.766666666666666</v>
      </c>
      <c r="P165" s="250">
        <f t="shared" si="92"/>
        <v>0</v>
      </c>
      <c r="Q165" s="247">
        <f t="shared" si="93"/>
        <v>0</v>
      </c>
      <c r="R165" s="250">
        <f t="shared" si="94"/>
        <v>0</v>
      </c>
      <c r="S165" s="260">
        <v>1</v>
      </c>
      <c r="T165" s="250">
        <f t="shared" si="95"/>
        <v>0</v>
      </c>
      <c r="V165" s="250">
        <f t="shared" si="96"/>
        <v>2012</v>
      </c>
      <c r="W165" s="250">
        <f t="shared" si="97"/>
        <v>2012</v>
      </c>
      <c r="X165" s="260">
        <v>1</v>
      </c>
      <c r="Y165" s="250">
        <f t="shared" si="98"/>
        <v>2012</v>
      </c>
      <c r="Z165" s="250">
        <f t="shared" si="99"/>
        <v>2012</v>
      </c>
      <c r="AA165" s="250">
        <f t="shared" si="100"/>
        <v>0</v>
      </c>
      <c r="AB165" s="250">
        <f t="shared" si="106"/>
        <v>0</v>
      </c>
      <c r="AC165" s="259">
        <f t="shared" si="101"/>
        <v>105.5</v>
      </c>
      <c r="AD165" s="247">
        <f t="shared" si="102"/>
        <v>124.5</v>
      </c>
      <c r="AE165" s="259">
        <f t="shared" si="103"/>
        <v>115.5</v>
      </c>
      <c r="AF165" s="247">
        <f t="shared" si="104"/>
        <v>123.5</v>
      </c>
      <c r="AG165" s="258">
        <f t="shared" si="105"/>
        <v>-8.3333333333333329E-2</v>
      </c>
    </row>
    <row r="166" spans="1:33">
      <c r="B166" s="255" t="s">
        <v>488</v>
      </c>
      <c r="C166" s="255">
        <v>106</v>
      </c>
      <c r="D166" s="255">
        <v>2</v>
      </c>
      <c r="E166" s="262">
        <v>0</v>
      </c>
      <c r="G166" s="265" t="s">
        <v>831</v>
      </c>
      <c r="H166" s="255">
        <v>10</v>
      </c>
      <c r="I166" s="247">
        <f t="shared" si="89"/>
        <v>116</v>
      </c>
      <c r="L166" s="253">
        <v>3689</v>
      </c>
      <c r="N166" s="250">
        <f t="shared" si="90"/>
        <v>3689</v>
      </c>
      <c r="O166" s="250">
        <f t="shared" si="91"/>
        <v>30.741666666666664</v>
      </c>
      <c r="P166" s="250">
        <f t="shared" si="92"/>
        <v>0</v>
      </c>
      <c r="Q166" s="247">
        <f t="shared" si="93"/>
        <v>0</v>
      </c>
      <c r="R166" s="250">
        <f t="shared" si="94"/>
        <v>0</v>
      </c>
      <c r="S166" s="260">
        <v>1</v>
      </c>
      <c r="T166" s="250">
        <f t="shared" si="95"/>
        <v>0</v>
      </c>
      <c r="V166" s="250">
        <f t="shared" si="96"/>
        <v>3689</v>
      </c>
      <c r="W166" s="250">
        <f t="shared" si="97"/>
        <v>3689</v>
      </c>
      <c r="X166" s="260">
        <v>1</v>
      </c>
      <c r="Y166" s="250">
        <f t="shared" si="98"/>
        <v>3689</v>
      </c>
      <c r="Z166" s="250">
        <f t="shared" si="99"/>
        <v>3689</v>
      </c>
      <c r="AA166" s="250">
        <f t="shared" si="100"/>
        <v>0</v>
      </c>
      <c r="AB166" s="250">
        <f t="shared" si="106"/>
        <v>0</v>
      </c>
      <c r="AC166" s="259">
        <f t="shared" si="101"/>
        <v>106.08333333333333</v>
      </c>
      <c r="AD166" s="247">
        <f t="shared" si="102"/>
        <v>124.5</v>
      </c>
      <c r="AE166" s="259">
        <f t="shared" si="103"/>
        <v>116.08333333333333</v>
      </c>
      <c r="AF166" s="247">
        <f t="shared" si="104"/>
        <v>123.5</v>
      </c>
      <c r="AG166" s="258">
        <f t="shared" si="105"/>
        <v>-8.3333333333333329E-2</v>
      </c>
    </row>
    <row r="167" spans="1:33">
      <c r="B167" s="255" t="s">
        <v>487</v>
      </c>
      <c r="C167" s="255">
        <v>107</v>
      </c>
      <c r="D167" s="255">
        <v>6</v>
      </c>
      <c r="E167" s="262">
        <v>0</v>
      </c>
      <c r="G167" s="265" t="s">
        <v>831</v>
      </c>
      <c r="H167" s="255">
        <v>10</v>
      </c>
      <c r="I167" s="247">
        <f t="shared" si="89"/>
        <v>117</v>
      </c>
      <c r="L167" s="253">
        <v>2387</v>
      </c>
      <c r="N167" s="250">
        <f t="shared" si="90"/>
        <v>2387</v>
      </c>
      <c r="O167" s="250">
        <f t="shared" si="91"/>
        <v>19.891666666666666</v>
      </c>
      <c r="P167" s="250">
        <f t="shared" si="92"/>
        <v>0</v>
      </c>
      <c r="Q167" s="247">
        <f t="shared" si="93"/>
        <v>0</v>
      </c>
      <c r="R167" s="250">
        <f t="shared" si="94"/>
        <v>0</v>
      </c>
      <c r="S167" s="260">
        <v>1</v>
      </c>
      <c r="T167" s="250">
        <f t="shared" si="95"/>
        <v>0</v>
      </c>
      <c r="V167" s="250">
        <f t="shared" si="96"/>
        <v>2387</v>
      </c>
      <c r="W167" s="250">
        <f t="shared" si="97"/>
        <v>2387</v>
      </c>
      <c r="X167" s="260">
        <v>1</v>
      </c>
      <c r="Y167" s="250">
        <f t="shared" si="98"/>
        <v>2387</v>
      </c>
      <c r="Z167" s="250">
        <f t="shared" si="99"/>
        <v>2387</v>
      </c>
      <c r="AA167" s="250">
        <f t="shared" si="100"/>
        <v>0</v>
      </c>
      <c r="AB167" s="250">
        <f t="shared" si="106"/>
        <v>0</v>
      </c>
      <c r="AC167" s="259">
        <f t="shared" si="101"/>
        <v>107.41666666666667</v>
      </c>
      <c r="AD167" s="247">
        <f t="shared" si="102"/>
        <v>124.5</v>
      </c>
      <c r="AE167" s="259">
        <f t="shared" si="103"/>
        <v>117.41666666666667</v>
      </c>
      <c r="AF167" s="247">
        <f t="shared" si="104"/>
        <v>123.5</v>
      </c>
      <c r="AG167" s="258">
        <f t="shared" si="105"/>
        <v>-8.3333333333333329E-2</v>
      </c>
    </row>
    <row r="168" spans="1:33">
      <c r="B168" s="255" t="s">
        <v>489</v>
      </c>
      <c r="C168" s="255">
        <v>107</v>
      </c>
      <c r="D168" s="255">
        <v>6</v>
      </c>
      <c r="E168" s="262">
        <v>0</v>
      </c>
      <c r="G168" s="265" t="s">
        <v>831</v>
      </c>
      <c r="H168" s="255">
        <v>10</v>
      </c>
      <c r="I168" s="247">
        <f t="shared" si="89"/>
        <v>117</v>
      </c>
      <c r="L168" s="253">
        <v>5443</v>
      </c>
      <c r="N168" s="250">
        <f t="shared" si="90"/>
        <v>5443</v>
      </c>
      <c r="O168" s="250">
        <f t="shared" si="91"/>
        <v>45.358333333333327</v>
      </c>
      <c r="P168" s="250">
        <f t="shared" si="92"/>
        <v>0</v>
      </c>
      <c r="Q168" s="247">
        <f t="shared" si="93"/>
        <v>0</v>
      </c>
      <c r="R168" s="250">
        <f t="shared" si="94"/>
        <v>0</v>
      </c>
      <c r="S168" s="260">
        <v>1</v>
      </c>
      <c r="T168" s="250">
        <f t="shared" si="95"/>
        <v>0</v>
      </c>
      <c r="V168" s="250">
        <f t="shared" si="96"/>
        <v>5443</v>
      </c>
      <c r="W168" s="250">
        <f t="shared" si="97"/>
        <v>5443</v>
      </c>
      <c r="X168" s="260">
        <v>1</v>
      </c>
      <c r="Y168" s="250">
        <f t="shared" si="98"/>
        <v>5443</v>
      </c>
      <c r="Z168" s="250">
        <f t="shared" si="99"/>
        <v>5443</v>
      </c>
      <c r="AA168" s="250">
        <f t="shared" si="100"/>
        <v>0</v>
      </c>
      <c r="AB168" s="250">
        <f t="shared" si="106"/>
        <v>0</v>
      </c>
      <c r="AC168" s="259">
        <f t="shared" si="101"/>
        <v>107.41666666666667</v>
      </c>
      <c r="AD168" s="247">
        <f t="shared" si="102"/>
        <v>124.5</v>
      </c>
      <c r="AE168" s="259">
        <f t="shared" si="103"/>
        <v>117.41666666666667</v>
      </c>
      <c r="AF168" s="247">
        <f t="shared" si="104"/>
        <v>123.5</v>
      </c>
      <c r="AG168" s="258">
        <f t="shared" si="105"/>
        <v>-8.3333333333333329E-2</v>
      </c>
    </row>
    <row r="169" spans="1:33">
      <c r="B169" s="255" t="s">
        <v>490</v>
      </c>
      <c r="C169" s="255">
        <v>107</v>
      </c>
      <c r="D169" s="255">
        <v>6</v>
      </c>
      <c r="E169" s="262">
        <v>0</v>
      </c>
      <c r="G169" s="265" t="s">
        <v>831</v>
      </c>
      <c r="H169" s="255">
        <v>10</v>
      </c>
      <c r="I169" s="247">
        <f t="shared" ref="I169:I183" si="107">C169+H169</f>
        <v>117</v>
      </c>
      <c r="L169" s="253">
        <v>6135</v>
      </c>
      <c r="N169" s="250">
        <f t="shared" ref="N169:N183" si="108">L169-L169*E169</f>
        <v>6135</v>
      </c>
      <c r="O169" s="250">
        <f t="shared" ref="O169:O183" si="109">N169/H169/12</f>
        <v>51.125</v>
      </c>
      <c r="P169" s="250">
        <f t="shared" ref="P169:P187" si="110">IF(M169&gt;0,0,IF(OR(AC169&gt;AD169,AE169&lt;AF169),0,IF(AND(AE169&gt;=AF169,AE169&lt;=AD169),O169*((AE169-AF169)*12),IF(AND(AF169&lt;=AC169,AD169&gt;=AC169),((AD169-AC169)*12)*O169,IF(AE169&gt;AD169,12*O169,0)))))</f>
        <v>0</v>
      </c>
      <c r="Q169" s="247">
        <f t="shared" ref="Q169:Q183" si="111">IF(M169=0,0,IF(AND(AG169&gt;=AF169,AG169&lt;=AE169),((AG169-AF169)*12)*O169,0))</f>
        <v>0</v>
      </c>
      <c r="R169" s="250">
        <f t="shared" ref="R169:R183" si="112">IF(Q169&gt;0,Q169,P169)</f>
        <v>0</v>
      </c>
      <c r="S169" s="260">
        <v>1</v>
      </c>
      <c r="T169" s="250">
        <f t="shared" ref="T169:T183" si="113">S169*SUM(P169:Q169)</f>
        <v>0</v>
      </c>
      <c r="V169" s="250">
        <f t="shared" ref="V169:V183" si="114">IF(AC169&gt;AD169,0,IF(AE169&lt;AF169,N169,IF(AND(AE169&gt;=AF169,AE169&lt;=AD169),(N169-R169),IF(AND(AF169&lt;=AC169,AD169&gt;=AC169),0,IF(AE169&gt;AD169,((AF169-AC169)*12)*O169,0)))))</f>
        <v>6135</v>
      </c>
      <c r="W169" s="250">
        <f t="shared" ref="W169:W183" si="115">V169*S169</f>
        <v>6135</v>
      </c>
      <c r="X169" s="260">
        <v>1</v>
      </c>
      <c r="Y169" s="250">
        <f t="shared" ref="Y169:Y183" si="116">W169*X169</f>
        <v>6135</v>
      </c>
      <c r="Z169" s="250">
        <f t="shared" ref="Z169:Z183" si="117">IF(M169&gt;0,0,Y169+T169*X169)*X169</f>
        <v>6135</v>
      </c>
      <c r="AA169" s="250">
        <f t="shared" si="100"/>
        <v>0</v>
      </c>
      <c r="AB169" s="250">
        <f t="shared" si="106"/>
        <v>0</v>
      </c>
      <c r="AC169" s="259">
        <f t="shared" ref="AC169:AC212" si="118">$C169+(($D169-1)/12)</f>
        <v>107.41666666666667</v>
      </c>
      <c r="AD169" s="247">
        <f t="shared" ref="AD169:AD212" si="119">($N$5+1)-($N$2/12)</f>
        <v>124.5</v>
      </c>
      <c r="AE169" s="259">
        <f t="shared" ref="AE169:AE212" si="120">$I169+(($D169-1)/12)</f>
        <v>117.41666666666667</v>
      </c>
      <c r="AF169" s="247">
        <f t="shared" ref="AF169:AF212" si="121">$N$4+($N$3/12)</f>
        <v>123.5</v>
      </c>
      <c r="AG169" s="258">
        <f t="shared" ref="AG169:AG212" si="122">$J169+(($K169-1)/12)</f>
        <v>-8.3333333333333329E-2</v>
      </c>
    </row>
    <row r="170" spans="1:33">
      <c r="B170" s="255" t="s">
        <v>491</v>
      </c>
      <c r="C170" s="255">
        <v>108</v>
      </c>
      <c r="D170" s="255">
        <v>5</v>
      </c>
      <c r="E170" s="262">
        <v>0</v>
      </c>
      <c r="G170" s="265" t="s">
        <v>831</v>
      </c>
      <c r="H170" s="255">
        <v>7</v>
      </c>
      <c r="I170" s="247">
        <f t="shared" si="107"/>
        <v>115</v>
      </c>
      <c r="L170" s="253">
        <v>6217</v>
      </c>
      <c r="N170" s="250">
        <f t="shared" si="108"/>
        <v>6217</v>
      </c>
      <c r="O170" s="250">
        <f t="shared" si="109"/>
        <v>74.011904761904759</v>
      </c>
      <c r="P170" s="250">
        <f t="shared" si="110"/>
        <v>0</v>
      </c>
      <c r="Q170" s="247">
        <f t="shared" si="111"/>
        <v>0</v>
      </c>
      <c r="R170" s="250">
        <f t="shared" si="112"/>
        <v>0</v>
      </c>
      <c r="S170" s="260">
        <v>1</v>
      </c>
      <c r="T170" s="250">
        <f t="shared" si="113"/>
        <v>0</v>
      </c>
      <c r="V170" s="250">
        <f t="shared" si="114"/>
        <v>6217</v>
      </c>
      <c r="W170" s="250">
        <f t="shared" si="115"/>
        <v>6217</v>
      </c>
      <c r="X170" s="260">
        <v>1</v>
      </c>
      <c r="Y170" s="250">
        <f t="shared" si="116"/>
        <v>6217</v>
      </c>
      <c r="Z170" s="250">
        <f t="shared" si="117"/>
        <v>6217</v>
      </c>
      <c r="AA170" s="250">
        <f t="shared" si="100"/>
        <v>0</v>
      </c>
      <c r="AB170" s="250">
        <f t="shared" si="106"/>
        <v>0</v>
      </c>
      <c r="AC170" s="259">
        <f t="shared" si="118"/>
        <v>108.33333333333333</v>
      </c>
      <c r="AD170" s="247">
        <f t="shared" si="119"/>
        <v>124.5</v>
      </c>
      <c r="AE170" s="259">
        <f t="shared" si="120"/>
        <v>115.33333333333333</v>
      </c>
      <c r="AF170" s="247">
        <f t="shared" si="121"/>
        <v>123.5</v>
      </c>
      <c r="AG170" s="258">
        <f t="shared" si="122"/>
        <v>-8.3333333333333329E-2</v>
      </c>
    </row>
    <row r="171" spans="1:33">
      <c r="B171" s="255" t="s">
        <v>492</v>
      </c>
      <c r="C171" s="255">
        <v>108</v>
      </c>
      <c r="D171" s="255">
        <v>5</v>
      </c>
      <c r="E171" s="262">
        <v>0</v>
      </c>
      <c r="G171" s="265" t="s">
        <v>831</v>
      </c>
      <c r="H171" s="255">
        <v>7</v>
      </c>
      <c r="I171" s="247">
        <f t="shared" si="107"/>
        <v>115</v>
      </c>
      <c r="L171" s="253">
        <v>4876</v>
      </c>
      <c r="N171" s="250">
        <f t="shared" si="108"/>
        <v>4876</v>
      </c>
      <c r="O171" s="250">
        <f t="shared" si="109"/>
        <v>58.047619047619044</v>
      </c>
      <c r="P171" s="250">
        <f t="shared" si="110"/>
        <v>0</v>
      </c>
      <c r="Q171" s="247">
        <f t="shared" si="111"/>
        <v>0</v>
      </c>
      <c r="R171" s="250">
        <f t="shared" si="112"/>
        <v>0</v>
      </c>
      <c r="S171" s="260">
        <v>1</v>
      </c>
      <c r="T171" s="250">
        <f t="shared" si="113"/>
        <v>0</v>
      </c>
      <c r="V171" s="250">
        <f t="shared" si="114"/>
        <v>4876</v>
      </c>
      <c r="W171" s="250">
        <f t="shared" si="115"/>
        <v>4876</v>
      </c>
      <c r="X171" s="260">
        <v>1</v>
      </c>
      <c r="Y171" s="250">
        <f t="shared" si="116"/>
        <v>4876</v>
      </c>
      <c r="Z171" s="250">
        <f t="shared" si="117"/>
        <v>4876</v>
      </c>
      <c r="AA171" s="250">
        <f t="shared" si="100"/>
        <v>0</v>
      </c>
      <c r="AB171" s="250">
        <f t="shared" si="106"/>
        <v>0</v>
      </c>
      <c r="AC171" s="259">
        <f t="shared" si="118"/>
        <v>108.33333333333333</v>
      </c>
      <c r="AD171" s="247">
        <f t="shared" si="119"/>
        <v>124.5</v>
      </c>
      <c r="AE171" s="259">
        <f t="shared" si="120"/>
        <v>115.33333333333333</v>
      </c>
      <c r="AF171" s="247">
        <f t="shared" si="121"/>
        <v>123.5</v>
      </c>
      <c r="AG171" s="258">
        <f t="shared" si="122"/>
        <v>-8.3333333333333329E-2</v>
      </c>
    </row>
    <row r="172" spans="1:33">
      <c r="B172" s="255" t="s">
        <v>480</v>
      </c>
      <c r="C172" s="255">
        <v>110</v>
      </c>
      <c r="D172" s="255">
        <v>5</v>
      </c>
      <c r="E172" s="262">
        <v>0</v>
      </c>
      <c r="G172" s="265" t="s">
        <v>831</v>
      </c>
      <c r="H172" s="255">
        <v>10</v>
      </c>
      <c r="I172" s="247">
        <f t="shared" si="107"/>
        <v>120</v>
      </c>
      <c r="L172" s="253">
        <v>4389</v>
      </c>
      <c r="N172" s="250">
        <f t="shared" si="108"/>
        <v>4389</v>
      </c>
      <c r="O172" s="250">
        <f t="shared" si="109"/>
        <v>36.574999999999996</v>
      </c>
      <c r="P172" s="250">
        <f t="shared" si="110"/>
        <v>0</v>
      </c>
      <c r="Q172" s="247">
        <f t="shared" si="111"/>
        <v>0</v>
      </c>
      <c r="R172" s="250">
        <f t="shared" si="112"/>
        <v>0</v>
      </c>
      <c r="S172" s="260">
        <v>1</v>
      </c>
      <c r="T172" s="250">
        <f t="shared" si="113"/>
        <v>0</v>
      </c>
      <c r="V172" s="250">
        <f t="shared" si="114"/>
        <v>4389</v>
      </c>
      <c r="W172" s="250">
        <f t="shared" si="115"/>
        <v>4389</v>
      </c>
      <c r="X172" s="260">
        <v>1</v>
      </c>
      <c r="Y172" s="250">
        <f t="shared" si="116"/>
        <v>4389</v>
      </c>
      <c r="Z172" s="250">
        <f t="shared" si="117"/>
        <v>4389</v>
      </c>
      <c r="AA172" s="250">
        <f t="shared" si="100"/>
        <v>0</v>
      </c>
      <c r="AB172" s="250">
        <f t="shared" si="106"/>
        <v>0</v>
      </c>
      <c r="AC172" s="259">
        <f t="shared" si="118"/>
        <v>110.33333333333333</v>
      </c>
      <c r="AD172" s="247">
        <f t="shared" si="119"/>
        <v>124.5</v>
      </c>
      <c r="AE172" s="259">
        <f t="shared" si="120"/>
        <v>120.33333333333333</v>
      </c>
      <c r="AF172" s="247">
        <f t="shared" si="121"/>
        <v>123.5</v>
      </c>
      <c r="AG172" s="258">
        <f t="shared" si="122"/>
        <v>-8.3333333333333329E-2</v>
      </c>
    </row>
    <row r="173" spans="1:33">
      <c r="B173" s="255" t="s">
        <v>483</v>
      </c>
      <c r="C173" s="255">
        <v>110</v>
      </c>
      <c r="D173" s="255">
        <v>6</v>
      </c>
      <c r="E173" s="262">
        <v>0</v>
      </c>
      <c r="G173" s="265" t="s">
        <v>831</v>
      </c>
      <c r="H173" s="255">
        <v>7</v>
      </c>
      <c r="I173" s="247">
        <f t="shared" si="107"/>
        <v>117</v>
      </c>
      <c r="L173" s="253">
        <v>1144</v>
      </c>
      <c r="N173" s="250">
        <f t="shared" si="108"/>
        <v>1144</v>
      </c>
      <c r="O173" s="250">
        <f t="shared" si="109"/>
        <v>13.619047619047619</v>
      </c>
      <c r="P173" s="250">
        <f t="shared" si="110"/>
        <v>0</v>
      </c>
      <c r="Q173" s="247">
        <f t="shared" si="111"/>
        <v>0</v>
      </c>
      <c r="R173" s="250">
        <f t="shared" si="112"/>
        <v>0</v>
      </c>
      <c r="S173" s="260">
        <v>1</v>
      </c>
      <c r="T173" s="250">
        <f t="shared" si="113"/>
        <v>0</v>
      </c>
      <c r="V173" s="250">
        <f t="shared" si="114"/>
        <v>1144</v>
      </c>
      <c r="W173" s="250">
        <f t="shared" si="115"/>
        <v>1144</v>
      </c>
      <c r="X173" s="260">
        <v>1</v>
      </c>
      <c r="Y173" s="250">
        <f t="shared" si="116"/>
        <v>1144</v>
      </c>
      <c r="Z173" s="250">
        <f t="shared" si="117"/>
        <v>1144</v>
      </c>
      <c r="AA173" s="250">
        <f t="shared" si="100"/>
        <v>0</v>
      </c>
      <c r="AB173" s="250">
        <f t="shared" si="106"/>
        <v>0</v>
      </c>
      <c r="AC173" s="259">
        <f t="shared" si="118"/>
        <v>110.41666666666667</v>
      </c>
      <c r="AD173" s="247">
        <f t="shared" si="119"/>
        <v>124.5</v>
      </c>
      <c r="AE173" s="259">
        <f t="shared" si="120"/>
        <v>117.41666666666667</v>
      </c>
      <c r="AF173" s="247">
        <f t="shared" si="121"/>
        <v>123.5</v>
      </c>
      <c r="AG173" s="258">
        <f t="shared" si="122"/>
        <v>-8.3333333333333329E-2</v>
      </c>
    </row>
    <row r="174" spans="1:33">
      <c r="B174" s="255" t="s">
        <v>493</v>
      </c>
      <c r="C174" s="255">
        <v>110</v>
      </c>
      <c r="D174" s="255">
        <v>6</v>
      </c>
      <c r="E174" s="262">
        <v>0</v>
      </c>
      <c r="G174" s="265" t="s">
        <v>831</v>
      </c>
      <c r="H174" s="255">
        <v>7</v>
      </c>
      <c r="I174" s="247">
        <f t="shared" si="107"/>
        <v>117</v>
      </c>
      <c r="L174" s="253">
        <v>3882</v>
      </c>
      <c r="N174" s="250">
        <f t="shared" si="108"/>
        <v>3882</v>
      </c>
      <c r="O174" s="250">
        <f t="shared" si="109"/>
        <v>46.214285714285715</v>
      </c>
      <c r="P174" s="250">
        <f t="shared" si="110"/>
        <v>0</v>
      </c>
      <c r="Q174" s="247">
        <f t="shared" si="111"/>
        <v>0</v>
      </c>
      <c r="R174" s="250">
        <f t="shared" si="112"/>
        <v>0</v>
      </c>
      <c r="S174" s="260">
        <v>1</v>
      </c>
      <c r="T174" s="250">
        <f t="shared" si="113"/>
        <v>0</v>
      </c>
      <c r="V174" s="250">
        <f t="shared" si="114"/>
        <v>3882</v>
      </c>
      <c r="W174" s="250">
        <f t="shared" si="115"/>
        <v>3882</v>
      </c>
      <c r="X174" s="260">
        <v>1</v>
      </c>
      <c r="Y174" s="250">
        <f t="shared" si="116"/>
        <v>3882</v>
      </c>
      <c r="Z174" s="250">
        <f t="shared" si="117"/>
        <v>3882</v>
      </c>
      <c r="AA174" s="250">
        <f t="shared" si="100"/>
        <v>0</v>
      </c>
      <c r="AB174" s="250">
        <f t="shared" si="106"/>
        <v>0</v>
      </c>
      <c r="AC174" s="259">
        <f t="shared" si="118"/>
        <v>110.41666666666667</v>
      </c>
      <c r="AD174" s="247">
        <f t="shared" si="119"/>
        <v>124.5</v>
      </c>
      <c r="AE174" s="259">
        <f t="shared" si="120"/>
        <v>117.41666666666667</v>
      </c>
      <c r="AF174" s="247">
        <f t="shared" si="121"/>
        <v>123.5</v>
      </c>
      <c r="AG174" s="258">
        <f t="shared" si="122"/>
        <v>-8.3333333333333329E-2</v>
      </c>
    </row>
    <row r="175" spans="1:33">
      <c r="A175" s="472"/>
      <c r="B175" s="255" t="s">
        <v>494</v>
      </c>
      <c r="C175" s="255">
        <v>112</v>
      </c>
      <c r="D175" s="255">
        <v>12</v>
      </c>
      <c r="E175" s="262">
        <v>0</v>
      </c>
      <c r="G175" s="265" t="s">
        <v>831</v>
      </c>
      <c r="H175" s="255">
        <v>10</v>
      </c>
      <c r="I175" s="247">
        <f t="shared" si="107"/>
        <v>122</v>
      </c>
      <c r="L175" s="253">
        <v>5427</v>
      </c>
      <c r="N175" s="250">
        <f t="shared" si="108"/>
        <v>5427</v>
      </c>
      <c r="O175" s="250">
        <f t="shared" si="109"/>
        <v>45.225000000000001</v>
      </c>
      <c r="P175" s="250">
        <f t="shared" si="110"/>
        <v>0</v>
      </c>
      <c r="Q175" s="247">
        <f t="shared" si="111"/>
        <v>0</v>
      </c>
      <c r="R175" s="250">
        <f t="shared" si="112"/>
        <v>0</v>
      </c>
      <c r="S175" s="260">
        <v>1</v>
      </c>
      <c r="T175" s="250">
        <f t="shared" si="113"/>
        <v>0</v>
      </c>
      <c r="V175" s="250">
        <f t="shared" si="114"/>
        <v>5427</v>
      </c>
      <c r="W175" s="250">
        <f t="shared" si="115"/>
        <v>5427</v>
      </c>
      <c r="X175" s="260">
        <v>1</v>
      </c>
      <c r="Y175" s="250">
        <f t="shared" si="116"/>
        <v>5427</v>
      </c>
      <c r="Z175" s="250">
        <f t="shared" si="117"/>
        <v>5427</v>
      </c>
      <c r="AA175" s="250">
        <f t="shared" si="100"/>
        <v>0</v>
      </c>
      <c r="AB175" s="250">
        <f t="shared" si="106"/>
        <v>0</v>
      </c>
      <c r="AC175" s="259">
        <f t="shared" si="118"/>
        <v>112.91666666666667</v>
      </c>
      <c r="AD175" s="247">
        <f t="shared" si="119"/>
        <v>124.5</v>
      </c>
      <c r="AE175" s="259">
        <f t="shared" si="120"/>
        <v>122.91666666666667</v>
      </c>
      <c r="AF175" s="247">
        <f t="shared" si="121"/>
        <v>123.5</v>
      </c>
      <c r="AG175" s="258">
        <f t="shared" si="122"/>
        <v>-8.3333333333333329E-2</v>
      </c>
    </row>
    <row r="176" spans="1:33">
      <c r="A176" s="472"/>
      <c r="B176" s="255" t="s">
        <v>495</v>
      </c>
      <c r="C176" s="255">
        <v>112</v>
      </c>
      <c r="D176" s="255">
        <v>12</v>
      </c>
      <c r="E176" s="262">
        <v>0</v>
      </c>
      <c r="G176" s="265" t="s">
        <v>831</v>
      </c>
      <c r="H176" s="255">
        <v>10</v>
      </c>
      <c r="I176" s="247">
        <f t="shared" si="107"/>
        <v>122</v>
      </c>
      <c r="L176" s="253">
        <v>6206</v>
      </c>
      <c r="N176" s="250">
        <f t="shared" si="108"/>
        <v>6206</v>
      </c>
      <c r="O176" s="250">
        <f t="shared" si="109"/>
        <v>51.716666666666669</v>
      </c>
      <c r="P176" s="250">
        <f t="shared" si="110"/>
        <v>0</v>
      </c>
      <c r="Q176" s="247">
        <f t="shared" si="111"/>
        <v>0</v>
      </c>
      <c r="R176" s="250">
        <f t="shared" si="112"/>
        <v>0</v>
      </c>
      <c r="S176" s="260">
        <v>1</v>
      </c>
      <c r="T176" s="250">
        <f t="shared" si="113"/>
        <v>0</v>
      </c>
      <c r="V176" s="250">
        <f t="shared" si="114"/>
        <v>6206</v>
      </c>
      <c r="W176" s="250">
        <f t="shared" si="115"/>
        <v>6206</v>
      </c>
      <c r="X176" s="260">
        <v>1</v>
      </c>
      <c r="Y176" s="250">
        <f t="shared" si="116"/>
        <v>6206</v>
      </c>
      <c r="Z176" s="250">
        <f t="shared" si="117"/>
        <v>6206</v>
      </c>
      <c r="AA176" s="250">
        <f t="shared" si="100"/>
        <v>0</v>
      </c>
      <c r="AB176" s="250">
        <f t="shared" si="106"/>
        <v>0</v>
      </c>
      <c r="AC176" s="259">
        <f t="shared" si="118"/>
        <v>112.91666666666667</v>
      </c>
      <c r="AD176" s="247">
        <f t="shared" si="119"/>
        <v>124.5</v>
      </c>
      <c r="AE176" s="259">
        <f t="shared" si="120"/>
        <v>122.91666666666667</v>
      </c>
      <c r="AF176" s="247">
        <f t="shared" si="121"/>
        <v>123.5</v>
      </c>
      <c r="AG176" s="258">
        <f t="shared" si="122"/>
        <v>-8.3333333333333329E-2</v>
      </c>
    </row>
    <row r="177" spans="1:33">
      <c r="A177" s="472"/>
      <c r="B177" s="255" t="s">
        <v>496</v>
      </c>
      <c r="C177" s="255">
        <v>114</v>
      </c>
      <c r="D177" s="255">
        <v>5</v>
      </c>
      <c r="E177" s="262">
        <v>0</v>
      </c>
      <c r="G177" s="265" t="s">
        <v>831</v>
      </c>
      <c r="H177" s="255">
        <v>10</v>
      </c>
      <c r="I177" s="247">
        <f t="shared" si="107"/>
        <v>124</v>
      </c>
      <c r="L177" s="253">
        <v>3105</v>
      </c>
      <c r="N177" s="250">
        <f t="shared" si="108"/>
        <v>3105</v>
      </c>
      <c r="O177" s="250">
        <f t="shared" si="109"/>
        <v>25.875</v>
      </c>
      <c r="P177" s="250">
        <f t="shared" si="110"/>
        <v>258.74999999999852</v>
      </c>
      <c r="Q177" s="247">
        <f t="shared" si="111"/>
        <v>0</v>
      </c>
      <c r="R177" s="250">
        <f t="shared" si="112"/>
        <v>258.74999999999852</v>
      </c>
      <c r="S177" s="260">
        <v>1</v>
      </c>
      <c r="T177" s="250">
        <f t="shared" si="113"/>
        <v>258.74999999999852</v>
      </c>
      <c r="V177" s="250">
        <f t="shared" si="114"/>
        <v>2846.2500000000014</v>
      </c>
      <c r="W177" s="250">
        <f t="shared" si="115"/>
        <v>2846.2500000000014</v>
      </c>
      <c r="X177" s="260">
        <v>1</v>
      </c>
      <c r="Y177" s="250">
        <f t="shared" si="116"/>
        <v>2846.2500000000014</v>
      </c>
      <c r="Z177" s="250">
        <f t="shared" si="117"/>
        <v>3105</v>
      </c>
      <c r="AA177" s="250">
        <f t="shared" si="100"/>
        <v>129.37499999999932</v>
      </c>
      <c r="AB177" s="250">
        <f t="shared" si="106"/>
        <v>0</v>
      </c>
      <c r="AC177" s="259">
        <f t="shared" si="118"/>
        <v>114.33333333333333</v>
      </c>
      <c r="AD177" s="247">
        <f t="shared" si="119"/>
        <v>124.5</v>
      </c>
      <c r="AE177" s="259">
        <f t="shared" si="120"/>
        <v>124.33333333333333</v>
      </c>
      <c r="AF177" s="247">
        <f t="shared" si="121"/>
        <v>123.5</v>
      </c>
      <c r="AG177" s="258">
        <f t="shared" si="122"/>
        <v>-8.3333333333333329E-2</v>
      </c>
    </row>
    <row r="178" spans="1:33">
      <c r="A178" s="472"/>
      <c r="B178" s="255" t="s">
        <v>497</v>
      </c>
      <c r="C178" s="255">
        <v>115</v>
      </c>
      <c r="D178" s="255">
        <v>5</v>
      </c>
      <c r="E178" s="262">
        <v>0</v>
      </c>
      <c r="G178" s="265" t="s">
        <v>831</v>
      </c>
      <c r="H178" s="255">
        <v>10</v>
      </c>
      <c r="I178" s="247">
        <f t="shared" si="107"/>
        <v>125</v>
      </c>
      <c r="L178" s="253">
        <v>5572</v>
      </c>
      <c r="N178" s="250">
        <f t="shared" si="108"/>
        <v>5572</v>
      </c>
      <c r="O178" s="250">
        <f t="shared" si="109"/>
        <v>46.433333333333337</v>
      </c>
      <c r="P178" s="250">
        <f t="shared" si="110"/>
        <v>557.20000000000005</v>
      </c>
      <c r="Q178" s="247">
        <f t="shared" si="111"/>
        <v>0</v>
      </c>
      <c r="R178" s="250">
        <f t="shared" si="112"/>
        <v>557.20000000000005</v>
      </c>
      <c r="S178" s="260">
        <v>1</v>
      </c>
      <c r="T178" s="250">
        <f t="shared" si="113"/>
        <v>557.20000000000005</v>
      </c>
      <c r="V178" s="250">
        <f t="shared" si="114"/>
        <v>4550.4666666666699</v>
      </c>
      <c r="W178" s="250">
        <f t="shared" si="115"/>
        <v>4550.4666666666699</v>
      </c>
      <c r="X178" s="260">
        <v>1</v>
      </c>
      <c r="Y178" s="250">
        <f t="shared" si="116"/>
        <v>4550.4666666666699</v>
      </c>
      <c r="Z178" s="250">
        <f t="shared" si="117"/>
        <v>5107.6666666666697</v>
      </c>
      <c r="AA178" s="250">
        <f t="shared" si="100"/>
        <v>742.93333333333021</v>
      </c>
      <c r="AB178" s="250">
        <f t="shared" si="106"/>
        <v>464.3333333333303</v>
      </c>
      <c r="AC178" s="259">
        <f t="shared" si="118"/>
        <v>115.33333333333333</v>
      </c>
      <c r="AD178" s="247">
        <f t="shared" si="119"/>
        <v>124.5</v>
      </c>
      <c r="AE178" s="259">
        <f t="shared" si="120"/>
        <v>125.33333333333333</v>
      </c>
      <c r="AF178" s="247">
        <f t="shared" si="121"/>
        <v>123.5</v>
      </c>
      <c r="AG178" s="258">
        <f t="shared" si="122"/>
        <v>-8.3333333333333329E-2</v>
      </c>
    </row>
    <row r="179" spans="1:33">
      <c r="A179" s="472"/>
      <c r="B179" s="255" t="s">
        <v>498</v>
      </c>
      <c r="C179" s="255">
        <v>115</v>
      </c>
      <c r="D179" s="255">
        <v>5</v>
      </c>
      <c r="E179" s="262">
        <v>0</v>
      </c>
      <c r="G179" s="265" t="s">
        <v>831</v>
      </c>
      <c r="H179" s="255">
        <v>10</v>
      </c>
      <c r="I179" s="247">
        <f t="shared" si="107"/>
        <v>125</v>
      </c>
      <c r="L179" s="253">
        <v>6744</v>
      </c>
      <c r="N179" s="250">
        <f t="shared" si="108"/>
        <v>6744</v>
      </c>
      <c r="O179" s="250">
        <f t="shared" si="109"/>
        <v>56.199999999999996</v>
      </c>
      <c r="P179" s="250">
        <f t="shared" si="110"/>
        <v>674.4</v>
      </c>
      <c r="Q179" s="247">
        <f t="shared" si="111"/>
        <v>0</v>
      </c>
      <c r="R179" s="250">
        <f t="shared" si="112"/>
        <v>674.4</v>
      </c>
      <c r="S179" s="260">
        <v>1</v>
      </c>
      <c r="T179" s="250">
        <f t="shared" si="113"/>
        <v>674.4</v>
      </c>
      <c r="V179" s="250">
        <f t="shared" si="114"/>
        <v>5507.6000000000031</v>
      </c>
      <c r="W179" s="250">
        <f t="shared" si="115"/>
        <v>5507.6000000000031</v>
      </c>
      <c r="X179" s="260">
        <v>1</v>
      </c>
      <c r="Y179" s="250">
        <f t="shared" si="116"/>
        <v>5507.6000000000031</v>
      </c>
      <c r="Z179" s="250">
        <f t="shared" si="117"/>
        <v>6182.0000000000027</v>
      </c>
      <c r="AA179" s="250">
        <f t="shared" si="100"/>
        <v>899.19999999999709</v>
      </c>
      <c r="AB179" s="250">
        <f t="shared" si="106"/>
        <v>561.99999999999727</v>
      </c>
      <c r="AC179" s="259">
        <f t="shared" si="118"/>
        <v>115.33333333333333</v>
      </c>
      <c r="AD179" s="247">
        <f t="shared" si="119"/>
        <v>124.5</v>
      </c>
      <c r="AE179" s="259">
        <f t="shared" si="120"/>
        <v>125.33333333333333</v>
      </c>
      <c r="AF179" s="247">
        <f t="shared" si="121"/>
        <v>123.5</v>
      </c>
      <c r="AG179" s="258">
        <f t="shared" si="122"/>
        <v>-8.3333333333333329E-2</v>
      </c>
    </row>
    <row r="180" spans="1:33">
      <c r="A180" s="472"/>
      <c r="B180" s="255" t="s">
        <v>498</v>
      </c>
      <c r="C180" s="255">
        <v>116</v>
      </c>
      <c r="D180" s="255">
        <v>5</v>
      </c>
      <c r="E180" s="262">
        <v>0</v>
      </c>
      <c r="G180" s="265" t="s">
        <v>831</v>
      </c>
      <c r="H180" s="255">
        <v>10</v>
      </c>
      <c r="I180" s="247">
        <f t="shared" si="107"/>
        <v>126</v>
      </c>
      <c r="L180" s="253">
        <v>6375</v>
      </c>
      <c r="N180" s="250">
        <f t="shared" si="108"/>
        <v>6375</v>
      </c>
      <c r="O180" s="250">
        <f t="shared" si="109"/>
        <v>53.125</v>
      </c>
      <c r="P180" s="250">
        <f t="shared" si="110"/>
        <v>637.5</v>
      </c>
      <c r="Q180" s="247">
        <f t="shared" si="111"/>
        <v>0</v>
      </c>
      <c r="R180" s="250">
        <f t="shared" si="112"/>
        <v>637.5</v>
      </c>
      <c r="S180" s="260">
        <v>1</v>
      </c>
      <c r="T180" s="250">
        <f t="shared" si="113"/>
        <v>637.5</v>
      </c>
      <c r="V180" s="250">
        <f t="shared" si="114"/>
        <v>4568.7500000000027</v>
      </c>
      <c r="W180" s="250">
        <f t="shared" si="115"/>
        <v>4568.7500000000027</v>
      </c>
      <c r="X180" s="260">
        <v>1</v>
      </c>
      <c r="Y180" s="250">
        <f t="shared" si="116"/>
        <v>4568.7500000000027</v>
      </c>
      <c r="Z180" s="250">
        <f t="shared" si="117"/>
        <v>5206.2500000000027</v>
      </c>
      <c r="AA180" s="250">
        <f t="shared" si="100"/>
        <v>1487.4999999999973</v>
      </c>
      <c r="AB180" s="250">
        <f t="shared" si="106"/>
        <v>1168.7499999999973</v>
      </c>
      <c r="AC180" s="259">
        <f t="shared" si="118"/>
        <v>116.33333333333333</v>
      </c>
      <c r="AD180" s="247">
        <f t="shared" si="119"/>
        <v>124.5</v>
      </c>
      <c r="AE180" s="259">
        <f t="shared" si="120"/>
        <v>126.33333333333333</v>
      </c>
      <c r="AF180" s="247">
        <f t="shared" si="121"/>
        <v>123.5</v>
      </c>
      <c r="AG180" s="258">
        <f t="shared" si="122"/>
        <v>-8.3333333333333329E-2</v>
      </c>
    </row>
    <row r="181" spans="1:33">
      <c r="A181" s="472"/>
      <c r="B181" s="255" t="s">
        <v>495</v>
      </c>
      <c r="C181" s="255">
        <v>116</v>
      </c>
      <c r="D181" s="255">
        <v>5</v>
      </c>
      <c r="E181" s="262">
        <v>0</v>
      </c>
      <c r="G181" s="265" t="s">
        <v>831</v>
      </c>
      <c r="H181" s="255">
        <v>10</v>
      </c>
      <c r="I181" s="247">
        <f t="shared" si="107"/>
        <v>126</v>
      </c>
      <c r="L181" s="253">
        <v>8040</v>
      </c>
      <c r="N181" s="250">
        <f t="shared" si="108"/>
        <v>8040</v>
      </c>
      <c r="O181" s="250">
        <f t="shared" si="109"/>
        <v>67</v>
      </c>
      <c r="P181" s="250">
        <f t="shared" si="110"/>
        <v>804</v>
      </c>
      <c r="Q181" s="247">
        <f t="shared" si="111"/>
        <v>0</v>
      </c>
      <c r="R181" s="250">
        <f t="shared" si="112"/>
        <v>804</v>
      </c>
      <c r="S181" s="260">
        <v>1</v>
      </c>
      <c r="T181" s="250">
        <f t="shared" si="113"/>
        <v>804</v>
      </c>
      <c r="V181" s="250">
        <f t="shared" si="114"/>
        <v>5762.0000000000036</v>
      </c>
      <c r="W181" s="250">
        <f t="shared" si="115"/>
        <v>5762.0000000000036</v>
      </c>
      <c r="X181" s="260">
        <v>1</v>
      </c>
      <c r="Y181" s="250">
        <f t="shared" si="116"/>
        <v>5762.0000000000036</v>
      </c>
      <c r="Z181" s="250">
        <f t="shared" si="117"/>
        <v>6566.0000000000036</v>
      </c>
      <c r="AA181" s="250">
        <f t="shared" si="100"/>
        <v>1875.9999999999964</v>
      </c>
      <c r="AB181" s="250">
        <f t="shared" si="106"/>
        <v>1473.9999999999964</v>
      </c>
      <c r="AC181" s="259">
        <f t="shared" si="118"/>
        <v>116.33333333333333</v>
      </c>
      <c r="AD181" s="247">
        <f t="shared" si="119"/>
        <v>124.5</v>
      </c>
      <c r="AE181" s="259">
        <f t="shared" si="120"/>
        <v>126.33333333333333</v>
      </c>
      <c r="AF181" s="247">
        <f t="shared" si="121"/>
        <v>123.5</v>
      </c>
      <c r="AG181" s="258">
        <f t="shared" si="122"/>
        <v>-8.3333333333333329E-2</v>
      </c>
    </row>
    <row r="182" spans="1:33">
      <c r="A182" s="472"/>
      <c r="B182" s="255" t="s">
        <v>495</v>
      </c>
      <c r="C182" s="255">
        <v>116</v>
      </c>
      <c r="D182" s="255">
        <v>6</v>
      </c>
      <c r="E182" s="262">
        <v>0</v>
      </c>
      <c r="G182" s="265" t="s">
        <v>831</v>
      </c>
      <c r="H182" s="255">
        <v>10</v>
      </c>
      <c r="I182" s="247">
        <f t="shared" si="107"/>
        <v>126</v>
      </c>
      <c r="L182" s="253">
        <v>7245</v>
      </c>
      <c r="N182" s="250">
        <f t="shared" si="108"/>
        <v>7245</v>
      </c>
      <c r="O182" s="250">
        <f t="shared" si="109"/>
        <v>60.375</v>
      </c>
      <c r="P182" s="250">
        <f t="shared" si="110"/>
        <v>724.5</v>
      </c>
      <c r="Q182" s="247">
        <f t="shared" si="111"/>
        <v>0</v>
      </c>
      <c r="R182" s="250">
        <f t="shared" si="112"/>
        <v>724.5</v>
      </c>
      <c r="S182" s="260">
        <v>1</v>
      </c>
      <c r="T182" s="250">
        <f t="shared" si="113"/>
        <v>724.5</v>
      </c>
      <c r="V182" s="250">
        <f t="shared" si="114"/>
        <v>5131.8749999999964</v>
      </c>
      <c r="W182" s="250">
        <f t="shared" si="115"/>
        <v>5131.8749999999964</v>
      </c>
      <c r="X182" s="260">
        <v>1</v>
      </c>
      <c r="Y182" s="250">
        <f t="shared" si="116"/>
        <v>5131.8749999999964</v>
      </c>
      <c r="Z182" s="250">
        <f t="shared" si="117"/>
        <v>5856.3749999999964</v>
      </c>
      <c r="AA182" s="250">
        <f t="shared" si="100"/>
        <v>1750.8750000000036</v>
      </c>
      <c r="AB182" s="250">
        <f t="shared" si="106"/>
        <v>1388.6250000000036</v>
      </c>
      <c r="AC182" s="259">
        <f t="shared" si="118"/>
        <v>116.41666666666667</v>
      </c>
      <c r="AD182" s="247">
        <f t="shared" si="119"/>
        <v>124.5</v>
      </c>
      <c r="AE182" s="259">
        <f t="shared" si="120"/>
        <v>126.41666666666667</v>
      </c>
      <c r="AF182" s="247">
        <f t="shared" si="121"/>
        <v>123.5</v>
      </c>
      <c r="AG182" s="258">
        <f t="shared" si="122"/>
        <v>-8.3333333333333329E-2</v>
      </c>
    </row>
    <row r="183" spans="1:33">
      <c r="A183" s="472"/>
      <c r="B183" s="255" t="s">
        <v>498</v>
      </c>
      <c r="C183" s="255">
        <v>117</v>
      </c>
      <c r="D183" s="255">
        <v>5</v>
      </c>
      <c r="E183" s="262">
        <v>0</v>
      </c>
      <c r="G183" s="265" t="s">
        <v>831</v>
      </c>
      <c r="H183" s="255">
        <v>10</v>
      </c>
      <c r="I183" s="247">
        <f t="shared" si="107"/>
        <v>127</v>
      </c>
      <c r="L183" s="253">
        <v>8687</v>
      </c>
      <c r="N183" s="250">
        <f t="shared" si="108"/>
        <v>8687</v>
      </c>
      <c r="O183" s="250">
        <f t="shared" si="109"/>
        <v>72.391666666666666</v>
      </c>
      <c r="P183" s="250">
        <f t="shared" si="110"/>
        <v>868.7</v>
      </c>
      <c r="Q183" s="247">
        <f t="shared" si="111"/>
        <v>0</v>
      </c>
      <c r="R183" s="250">
        <f t="shared" si="112"/>
        <v>868.7</v>
      </c>
      <c r="S183" s="260">
        <v>1</v>
      </c>
      <c r="T183" s="250">
        <f t="shared" si="113"/>
        <v>868.7</v>
      </c>
      <c r="V183" s="250">
        <f t="shared" si="114"/>
        <v>5356.9833333333372</v>
      </c>
      <c r="W183" s="250">
        <f t="shared" si="115"/>
        <v>5356.9833333333372</v>
      </c>
      <c r="X183" s="260">
        <v>1</v>
      </c>
      <c r="Y183" s="250">
        <f t="shared" si="116"/>
        <v>5356.9833333333372</v>
      </c>
      <c r="Z183" s="250">
        <f t="shared" si="117"/>
        <v>6225.683333333337</v>
      </c>
      <c r="AA183" s="250">
        <f t="shared" si="100"/>
        <v>2895.6666666666629</v>
      </c>
      <c r="AB183" s="250">
        <f t="shared" si="106"/>
        <v>2461.316666666663</v>
      </c>
      <c r="AC183" s="259">
        <f t="shared" si="118"/>
        <v>117.33333333333333</v>
      </c>
      <c r="AD183" s="247">
        <f t="shared" si="119"/>
        <v>124.5</v>
      </c>
      <c r="AE183" s="259">
        <f t="shared" si="120"/>
        <v>127.33333333333333</v>
      </c>
      <c r="AF183" s="247">
        <f t="shared" si="121"/>
        <v>123.5</v>
      </c>
      <c r="AG183" s="258">
        <f t="shared" si="122"/>
        <v>-8.3333333333333329E-2</v>
      </c>
    </row>
    <row r="184" spans="1:33">
      <c r="A184" s="472"/>
      <c r="B184" s="255" t="s">
        <v>498</v>
      </c>
      <c r="C184" s="255">
        <v>118</v>
      </c>
      <c r="D184" s="255">
        <v>5</v>
      </c>
      <c r="E184" s="262">
        <v>0</v>
      </c>
      <c r="G184" s="265" t="s">
        <v>831</v>
      </c>
      <c r="H184" s="255">
        <v>10</v>
      </c>
      <c r="I184" s="247">
        <f t="shared" ref="I184:I198" si="123">C184+H184</f>
        <v>128</v>
      </c>
      <c r="L184" s="253">
        <v>7290</v>
      </c>
      <c r="N184" s="250">
        <f t="shared" ref="N184:N198" si="124">L184-L184*E184</f>
        <v>7290</v>
      </c>
      <c r="O184" s="250">
        <f t="shared" ref="O184:O198" si="125">N184/H184/12</f>
        <v>60.75</v>
      </c>
      <c r="P184" s="250">
        <f t="shared" si="110"/>
        <v>729</v>
      </c>
      <c r="Q184" s="247">
        <f t="shared" ref="Q184:Q198" si="126">IF(M184=0,0,IF(AND(AG184&gt;=AF184,AG184&lt;=AE184),((AG184-AF184)*12)*O184,0))</f>
        <v>0</v>
      </c>
      <c r="R184" s="250">
        <f t="shared" ref="R184:R198" si="127">IF(Q184&gt;0,Q184,P184)</f>
        <v>729</v>
      </c>
      <c r="S184" s="260">
        <v>1</v>
      </c>
      <c r="T184" s="250">
        <f t="shared" ref="T184:T198" si="128">S184*SUM(P184:Q184)</f>
        <v>729</v>
      </c>
      <c r="V184" s="250">
        <f t="shared" ref="V184:V198" si="129">IF(AC184&gt;AD184,0,IF(AE184&lt;AF184,N184,IF(AND(AE184&gt;=AF184,AE184&lt;=AD184),(N184-R184),IF(AND(AF184&lt;=AC184,AD184&gt;=AC184),0,IF(AE184&gt;AD184,((AF184-AC184)*12)*O184,0)))))</f>
        <v>3766.5000000000036</v>
      </c>
      <c r="W184" s="250">
        <f t="shared" ref="W184:W198" si="130">V184*S184</f>
        <v>3766.5000000000036</v>
      </c>
      <c r="X184" s="260">
        <v>1</v>
      </c>
      <c r="Y184" s="250">
        <f t="shared" ref="Y184:Y198" si="131">W184*X184</f>
        <v>3766.5000000000036</v>
      </c>
      <c r="Z184" s="250">
        <f t="shared" ref="Z184:Z198" si="132">IF(M184&gt;0,0,Y184+T184*X184)*X184</f>
        <v>4495.5000000000036</v>
      </c>
      <c r="AA184" s="250">
        <f t="shared" si="100"/>
        <v>3158.9999999999964</v>
      </c>
      <c r="AB184" s="250">
        <f t="shared" ref="AB184:AB198" si="133">L184-Z184</f>
        <v>2794.4999999999964</v>
      </c>
      <c r="AC184" s="259">
        <f t="shared" si="118"/>
        <v>118.33333333333333</v>
      </c>
      <c r="AD184" s="247">
        <f t="shared" si="119"/>
        <v>124.5</v>
      </c>
      <c r="AE184" s="259">
        <f t="shared" si="120"/>
        <v>128.33333333333334</v>
      </c>
      <c r="AF184" s="247">
        <f t="shared" si="121"/>
        <v>123.5</v>
      </c>
      <c r="AG184" s="258">
        <f t="shared" si="122"/>
        <v>-8.3333333333333329E-2</v>
      </c>
    </row>
    <row r="185" spans="1:33" s="472" customFormat="1">
      <c r="B185" s="513" t="s">
        <v>494</v>
      </c>
      <c r="C185" s="513">
        <v>119</v>
      </c>
      <c r="D185" s="513">
        <v>4</v>
      </c>
      <c r="E185" s="498">
        <v>0</v>
      </c>
      <c r="G185" s="753" t="s">
        <v>831</v>
      </c>
      <c r="H185" s="513">
        <v>10</v>
      </c>
      <c r="I185" s="472">
        <f t="shared" si="123"/>
        <v>129</v>
      </c>
      <c r="L185" s="461">
        <v>7156</v>
      </c>
      <c r="N185" s="755">
        <f t="shared" si="124"/>
        <v>7156</v>
      </c>
      <c r="O185" s="755">
        <f t="shared" si="125"/>
        <v>59.633333333333333</v>
      </c>
      <c r="P185" s="755">
        <f t="shared" si="110"/>
        <v>715.6</v>
      </c>
      <c r="Q185" s="472">
        <f t="shared" si="126"/>
        <v>0</v>
      </c>
      <c r="R185" s="755">
        <f t="shared" si="127"/>
        <v>715.6</v>
      </c>
      <c r="S185" s="756">
        <v>1</v>
      </c>
      <c r="T185" s="755">
        <f t="shared" si="128"/>
        <v>715.6</v>
      </c>
      <c r="V185" s="755">
        <f t="shared" si="129"/>
        <v>3041.3</v>
      </c>
      <c r="W185" s="755">
        <f t="shared" si="130"/>
        <v>3041.3</v>
      </c>
      <c r="X185" s="756">
        <v>1</v>
      </c>
      <c r="Y185" s="755">
        <f t="shared" si="131"/>
        <v>3041.3</v>
      </c>
      <c r="Z185" s="755">
        <f t="shared" si="132"/>
        <v>3756.9</v>
      </c>
      <c r="AA185" s="755">
        <f t="shared" si="100"/>
        <v>3756.8999999999996</v>
      </c>
      <c r="AB185" s="755">
        <f t="shared" si="133"/>
        <v>3399.1</v>
      </c>
      <c r="AC185" s="757">
        <f t="shared" si="118"/>
        <v>119.25</v>
      </c>
      <c r="AD185" s="472">
        <f t="shared" si="119"/>
        <v>124.5</v>
      </c>
      <c r="AE185" s="757">
        <f t="shared" si="120"/>
        <v>129.25</v>
      </c>
      <c r="AF185" s="472">
        <f t="shared" si="121"/>
        <v>123.5</v>
      </c>
      <c r="AG185" s="758">
        <f t="shared" si="122"/>
        <v>-8.3333333333333329E-2</v>
      </c>
    </row>
    <row r="186" spans="1:33" s="472" customFormat="1">
      <c r="B186" s="513" t="s">
        <v>498</v>
      </c>
      <c r="C186" s="513">
        <v>119</v>
      </c>
      <c r="D186" s="513">
        <v>4</v>
      </c>
      <c r="E186" s="498">
        <v>0</v>
      </c>
      <c r="G186" s="753" t="s">
        <v>831</v>
      </c>
      <c r="H186" s="513">
        <v>10</v>
      </c>
      <c r="I186" s="472">
        <f t="shared" si="123"/>
        <v>129</v>
      </c>
      <c r="L186" s="461">
        <v>8319</v>
      </c>
      <c r="N186" s="755">
        <f t="shared" si="124"/>
        <v>8319</v>
      </c>
      <c r="O186" s="755">
        <f t="shared" si="125"/>
        <v>69.325000000000003</v>
      </c>
      <c r="P186" s="755">
        <f t="shared" si="110"/>
        <v>831.90000000000009</v>
      </c>
      <c r="Q186" s="472">
        <f t="shared" si="126"/>
        <v>0</v>
      </c>
      <c r="R186" s="755">
        <f t="shared" si="127"/>
        <v>831.90000000000009</v>
      </c>
      <c r="S186" s="756">
        <v>1</v>
      </c>
      <c r="T186" s="755">
        <f t="shared" si="128"/>
        <v>831.90000000000009</v>
      </c>
      <c r="V186" s="755">
        <f t="shared" si="129"/>
        <v>3535.5750000000003</v>
      </c>
      <c r="W186" s="755">
        <f t="shared" si="130"/>
        <v>3535.5750000000003</v>
      </c>
      <c r="X186" s="756">
        <v>1</v>
      </c>
      <c r="Y186" s="755">
        <f t="shared" si="131"/>
        <v>3535.5750000000003</v>
      </c>
      <c r="Z186" s="755">
        <f t="shared" si="132"/>
        <v>4367.4750000000004</v>
      </c>
      <c r="AA186" s="755">
        <f t="shared" si="100"/>
        <v>4367.4749999999995</v>
      </c>
      <c r="AB186" s="755">
        <f t="shared" si="133"/>
        <v>3951.5249999999996</v>
      </c>
      <c r="AC186" s="757">
        <f t="shared" si="118"/>
        <v>119.25</v>
      </c>
      <c r="AD186" s="472">
        <f t="shared" si="119"/>
        <v>124.5</v>
      </c>
      <c r="AE186" s="757">
        <f t="shared" si="120"/>
        <v>129.25</v>
      </c>
      <c r="AF186" s="472">
        <f t="shared" si="121"/>
        <v>123.5</v>
      </c>
      <c r="AG186" s="758">
        <f t="shared" si="122"/>
        <v>-8.3333333333333329E-2</v>
      </c>
    </row>
    <row r="187" spans="1:33" s="472" customFormat="1">
      <c r="B187" s="513" t="s">
        <v>499</v>
      </c>
      <c r="C187" s="513">
        <v>119</v>
      </c>
      <c r="D187" s="513">
        <v>4</v>
      </c>
      <c r="E187" s="498">
        <v>0</v>
      </c>
      <c r="G187" s="753" t="s">
        <v>831</v>
      </c>
      <c r="H187" s="513">
        <v>10</v>
      </c>
      <c r="I187" s="472">
        <f t="shared" si="123"/>
        <v>129</v>
      </c>
      <c r="L187" s="461">
        <v>3265</v>
      </c>
      <c r="N187" s="755">
        <f t="shared" si="124"/>
        <v>3265</v>
      </c>
      <c r="O187" s="755">
        <f t="shared" si="125"/>
        <v>27.208333333333332</v>
      </c>
      <c r="P187" s="755">
        <f t="shared" si="110"/>
        <v>326.5</v>
      </c>
      <c r="Q187" s="472">
        <f t="shared" si="126"/>
        <v>0</v>
      </c>
      <c r="R187" s="755">
        <f t="shared" si="127"/>
        <v>326.5</v>
      </c>
      <c r="S187" s="756">
        <v>1</v>
      </c>
      <c r="T187" s="755">
        <f t="shared" si="128"/>
        <v>326.5</v>
      </c>
      <c r="V187" s="755">
        <f t="shared" si="129"/>
        <v>1387.625</v>
      </c>
      <c r="W187" s="755">
        <f t="shared" si="130"/>
        <v>1387.625</v>
      </c>
      <c r="X187" s="756">
        <v>1</v>
      </c>
      <c r="Y187" s="755">
        <f t="shared" si="131"/>
        <v>1387.625</v>
      </c>
      <c r="Z187" s="755">
        <f t="shared" si="132"/>
        <v>1714.125</v>
      </c>
      <c r="AA187" s="755">
        <f t="shared" si="100"/>
        <v>1714.125</v>
      </c>
      <c r="AB187" s="755">
        <f t="shared" si="133"/>
        <v>1550.875</v>
      </c>
      <c r="AC187" s="757">
        <f t="shared" si="118"/>
        <v>119.25</v>
      </c>
      <c r="AD187" s="472">
        <f t="shared" si="119"/>
        <v>124.5</v>
      </c>
      <c r="AE187" s="757">
        <f t="shared" si="120"/>
        <v>129.25</v>
      </c>
      <c r="AF187" s="472">
        <f t="shared" si="121"/>
        <v>123.5</v>
      </c>
      <c r="AG187" s="758">
        <f t="shared" si="122"/>
        <v>-8.3333333333333329E-2</v>
      </c>
    </row>
    <row r="188" spans="1:33" s="472" customFormat="1">
      <c r="B188" s="513" t="s">
        <v>500</v>
      </c>
      <c r="C188" s="513">
        <v>119</v>
      </c>
      <c r="D188" s="513">
        <v>4</v>
      </c>
      <c r="E188" s="498">
        <v>0</v>
      </c>
      <c r="G188" s="753" t="s">
        <v>831</v>
      </c>
      <c r="H188" s="513">
        <v>10</v>
      </c>
      <c r="I188" s="472">
        <f t="shared" si="123"/>
        <v>129</v>
      </c>
      <c r="L188" s="461">
        <v>15955</v>
      </c>
      <c r="N188" s="755">
        <f t="shared" si="124"/>
        <v>15955</v>
      </c>
      <c r="O188" s="755">
        <f t="shared" si="125"/>
        <v>132.95833333333334</v>
      </c>
      <c r="P188" s="755">
        <f t="shared" ref="P188:P198" si="134">IF(M188&gt;0,0,IF(OR(AC188&gt;AD188,AE188&lt;AF188),0,IF(AND(AE188&gt;=AF188,AE188&lt;=AD188),O188*((AE188-AF188)*12),IF(AND(AF188&lt;=AC188,AD188&gt;=AC188),((AD188-AC188)*12)*O188,IF(AE188&gt;AD188,12*O188,0)))))</f>
        <v>1595.5</v>
      </c>
      <c r="Q188" s="472">
        <f t="shared" si="126"/>
        <v>0</v>
      </c>
      <c r="R188" s="755">
        <f t="shared" si="127"/>
        <v>1595.5</v>
      </c>
      <c r="S188" s="756">
        <v>1</v>
      </c>
      <c r="T188" s="755">
        <f t="shared" si="128"/>
        <v>1595.5</v>
      </c>
      <c r="V188" s="755">
        <f t="shared" si="129"/>
        <v>6780.8750000000009</v>
      </c>
      <c r="W188" s="755">
        <f t="shared" si="130"/>
        <v>6780.8750000000009</v>
      </c>
      <c r="X188" s="756">
        <v>1</v>
      </c>
      <c r="Y188" s="755">
        <f t="shared" si="131"/>
        <v>6780.8750000000009</v>
      </c>
      <c r="Z188" s="755">
        <f t="shared" si="132"/>
        <v>8376.375</v>
      </c>
      <c r="AA188" s="755">
        <f t="shared" si="100"/>
        <v>8376.375</v>
      </c>
      <c r="AB188" s="755">
        <f t="shared" si="133"/>
        <v>7578.625</v>
      </c>
      <c r="AC188" s="757">
        <f t="shared" si="118"/>
        <v>119.25</v>
      </c>
      <c r="AD188" s="472">
        <f t="shared" si="119"/>
        <v>124.5</v>
      </c>
      <c r="AE188" s="757">
        <f t="shared" si="120"/>
        <v>129.25</v>
      </c>
      <c r="AF188" s="472">
        <f t="shared" si="121"/>
        <v>123.5</v>
      </c>
      <c r="AG188" s="758">
        <f t="shared" si="122"/>
        <v>-8.3333333333333329E-2</v>
      </c>
    </row>
    <row r="189" spans="1:33" s="472" customFormat="1">
      <c r="B189" s="513" t="s">
        <v>501</v>
      </c>
      <c r="C189" s="513">
        <v>119</v>
      </c>
      <c r="D189" s="513">
        <v>6</v>
      </c>
      <c r="E189" s="498">
        <v>0</v>
      </c>
      <c r="G189" s="753" t="s">
        <v>831</v>
      </c>
      <c r="H189" s="513">
        <v>10</v>
      </c>
      <c r="I189" s="472">
        <f t="shared" si="123"/>
        <v>129</v>
      </c>
      <c r="L189" s="461">
        <v>10579</v>
      </c>
      <c r="N189" s="755">
        <f t="shared" si="124"/>
        <v>10579</v>
      </c>
      <c r="O189" s="755">
        <f t="shared" si="125"/>
        <v>88.158333333333346</v>
      </c>
      <c r="P189" s="755">
        <f t="shared" si="134"/>
        <v>1057.9000000000001</v>
      </c>
      <c r="Q189" s="472">
        <f t="shared" si="126"/>
        <v>0</v>
      </c>
      <c r="R189" s="755">
        <f t="shared" si="127"/>
        <v>1057.9000000000001</v>
      </c>
      <c r="S189" s="756">
        <v>1</v>
      </c>
      <c r="T189" s="755">
        <f t="shared" si="128"/>
        <v>1057.9000000000001</v>
      </c>
      <c r="V189" s="755">
        <f t="shared" si="129"/>
        <v>4319.7583333333287</v>
      </c>
      <c r="W189" s="755">
        <f t="shared" si="130"/>
        <v>4319.7583333333287</v>
      </c>
      <c r="X189" s="756">
        <v>1</v>
      </c>
      <c r="Y189" s="755">
        <f t="shared" si="131"/>
        <v>4319.7583333333287</v>
      </c>
      <c r="Z189" s="755">
        <f t="shared" si="132"/>
        <v>5377.6583333333292</v>
      </c>
      <c r="AA189" s="755">
        <f t="shared" si="100"/>
        <v>5730.2916666666715</v>
      </c>
      <c r="AB189" s="755">
        <f t="shared" si="133"/>
        <v>5201.3416666666708</v>
      </c>
      <c r="AC189" s="757">
        <f t="shared" si="118"/>
        <v>119.41666666666667</v>
      </c>
      <c r="AD189" s="472">
        <f t="shared" si="119"/>
        <v>124.5</v>
      </c>
      <c r="AE189" s="757">
        <f t="shared" si="120"/>
        <v>129.41666666666666</v>
      </c>
      <c r="AF189" s="472">
        <f t="shared" si="121"/>
        <v>123.5</v>
      </c>
      <c r="AG189" s="758">
        <f t="shared" si="122"/>
        <v>-8.3333333333333329E-2</v>
      </c>
    </row>
    <row r="190" spans="1:33" s="472" customFormat="1">
      <c r="B190" s="513" t="s">
        <v>502</v>
      </c>
      <c r="C190" s="513">
        <v>120</v>
      </c>
      <c r="D190" s="513">
        <v>4</v>
      </c>
      <c r="E190" s="498">
        <v>0</v>
      </c>
      <c r="G190" s="753" t="s">
        <v>831</v>
      </c>
      <c r="H190" s="513">
        <v>10</v>
      </c>
      <c r="I190" s="472">
        <f t="shared" si="123"/>
        <v>130</v>
      </c>
      <c r="L190" s="461">
        <v>9645</v>
      </c>
      <c r="N190" s="755">
        <f t="shared" si="124"/>
        <v>9645</v>
      </c>
      <c r="O190" s="755">
        <f t="shared" si="125"/>
        <v>80.375</v>
      </c>
      <c r="P190" s="755">
        <f t="shared" si="134"/>
        <v>964.5</v>
      </c>
      <c r="Q190" s="472">
        <f t="shared" si="126"/>
        <v>0</v>
      </c>
      <c r="R190" s="755">
        <f t="shared" si="127"/>
        <v>964.5</v>
      </c>
      <c r="S190" s="756">
        <v>1</v>
      </c>
      <c r="T190" s="755">
        <f t="shared" si="128"/>
        <v>964.5</v>
      </c>
      <c r="V190" s="755">
        <f t="shared" si="129"/>
        <v>3134.625</v>
      </c>
      <c r="W190" s="755">
        <f t="shared" si="130"/>
        <v>3134.625</v>
      </c>
      <c r="X190" s="756">
        <v>1</v>
      </c>
      <c r="Y190" s="755">
        <f t="shared" si="131"/>
        <v>3134.625</v>
      </c>
      <c r="Z190" s="755">
        <f t="shared" si="132"/>
        <v>4099.125</v>
      </c>
      <c r="AA190" s="755">
        <f t="shared" si="100"/>
        <v>6028.125</v>
      </c>
      <c r="AB190" s="755">
        <f t="shared" si="133"/>
        <v>5545.875</v>
      </c>
      <c r="AC190" s="757">
        <f t="shared" si="118"/>
        <v>120.25</v>
      </c>
      <c r="AD190" s="472">
        <f t="shared" si="119"/>
        <v>124.5</v>
      </c>
      <c r="AE190" s="757">
        <f t="shared" si="120"/>
        <v>130.25</v>
      </c>
      <c r="AF190" s="472">
        <f t="shared" si="121"/>
        <v>123.5</v>
      </c>
      <c r="AG190" s="758">
        <f t="shared" si="122"/>
        <v>-8.3333333333333329E-2</v>
      </c>
    </row>
    <row r="191" spans="1:33" s="472" customFormat="1">
      <c r="B191" s="513" t="s">
        <v>487</v>
      </c>
      <c r="C191" s="513">
        <v>120</v>
      </c>
      <c r="D191" s="513">
        <v>4</v>
      </c>
      <c r="E191" s="498">
        <v>0</v>
      </c>
      <c r="G191" s="753" t="s">
        <v>831</v>
      </c>
      <c r="H191" s="513">
        <v>10</v>
      </c>
      <c r="I191" s="472">
        <f t="shared" si="123"/>
        <v>130</v>
      </c>
      <c r="L191" s="461">
        <v>2735</v>
      </c>
      <c r="N191" s="755">
        <f t="shared" si="124"/>
        <v>2735</v>
      </c>
      <c r="O191" s="755">
        <f t="shared" si="125"/>
        <v>22.791666666666668</v>
      </c>
      <c r="P191" s="755">
        <f t="shared" si="134"/>
        <v>273.5</v>
      </c>
      <c r="Q191" s="472">
        <f t="shared" si="126"/>
        <v>0</v>
      </c>
      <c r="R191" s="755">
        <f t="shared" si="127"/>
        <v>273.5</v>
      </c>
      <c r="S191" s="756">
        <v>1</v>
      </c>
      <c r="T191" s="755">
        <f t="shared" si="128"/>
        <v>273.5</v>
      </c>
      <c r="V191" s="755">
        <f t="shared" si="129"/>
        <v>888.875</v>
      </c>
      <c r="W191" s="755">
        <f t="shared" si="130"/>
        <v>888.875</v>
      </c>
      <c r="X191" s="756">
        <v>1</v>
      </c>
      <c r="Y191" s="755">
        <f t="shared" si="131"/>
        <v>888.875</v>
      </c>
      <c r="Z191" s="755">
        <f t="shared" si="132"/>
        <v>1162.375</v>
      </c>
      <c r="AA191" s="755">
        <f t="shared" si="100"/>
        <v>1709.375</v>
      </c>
      <c r="AB191" s="755">
        <f t="shared" si="133"/>
        <v>1572.625</v>
      </c>
      <c r="AC191" s="757">
        <f t="shared" si="118"/>
        <v>120.25</v>
      </c>
      <c r="AD191" s="472">
        <f t="shared" si="119"/>
        <v>124.5</v>
      </c>
      <c r="AE191" s="757">
        <f t="shared" si="120"/>
        <v>130.25</v>
      </c>
      <c r="AF191" s="472">
        <f t="shared" si="121"/>
        <v>123.5</v>
      </c>
      <c r="AG191" s="758">
        <f t="shared" si="122"/>
        <v>-8.3333333333333329E-2</v>
      </c>
    </row>
    <row r="192" spans="1:33" s="472" customFormat="1">
      <c r="B192" s="513" t="s">
        <v>501</v>
      </c>
      <c r="C192" s="513">
        <v>120</v>
      </c>
      <c r="D192" s="513">
        <v>6</v>
      </c>
      <c r="E192" s="498">
        <v>0</v>
      </c>
      <c r="G192" s="753" t="s">
        <v>831</v>
      </c>
      <c r="H192" s="513">
        <v>10</v>
      </c>
      <c r="I192" s="472">
        <f t="shared" si="123"/>
        <v>130</v>
      </c>
      <c r="L192" s="461">
        <v>9348</v>
      </c>
      <c r="N192" s="755">
        <f t="shared" si="124"/>
        <v>9348</v>
      </c>
      <c r="O192" s="755">
        <f t="shared" si="125"/>
        <v>77.899999999999991</v>
      </c>
      <c r="P192" s="755">
        <f t="shared" si="134"/>
        <v>934.8</v>
      </c>
      <c r="Q192" s="472">
        <f t="shared" si="126"/>
        <v>0</v>
      </c>
      <c r="R192" s="755">
        <f t="shared" si="127"/>
        <v>934.8</v>
      </c>
      <c r="S192" s="756">
        <v>1</v>
      </c>
      <c r="T192" s="755">
        <f t="shared" si="128"/>
        <v>934.8</v>
      </c>
      <c r="V192" s="755">
        <f t="shared" si="129"/>
        <v>2882.2999999999952</v>
      </c>
      <c r="W192" s="755">
        <f t="shared" si="130"/>
        <v>2882.2999999999952</v>
      </c>
      <c r="X192" s="756">
        <v>1</v>
      </c>
      <c r="Y192" s="755">
        <f t="shared" si="131"/>
        <v>2882.2999999999952</v>
      </c>
      <c r="Z192" s="755">
        <f t="shared" si="132"/>
        <v>3817.0999999999949</v>
      </c>
      <c r="AA192" s="755">
        <f t="shared" si="100"/>
        <v>5998.3000000000047</v>
      </c>
      <c r="AB192" s="755">
        <f t="shared" si="133"/>
        <v>5530.9000000000051</v>
      </c>
      <c r="AC192" s="757">
        <f t="shared" si="118"/>
        <v>120.41666666666667</v>
      </c>
      <c r="AD192" s="472">
        <f t="shared" si="119"/>
        <v>124.5</v>
      </c>
      <c r="AE192" s="757">
        <f t="shared" si="120"/>
        <v>130.41666666666666</v>
      </c>
      <c r="AF192" s="472">
        <f t="shared" si="121"/>
        <v>123.5</v>
      </c>
      <c r="AG192" s="758">
        <f t="shared" si="122"/>
        <v>-8.3333333333333329E-2</v>
      </c>
    </row>
    <row r="193" spans="2:33" s="472" customFormat="1">
      <c r="B193" s="513" t="s">
        <v>503</v>
      </c>
      <c r="C193" s="513">
        <v>121</v>
      </c>
      <c r="D193" s="513">
        <v>4</v>
      </c>
      <c r="E193" s="498">
        <v>0</v>
      </c>
      <c r="G193" s="753" t="s">
        <v>831</v>
      </c>
      <c r="H193" s="513">
        <v>10</v>
      </c>
      <c r="I193" s="472">
        <f t="shared" si="123"/>
        <v>131</v>
      </c>
      <c r="L193" s="461">
        <v>7836</v>
      </c>
      <c r="N193" s="755">
        <f t="shared" si="124"/>
        <v>7836</v>
      </c>
      <c r="O193" s="755">
        <f t="shared" si="125"/>
        <v>65.3</v>
      </c>
      <c r="P193" s="755">
        <f t="shared" si="134"/>
        <v>783.59999999999991</v>
      </c>
      <c r="Q193" s="472">
        <f t="shared" si="126"/>
        <v>0</v>
      </c>
      <c r="R193" s="755">
        <f t="shared" si="127"/>
        <v>783.59999999999991</v>
      </c>
      <c r="S193" s="756">
        <v>1</v>
      </c>
      <c r="T193" s="755">
        <f t="shared" si="128"/>
        <v>783.59999999999991</v>
      </c>
      <c r="V193" s="755">
        <f t="shared" si="129"/>
        <v>1763.1</v>
      </c>
      <c r="W193" s="755">
        <f t="shared" si="130"/>
        <v>1763.1</v>
      </c>
      <c r="X193" s="756">
        <v>1</v>
      </c>
      <c r="Y193" s="755">
        <f t="shared" si="131"/>
        <v>1763.1</v>
      </c>
      <c r="Z193" s="755">
        <f t="shared" si="132"/>
        <v>2546.6999999999998</v>
      </c>
      <c r="AA193" s="755">
        <f t="shared" si="100"/>
        <v>5681.1</v>
      </c>
      <c r="AB193" s="755">
        <f t="shared" si="133"/>
        <v>5289.3</v>
      </c>
      <c r="AC193" s="757">
        <f t="shared" si="118"/>
        <v>121.25</v>
      </c>
      <c r="AD193" s="472">
        <f t="shared" si="119"/>
        <v>124.5</v>
      </c>
      <c r="AE193" s="757">
        <f t="shared" si="120"/>
        <v>131.25</v>
      </c>
      <c r="AF193" s="472">
        <f t="shared" si="121"/>
        <v>123.5</v>
      </c>
      <c r="AG193" s="758">
        <f t="shared" si="122"/>
        <v>-8.3333333333333329E-2</v>
      </c>
    </row>
    <row r="194" spans="2:33" s="472" customFormat="1">
      <c r="B194" s="513" t="s">
        <v>502</v>
      </c>
      <c r="C194" s="513">
        <v>121</v>
      </c>
      <c r="D194" s="513">
        <v>5</v>
      </c>
      <c r="E194" s="498">
        <v>0</v>
      </c>
      <c r="G194" s="753" t="s">
        <v>831</v>
      </c>
      <c r="H194" s="513">
        <v>10</v>
      </c>
      <c r="I194" s="472">
        <f t="shared" si="123"/>
        <v>131</v>
      </c>
      <c r="L194" s="461">
        <v>12544</v>
      </c>
      <c r="N194" s="755">
        <f t="shared" si="124"/>
        <v>12544</v>
      </c>
      <c r="O194" s="755">
        <f t="shared" si="125"/>
        <v>104.53333333333335</v>
      </c>
      <c r="P194" s="755">
        <f t="shared" si="134"/>
        <v>1254.4000000000001</v>
      </c>
      <c r="Q194" s="472">
        <f t="shared" si="126"/>
        <v>0</v>
      </c>
      <c r="R194" s="755">
        <f t="shared" si="127"/>
        <v>1254.4000000000001</v>
      </c>
      <c r="S194" s="756">
        <v>1</v>
      </c>
      <c r="T194" s="755">
        <f t="shared" si="128"/>
        <v>1254.4000000000001</v>
      </c>
      <c r="V194" s="755">
        <f t="shared" si="129"/>
        <v>2717.8666666666732</v>
      </c>
      <c r="W194" s="755">
        <f t="shared" si="130"/>
        <v>2717.8666666666732</v>
      </c>
      <c r="X194" s="756">
        <v>1</v>
      </c>
      <c r="Y194" s="755">
        <f t="shared" si="131"/>
        <v>2717.8666666666732</v>
      </c>
      <c r="Z194" s="755">
        <f t="shared" si="132"/>
        <v>3972.2666666666732</v>
      </c>
      <c r="AA194" s="755">
        <f t="shared" si="100"/>
        <v>9198.933333333327</v>
      </c>
      <c r="AB194" s="755">
        <f t="shared" si="133"/>
        <v>8571.7333333333263</v>
      </c>
      <c r="AC194" s="757">
        <f t="shared" si="118"/>
        <v>121.33333333333333</v>
      </c>
      <c r="AD194" s="472">
        <f t="shared" si="119"/>
        <v>124.5</v>
      </c>
      <c r="AE194" s="757">
        <f t="shared" si="120"/>
        <v>131.33333333333334</v>
      </c>
      <c r="AF194" s="472">
        <f t="shared" si="121"/>
        <v>123.5</v>
      </c>
      <c r="AG194" s="758">
        <f t="shared" si="122"/>
        <v>-8.3333333333333329E-2</v>
      </c>
    </row>
    <row r="195" spans="2:33" s="472" customFormat="1">
      <c r="B195" s="513" t="s">
        <v>489</v>
      </c>
      <c r="C195" s="513">
        <v>121</v>
      </c>
      <c r="D195" s="513">
        <v>5</v>
      </c>
      <c r="E195" s="498">
        <v>0</v>
      </c>
      <c r="G195" s="753" t="s">
        <v>831</v>
      </c>
      <c r="H195" s="513">
        <v>10</v>
      </c>
      <c r="I195" s="472">
        <f t="shared" si="123"/>
        <v>131</v>
      </c>
      <c r="L195" s="461">
        <v>9309</v>
      </c>
      <c r="N195" s="755">
        <f t="shared" si="124"/>
        <v>9309</v>
      </c>
      <c r="O195" s="755">
        <f t="shared" si="125"/>
        <v>77.575000000000003</v>
      </c>
      <c r="P195" s="755">
        <f t="shared" si="134"/>
        <v>930.90000000000009</v>
      </c>
      <c r="Q195" s="472">
        <f t="shared" si="126"/>
        <v>0</v>
      </c>
      <c r="R195" s="755">
        <f t="shared" si="127"/>
        <v>930.90000000000009</v>
      </c>
      <c r="S195" s="756">
        <v>1</v>
      </c>
      <c r="T195" s="755">
        <f t="shared" si="128"/>
        <v>930.90000000000009</v>
      </c>
      <c r="V195" s="755">
        <f t="shared" si="129"/>
        <v>2016.9500000000046</v>
      </c>
      <c r="W195" s="755">
        <f t="shared" si="130"/>
        <v>2016.9500000000046</v>
      </c>
      <c r="X195" s="756">
        <v>1</v>
      </c>
      <c r="Y195" s="755">
        <f t="shared" si="131"/>
        <v>2016.9500000000046</v>
      </c>
      <c r="Z195" s="755">
        <f t="shared" si="132"/>
        <v>2947.8500000000049</v>
      </c>
      <c r="AA195" s="755">
        <f t="shared" si="100"/>
        <v>6826.5999999999949</v>
      </c>
      <c r="AB195" s="755">
        <f t="shared" si="133"/>
        <v>6361.1499999999951</v>
      </c>
      <c r="AC195" s="757">
        <f t="shared" si="118"/>
        <v>121.33333333333333</v>
      </c>
      <c r="AD195" s="472">
        <f t="shared" si="119"/>
        <v>124.5</v>
      </c>
      <c r="AE195" s="757">
        <f t="shared" si="120"/>
        <v>131.33333333333334</v>
      </c>
      <c r="AF195" s="472">
        <f t="shared" si="121"/>
        <v>123.5</v>
      </c>
      <c r="AG195" s="758">
        <f t="shared" si="122"/>
        <v>-8.3333333333333329E-2</v>
      </c>
    </row>
    <row r="196" spans="2:33" s="472" customFormat="1">
      <c r="B196" s="513" t="s">
        <v>504</v>
      </c>
      <c r="C196" s="513">
        <v>121</v>
      </c>
      <c r="D196" s="513">
        <v>5</v>
      </c>
      <c r="E196" s="498">
        <v>0</v>
      </c>
      <c r="G196" s="753" t="s">
        <v>831</v>
      </c>
      <c r="H196" s="513">
        <v>10</v>
      </c>
      <c r="I196" s="472">
        <f t="shared" si="123"/>
        <v>131</v>
      </c>
      <c r="L196" s="461">
        <v>15751</v>
      </c>
      <c r="N196" s="755">
        <f t="shared" si="124"/>
        <v>15751</v>
      </c>
      <c r="O196" s="755">
        <f t="shared" si="125"/>
        <v>131.25833333333333</v>
      </c>
      <c r="P196" s="755">
        <f t="shared" si="134"/>
        <v>1575.1</v>
      </c>
      <c r="Q196" s="472">
        <f t="shared" si="126"/>
        <v>0</v>
      </c>
      <c r="R196" s="755">
        <f t="shared" si="127"/>
        <v>1575.1</v>
      </c>
      <c r="S196" s="756">
        <v>1</v>
      </c>
      <c r="T196" s="755">
        <f t="shared" si="128"/>
        <v>1575.1</v>
      </c>
      <c r="V196" s="755">
        <f t="shared" si="129"/>
        <v>3412.716666666674</v>
      </c>
      <c r="W196" s="755">
        <f t="shared" si="130"/>
        <v>3412.716666666674</v>
      </c>
      <c r="X196" s="756">
        <v>1</v>
      </c>
      <c r="Y196" s="755">
        <f t="shared" si="131"/>
        <v>3412.716666666674</v>
      </c>
      <c r="Z196" s="755">
        <f t="shared" si="132"/>
        <v>4987.8166666666739</v>
      </c>
      <c r="AA196" s="755">
        <f t="shared" si="100"/>
        <v>11550.733333333326</v>
      </c>
      <c r="AB196" s="755">
        <f t="shared" si="133"/>
        <v>10763.183333333327</v>
      </c>
      <c r="AC196" s="757">
        <f t="shared" si="118"/>
        <v>121.33333333333333</v>
      </c>
      <c r="AD196" s="472">
        <f t="shared" si="119"/>
        <v>124.5</v>
      </c>
      <c r="AE196" s="757">
        <f t="shared" si="120"/>
        <v>131.33333333333334</v>
      </c>
      <c r="AF196" s="472">
        <f t="shared" si="121"/>
        <v>123.5</v>
      </c>
      <c r="AG196" s="758">
        <f t="shared" si="122"/>
        <v>-8.3333333333333329E-2</v>
      </c>
    </row>
    <row r="197" spans="2:33" s="472" customFormat="1">
      <c r="B197" s="513" t="s">
        <v>501</v>
      </c>
      <c r="C197" s="513">
        <v>121</v>
      </c>
      <c r="D197" s="513">
        <v>8</v>
      </c>
      <c r="E197" s="498">
        <v>0</v>
      </c>
      <c r="G197" s="753" t="s">
        <v>831</v>
      </c>
      <c r="H197" s="513">
        <v>10</v>
      </c>
      <c r="I197" s="472">
        <f t="shared" si="123"/>
        <v>131</v>
      </c>
      <c r="L197" s="461">
        <v>2615</v>
      </c>
      <c r="N197" s="755">
        <f t="shared" si="124"/>
        <v>2615</v>
      </c>
      <c r="O197" s="755">
        <f t="shared" si="125"/>
        <v>21.791666666666668</v>
      </c>
      <c r="P197" s="755">
        <f t="shared" si="134"/>
        <v>261.5</v>
      </c>
      <c r="Q197" s="472">
        <f t="shared" si="126"/>
        <v>0</v>
      </c>
      <c r="R197" s="755">
        <f t="shared" si="127"/>
        <v>261.5</v>
      </c>
      <c r="S197" s="756">
        <v>1</v>
      </c>
      <c r="T197" s="755">
        <f t="shared" si="128"/>
        <v>261.5</v>
      </c>
      <c r="V197" s="755">
        <f t="shared" si="129"/>
        <v>501.20833333333462</v>
      </c>
      <c r="W197" s="755">
        <f t="shared" si="130"/>
        <v>501.20833333333462</v>
      </c>
      <c r="X197" s="756">
        <v>1</v>
      </c>
      <c r="Y197" s="755">
        <f t="shared" si="131"/>
        <v>501.20833333333462</v>
      </c>
      <c r="Z197" s="755">
        <f t="shared" si="132"/>
        <v>762.70833333333462</v>
      </c>
      <c r="AA197" s="755">
        <f t="shared" si="100"/>
        <v>1983.0416666666652</v>
      </c>
      <c r="AB197" s="755">
        <f t="shared" si="133"/>
        <v>1852.2916666666654</v>
      </c>
      <c r="AC197" s="757">
        <f t="shared" si="118"/>
        <v>121.58333333333333</v>
      </c>
      <c r="AD197" s="472">
        <f t="shared" si="119"/>
        <v>124.5</v>
      </c>
      <c r="AE197" s="757">
        <f t="shared" si="120"/>
        <v>131.58333333333334</v>
      </c>
      <c r="AF197" s="472">
        <f t="shared" si="121"/>
        <v>123.5</v>
      </c>
      <c r="AG197" s="758">
        <f t="shared" si="122"/>
        <v>-8.3333333333333329E-2</v>
      </c>
    </row>
    <row r="198" spans="2:33" s="472" customFormat="1">
      <c r="B198" s="513" t="s">
        <v>503</v>
      </c>
      <c r="C198" s="513">
        <v>121</v>
      </c>
      <c r="D198" s="513">
        <v>12</v>
      </c>
      <c r="E198" s="498">
        <v>0</v>
      </c>
      <c r="G198" s="753" t="s">
        <v>831</v>
      </c>
      <c r="H198" s="513">
        <v>10</v>
      </c>
      <c r="I198" s="472">
        <f t="shared" si="123"/>
        <v>131</v>
      </c>
      <c r="L198" s="461">
        <v>1170</v>
      </c>
      <c r="N198" s="755">
        <f t="shared" si="124"/>
        <v>1170</v>
      </c>
      <c r="O198" s="755">
        <f t="shared" si="125"/>
        <v>9.75</v>
      </c>
      <c r="P198" s="755">
        <f t="shared" si="134"/>
        <v>117</v>
      </c>
      <c r="Q198" s="472">
        <f t="shared" si="126"/>
        <v>0</v>
      </c>
      <c r="R198" s="755">
        <f t="shared" si="127"/>
        <v>117</v>
      </c>
      <c r="S198" s="756">
        <v>1</v>
      </c>
      <c r="T198" s="755">
        <f t="shared" si="128"/>
        <v>117</v>
      </c>
      <c r="V198" s="755">
        <f t="shared" si="129"/>
        <v>185.24999999999943</v>
      </c>
      <c r="W198" s="755">
        <f t="shared" si="130"/>
        <v>185.24999999999943</v>
      </c>
      <c r="X198" s="756">
        <v>1</v>
      </c>
      <c r="Y198" s="755">
        <f t="shared" si="131"/>
        <v>185.24999999999943</v>
      </c>
      <c r="Z198" s="755">
        <f t="shared" si="132"/>
        <v>302.24999999999943</v>
      </c>
      <c r="AA198" s="755">
        <f t="shared" si="100"/>
        <v>926.25000000000057</v>
      </c>
      <c r="AB198" s="755">
        <f t="shared" si="133"/>
        <v>867.75000000000057</v>
      </c>
      <c r="AC198" s="757">
        <f t="shared" si="118"/>
        <v>121.91666666666667</v>
      </c>
      <c r="AD198" s="472">
        <f t="shared" si="119"/>
        <v>124.5</v>
      </c>
      <c r="AE198" s="757">
        <f t="shared" si="120"/>
        <v>131.91666666666666</v>
      </c>
      <c r="AF198" s="472">
        <f t="shared" si="121"/>
        <v>123.5</v>
      </c>
      <c r="AG198" s="758">
        <f t="shared" si="122"/>
        <v>-8.3333333333333329E-2</v>
      </c>
    </row>
    <row r="199" spans="2:33" s="472" customFormat="1">
      <c r="B199" s="513" t="s">
        <v>501</v>
      </c>
      <c r="C199" s="513">
        <v>122</v>
      </c>
      <c r="D199" s="513">
        <v>3</v>
      </c>
      <c r="E199" s="498">
        <v>0</v>
      </c>
      <c r="G199" s="753" t="s">
        <v>831</v>
      </c>
      <c r="H199" s="513">
        <v>10</v>
      </c>
      <c r="I199" s="472">
        <f t="shared" ref="I199:I204" si="135">C199+H199</f>
        <v>132</v>
      </c>
      <c r="L199" s="461">
        <v>8715.65</v>
      </c>
      <c r="N199" s="755">
        <f t="shared" ref="N199:N204" si="136">L199-L199*E199</f>
        <v>8715.65</v>
      </c>
      <c r="O199" s="755">
        <f t="shared" ref="O199:O204" si="137">N199/H199/12</f>
        <v>72.630416666666662</v>
      </c>
      <c r="P199" s="755">
        <f t="shared" ref="P199:P204" si="138">IF(M199&gt;0,0,IF(OR(AC199&gt;AD199,AE199&lt;AF199),0,IF(AND(AE199&gt;=AF199,AE199&lt;=AD199),O199*((AE199-AF199)*12),IF(AND(AF199&lt;=AC199,AD199&gt;=AC199),((AD199-AC199)*12)*O199,IF(AE199&gt;AD199,12*O199,0)))))</f>
        <v>871.56499999999994</v>
      </c>
      <c r="Q199" s="472">
        <f t="shared" ref="Q199:Q204" si="139">IF(M199=0,0,IF(AND(AG199&gt;=AF199,AG199&lt;=AE199),((AG199-AF199)*12)*O199,0))</f>
        <v>0</v>
      </c>
      <c r="R199" s="755">
        <f t="shared" ref="R199:R204" si="140">IF(Q199&gt;0,Q199,P199)</f>
        <v>871.56499999999994</v>
      </c>
      <c r="S199" s="756">
        <v>1</v>
      </c>
      <c r="T199" s="755">
        <f t="shared" ref="T199:T204" si="141">S199*SUM(P199:Q199)</f>
        <v>871.56499999999994</v>
      </c>
      <c r="V199" s="755">
        <f t="shared" ref="V199:V204" si="142">IF(AC199&gt;AD199,0,IF(AE199&lt;AF199,N199,IF(AND(AE199&gt;=AF199,AE199&lt;=AD199),(N199-R199),IF(AND(AF199&lt;=AC199,AD199&gt;=AC199),0,IF(AE199&gt;AD199,((AF199-AC199)*12)*O199,0)))))</f>
        <v>1162.0866666666625</v>
      </c>
      <c r="W199" s="755">
        <f t="shared" ref="W199:W204" si="143">V199*S199</f>
        <v>1162.0866666666625</v>
      </c>
      <c r="X199" s="756">
        <v>1</v>
      </c>
      <c r="Y199" s="755">
        <f t="shared" ref="Y199:Y204" si="144">W199*X199</f>
        <v>1162.0866666666625</v>
      </c>
      <c r="Z199" s="755">
        <f t="shared" ref="Z199:Z204" si="145">IF(M199&gt;0,0,Y199+T199*X199)*X199</f>
        <v>2033.6516666666625</v>
      </c>
      <c r="AA199" s="755">
        <f t="shared" si="100"/>
        <v>7117.7808333333369</v>
      </c>
      <c r="AB199" s="755">
        <f t="shared" ref="AB199:AB204" si="146">L199-Z199</f>
        <v>6681.9983333333366</v>
      </c>
      <c r="AC199" s="757">
        <f t="shared" si="118"/>
        <v>122.16666666666667</v>
      </c>
      <c r="AD199" s="472">
        <f t="shared" si="119"/>
        <v>124.5</v>
      </c>
      <c r="AE199" s="757">
        <f t="shared" si="120"/>
        <v>132.16666666666666</v>
      </c>
      <c r="AF199" s="472">
        <f t="shared" si="121"/>
        <v>123.5</v>
      </c>
      <c r="AG199" s="758">
        <f t="shared" si="122"/>
        <v>-8.3333333333333329E-2</v>
      </c>
    </row>
    <row r="200" spans="2:33" s="472" customFormat="1">
      <c r="B200" s="513" t="s">
        <v>505</v>
      </c>
      <c r="C200" s="513">
        <v>122</v>
      </c>
      <c r="D200" s="513">
        <v>4</v>
      </c>
      <c r="E200" s="498">
        <v>0</v>
      </c>
      <c r="G200" s="753" t="s">
        <v>831</v>
      </c>
      <c r="H200" s="513">
        <v>10</v>
      </c>
      <c r="I200" s="472">
        <f t="shared" si="135"/>
        <v>132</v>
      </c>
      <c r="L200" s="461">
        <v>22886</v>
      </c>
      <c r="N200" s="755">
        <f t="shared" si="136"/>
        <v>22886</v>
      </c>
      <c r="O200" s="755">
        <f t="shared" si="137"/>
        <v>190.71666666666667</v>
      </c>
      <c r="P200" s="755">
        <f t="shared" si="138"/>
        <v>2288.6</v>
      </c>
      <c r="Q200" s="472">
        <f t="shared" si="139"/>
        <v>0</v>
      </c>
      <c r="R200" s="755">
        <f t="shared" si="140"/>
        <v>2288.6</v>
      </c>
      <c r="S200" s="756">
        <v>1</v>
      </c>
      <c r="T200" s="755">
        <f t="shared" si="141"/>
        <v>2288.6</v>
      </c>
      <c r="V200" s="755">
        <f t="shared" si="142"/>
        <v>2860.75</v>
      </c>
      <c r="W200" s="755">
        <f t="shared" si="143"/>
        <v>2860.75</v>
      </c>
      <c r="X200" s="756">
        <v>1</v>
      </c>
      <c r="Y200" s="755">
        <f t="shared" si="144"/>
        <v>2860.75</v>
      </c>
      <c r="Z200" s="755">
        <f t="shared" si="145"/>
        <v>5149.3500000000004</v>
      </c>
      <c r="AA200" s="755">
        <f t="shared" si="100"/>
        <v>18880.95</v>
      </c>
      <c r="AB200" s="755">
        <f t="shared" si="146"/>
        <v>17736.650000000001</v>
      </c>
      <c r="AC200" s="757">
        <f t="shared" si="118"/>
        <v>122.25</v>
      </c>
      <c r="AD200" s="472">
        <f t="shared" si="119"/>
        <v>124.5</v>
      </c>
      <c r="AE200" s="757">
        <f t="shared" si="120"/>
        <v>132.25</v>
      </c>
      <c r="AF200" s="472">
        <f t="shared" si="121"/>
        <v>123.5</v>
      </c>
      <c r="AG200" s="758">
        <f t="shared" si="122"/>
        <v>-8.3333333333333329E-2</v>
      </c>
    </row>
    <row r="201" spans="2:33" s="472" customFormat="1">
      <c r="B201" s="513" t="s">
        <v>500</v>
      </c>
      <c r="C201" s="513">
        <v>122</v>
      </c>
      <c r="D201" s="513">
        <v>4</v>
      </c>
      <c r="E201" s="498">
        <v>0</v>
      </c>
      <c r="G201" s="753" t="s">
        <v>831</v>
      </c>
      <c r="H201" s="513">
        <v>10</v>
      </c>
      <c r="I201" s="472">
        <f t="shared" si="135"/>
        <v>132</v>
      </c>
      <c r="L201" s="461">
        <v>24615</v>
      </c>
      <c r="N201" s="755">
        <f t="shared" si="136"/>
        <v>24615</v>
      </c>
      <c r="O201" s="755">
        <f t="shared" si="137"/>
        <v>205.125</v>
      </c>
      <c r="P201" s="755">
        <f t="shared" si="138"/>
        <v>2461.5</v>
      </c>
      <c r="Q201" s="472">
        <f t="shared" si="139"/>
        <v>0</v>
      </c>
      <c r="R201" s="755">
        <f t="shared" si="140"/>
        <v>2461.5</v>
      </c>
      <c r="S201" s="756">
        <v>1</v>
      </c>
      <c r="T201" s="755">
        <f t="shared" si="141"/>
        <v>2461.5</v>
      </c>
      <c r="V201" s="755">
        <f t="shared" si="142"/>
        <v>3076.875</v>
      </c>
      <c r="W201" s="755">
        <f t="shared" si="143"/>
        <v>3076.875</v>
      </c>
      <c r="X201" s="756">
        <v>1</v>
      </c>
      <c r="Y201" s="755">
        <f t="shared" si="144"/>
        <v>3076.875</v>
      </c>
      <c r="Z201" s="755">
        <f t="shared" si="145"/>
        <v>5538.375</v>
      </c>
      <c r="AA201" s="755">
        <f>IF(M201&gt;0,(L201-Y201)/2,IF(AC201&gt;=AF201,(((L201*S201)*X201)-Z201)/2,((((L201*S201)*X201)-Y201)+(((L201*S201)*X201)-Z201))/2))</f>
        <v>20307.375</v>
      </c>
      <c r="AB201" s="755">
        <f t="shared" si="146"/>
        <v>19076.625</v>
      </c>
      <c r="AC201" s="757">
        <f t="shared" si="118"/>
        <v>122.25</v>
      </c>
      <c r="AD201" s="472">
        <f t="shared" si="119"/>
        <v>124.5</v>
      </c>
      <c r="AE201" s="757">
        <f t="shared" si="120"/>
        <v>132.25</v>
      </c>
      <c r="AF201" s="472">
        <f t="shared" si="121"/>
        <v>123.5</v>
      </c>
      <c r="AG201" s="758">
        <f t="shared" si="122"/>
        <v>-8.3333333333333329E-2</v>
      </c>
    </row>
    <row r="202" spans="2:33" s="472" customFormat="1">
      <c r="B202" s="513" t="s">
        <v>506</v>
      </c>
      <c r="C202" s="513">
        <v>122</v>
      </c>
      <c r="D202" s="513">
        <v>4</v>
      </c>
      <c r="E202" s="498">
        <v>0</v>
      </c>
      <c r="G202" s="753" t="s">
        <v>831</v>
      </c>
      <c r="H202" s="513">
        <v>10</v>
      </c>
      <c r="I202" s="472">
        <f t="shared" si="135"/>
        <v>132</v>
      </c>
      <c r="L202" s="461">
        <v>14558</v>
      </c>
      <c r="N202" s="755">
        <f t="shared" si="136"/>
        <v>14558</v>
      </c>
      <c r="O202" s="755">
        <f t="shared" si="137"/>
        <v>121.31666666666666</v>
      </c>
      <c r="P202" s="755">
        <f t="shared" si="138"/>
        <v>1455.8</v>
      </c>
      <c r="Q202" s="472">
        <f t="shared" si="139"/>
        <v>0</v>
      </c>
      <c r="R202" s="755">
        <f t="shared" si="140"/>
        <v>1455.8</v>
      </c>
      <c r="S202" s="756">
        <v>1</v>
      </c>
      <c r="T202" s="755">
        <f t="shared" si="141"/>
        <v>1455.8</v>
      </c>
      <c r="V202" s="755">
        <f t="shared" si="142"/>
        <v>1819.75</v>
      </c>
      <c r="W202" s="755">
        <f t="shared" si="143"/>
        <v>1819.75</v>
      </c>
      <c r="X202" s="756">
        <v>1</v>
      </c>
      <c r="Y202" s="755">
        <f t="shared" si="144"/>
        <v>1819.75</v>
      </c>
      <c r="Z202" s="755">
        <f t="shared" si="145"/>
        <v>3275.55</v>
      </c>
      <c r="AA202" s="755">
        <f>IF(M202&gt;0,(L202-Y202)/2,IF(AC202&gt;=AF202,(((L202*S202)*X202)-Z202)/2,((((L202*S202)*X202)-Y202)+(((L202*S202)*X202)-Z202))/2))</f>
        <v>12010.35</v>
      </c>
      <c r="AB202" s="755">
        <f t="shared" si="146"/>
        <v>11282.45</v>
      </c>
      <c r="AC202" s="757">
        <f t="shared" si="118"/>
        <v>122.25</v>
      </c>
      <c r="AD202" s="472">
        <f t="shared" si="119"/>
        <v>124.5</v>
      </c>
      <c r="AE202" s="757">
        <f t="shared" si="120"/>
        <v>132.25</v>
      </c>
      <c r="AF202" s="472">
        <f t="shared" si="121"/>
        <v>123.5</v>
      </c>
      <c r="AG202" s="758">
        <f t="shared" si="122"/>
        <v>-8.3333333333333329E-2</v>
      </c>
    </row>
    <row r="203" spans="2:33" s="472" customFormat="1">
      <c r="B203" s="513" t="s">
        <v>481</v>
      </c>
      <c r="C203" s="513">
        <v>122</v>
      </c>
      <c r="D203" s="513">
        <v>4</v>
      </c>
      <c r="E203" s="498">
        <v>0</v>
      </c>
      <c r="G203" s="753" t="s">
        <v>831</v>
      </c>
      <c r="H203" s="513">
        <v>10</v>
      </c>
      <c r="I203" s="472">
        <f t="shared" si="135"/>
        <v>132</v>
      </c>
      <c r="L203" s="461">
        <v>6367</v>
      </c>
      <c r="N203" s="755">
        <f t="shared" si="136"/>
        <v>6367</v>
      </c>
      <c r="O203" s="755">
        <f t="shared" si="137"/>
        <v>53.058333333333337</v>
      </c>
      <c r="P203" s="755">
        <f t="shared" si="138"/>
        <v>636.70000000000005</v>
      </c>
      <c r="Q203" s="472">
        <f t="shared" si="139"/>
        <v>0</v>
      </c>
      <c r="R203" s="755">
        <f t="shared" si="140"/>
        <v>636.70000000000005</v>
      </c>
      <c r="S203" s="756">
        <v>1</v>
      </c>
      <c r="T203" s="755">
        <f t="shared" si="141"/>
        <v>636.70000000000005</v>
      </c>
      <c r="V203" s="755">
        <f t="shared" si="142"/>
        <v>795.875</v>
      </c>
      <c r="W203" s="755">
        <f t="shared" si="143"/>
        <v>795.875</v>
      </c>
      <c r="X203" s="756">
        <v>1</v>
      </c>
      <c r="Y203" s="755">
        <f t="shared" si="144"/>
        <v>795.875</v>
      </c>
      <c r="Z203" s="755">
        <f t="shared" si="145"/>
        <v>1432.575</v>
      </c>
      <c r="AA203" s="755">
        <f>IF(M203&gt;0,(L203-Y203)/2,IF(AC203&gt;=AF203,(((L203*S203)*X203)-Z203)/2,((((L203*S203)*X203)-Y203)+(((L203*S203)*X203)-Z203))/2))</f>
        <v>5252.7749999999996</v>
      </c>
      <c r="AB203" s="755">
        <f t="shared" si="146"/>
        <v>4934.4250000000002</v>
      </c>
      <c r="AC203" s="757">
        <f t="shared" si="118"/>
        <v>122.25</v>
      </c>
      <c r="AD203" s="472">
        <f t="shared" si="119"/>
        <v>124.5</v>
      </c>
      <c r="AE203" s="757">
        <f t="shared" si="120"/>
        <v>132.25</v>
      </c>
      <c r="AF203" s="472">
        <f t="shared" si="121"/>
        <v>123.5</v>
      </c>
      <c r="AG203" s="758">
        <f t="shared" si="122"/>
        <v>-8.3333333333333329E-2</v>
      </c>
    </row>
    <row r="204" spans="2:33" s="472" customFormat="1">
      <c r="B204" s="513" t="s">
        <v>501</v>
      </c>
      <c r="C204" s="513">
        <v>122</v>
      </c>
      <c r="D204" s="513">
        <v>12</v>
      </c>
      <c r="E204" s="498">
        <v>0</v>
      </c>
      <c r="G204" s="753" t="s">
        <v>831</v>
      </c>
      <c r="H204" s="513">
        <v>10</v>
      </c>
      <c r="I204" s="472">
        <f t="shared" si="135"/>
        <v>132</v>
      </c>
      <c r="L204" s="461">
        <v>4306</v>
      </c>
      <c r="N204" s="755">
        <f t="shared" si="136"/>
        <v>4306</v>
      </c>
      <c r="O204" s="755">
        <f t="shared" si="137"/>
        <v>35.883333333333333</v>
      </c>
      <c r="P204" s="755">
        <f t="shared" si="138"/>
        <v>430.6</v>
      </c>
      <c r="Q204" s="472">
        <f t="shared" si="139"/>
        <v>0</v>
      </c>
      <c r="R204" s="755">
        <f t="shared" si="140"/>
        <v>430.6</v>
      </c>
      <c r="S204" s="756">
        <v>1</v>
      </c>
      <c r="T204" s="755">
        <f t="shared" si="141"/>
        <v>430.6</v>
      </c>
      <c r="V204" s="755">
        <f t="shared" si="142"/>
        <v>251.18333333333129</v>
      </c>
      <c r="W204" s="755">
        <f t="shared" si="143"/>
        <v>251.18333333333129</v>
      </c>
      <c r="X204" s="756">
        <v>1</v>
      </c>
      <c r="Y204" s="755">
        <f t="shared" si="144"/>
        <v>251.18333333333129</v>
      </c>
      <c r="Z204" s="755">
        <f t="shared" si="145"/>
        <v>681.78333333333126</v>
      </c>
      <c r="AA204" s="755">
        <f>IF(M204&gt;0,(L204-Y204)/2,IF(AC204&gt;=AF204,(((L204*S204)*X204)-Z204)/2,((((L204*S204)*X204)-Y204)+(((L204*S204)*X204)-Z204))/2))</f>
        <v>3839.5166666666692</v>
      </c>
      <c r="AB204" s="755">
        <f t="shared" si="146"/>
        <v>3624.216666666669</v>
      </c>
      <c r="AC204" s="757">
        <f t="shared" si="118"/>
        <v>122.91666666666667</v>
      </c>
      <c r="AD204" s="472">
        <f t="shared" si="119"/>
        <v>124.5</v>
      </c>
      <c r="AE204" s="757">
        <f t="shared" si="120"/>
        <v>132.91666666666666</v>
      </c>
      <c r="AF204" s="472">
        <f t="shared" si="121"/>
        <v>123.5</v>
      </c>
      <c r="AG204" s="758">
        <f t="shared" si="122"/>
        <v>-8.3333333333333329E-2</v>
      </c>
    </row>
    <row r="205" spans="2:33" s="762" customFormat="1">
      <c r="B205" s="763" t="s">
        <v>1388</v>
      </c>
      <c r="C205" s="763">
        <v>123</v>
      </c>
      <c r="D205" s="763">
        <v>3</v>
      </c>
      <c r="E205" s="764">
        <v>0</v>
      </c>
      <c r="G205" s="773" t="s">
        <v>831</v>
      </c>
      <c r="H205" s="763">
        <v>10</v>
      </c>
      <c r="I205" s="762">
        <f t="shared" ref="I205:I211" si="147">C205+H205</f>
        <v>133</v>
      </c>
      <c r="L205" s="766">
        <v>3323</v>
      </c>
      <c r="N205" s="767">
        <f t="shared" ref="N205:N211" si="148">L205-L205*E205</f>
        <v>3323</v>
      </c>
      <c r="O205" s="767">
        <f t="shared" ref="O205:O211" si="149">N205/H205/12</f>
        <v>27.691666666666666</v>
      </c>
      <c r="P205" s="767">
        <f t="shared" ref="P205:P211" si="150">IF(M205&gt;0,0,IF(OR(AC205&gt;AD205,AE205&lt;AF205),0,IF(AND(AE205&gt;=AF205,AE205&lt;=AD205),O205*((AE205-AF205)*12),IF(AND(AF205&lt;=AC205,AD205&gt;=AC205),((AD205-AC205)*12)*O205,IF(AE205&gt;AD205,12*O205,0)))))</f>
        <v>332.3</v>
      </c>
      <c r="Q205" s="762">
        <f t="shared" ref="Q205:Q211" si="151">IF(M205=0,0,IF(AND(AG205&gt;=AF205,AG205&lt;=AE205),((AG205-AF205)*12)*O205,0))</f>
        <v>0</v>
      </c>
      <c r="R205" s="767">
        <f t="shared" ref="R205:R211" si="152">IF(Q205&gt;0,Q205,P205)</f>
        <v>332.3</v>
      </c>
      <c r="S205" s="768">
        <v>1</v>
      </c>
      <c r="T205" s="767">
        <f t="shared" ref="T205:T211" si="153">S205*SUM(P205:Q205)</f>
        <v>332.3</v>
      </c>
      <c r="V205" s="767">
        <f t="shared" ref="V205:V211" si="154">IF(AC205&gt;AD205,0,IF(AE205&lt;AF205,N205,IF(AND(AE205&gt;=AF205,AE205&lt;=AD205),(N205-R205),IF(AND(AF205&lt;=AC205,AD205&gt;=AC205),0,IF(AE205&gt;AD205,((AF205-AC205)*12)*O205,0)))))</f>
        <v>110.76666666666509</v>
      </c>
      <c r="W205" s="767">
        <f t="shared" ref="W205:W211" si="155">V205*S205</f>
        <v>110.76666666666509</v>
      </c>
      <c r="X205" s="768">
        <v>1</v>
      </c>
      <c r="Y205" s="767">
        <f t="shared" ref="Y205:Y211" si="156">W205*X205</f>
        <v>110.76666666666509</v>
      </c>
      <c r="Z205" s="767">
        <f t="shared" ref="Z205:Z211" si="157">IF(M205&gt;0,0,Y205+T205*X205)*X205</f>
        <v>443.06666666666513</v>
      </c>
      <c r="AA205" s="767">
        <f t="shared" ref="AA205:AA211" si="158">IF(M205&gt;0,(L205-Y205)/2,IF(AC205&gt;=AF205,(((L205*S205)*X205)-Z205)/2,((((L205*S205)*X205)-Y205)+(((L205*S205)*X205)-Z205))/2))</f>
        <v>3046.0833333333348</v>
      </c>
      <c r="AB205" s="767">
        <f t="shared" ref="AB205:AB211" si="159">L205-Z205</f>
        <v>2879.9333333333348</v>
      </c>
      <c r="AC205" s="769">
        <f t="shared" si="118"/>
        <v>123.16666666666667</v>
      </c>
      <c r="AD205" s="762">
        <f t="shared" si="119"/>
        <v>124.5</v>
      </c>
      <c r="AE205" s="769">
        <f t="shared" si="120"/>
        <v>133.16666666666666</v>
      </c>
      <c r="AF205" s="762">
        <f t="shared" si="121"/>
        <v>123.5</v>
      </c>
      <c r="AG205" s="770">
        <f t="shared" si="122"/>
        <v>-8.3333333333333329E-2</v>
      </c>
    </row>
    <row r="206" spans="2:33" s="762" customFormat="1">
      <c r="B206" s="763" t="s">
        <v>1389</v>
      </c>
      <c r="C206" s="763">
        <v>123</v>
      </c>
      <c r="D206" s="763">
        <v>4</v>
      </c>
      <c r="E206" s="764">
        <v>0</v>
      </c>
      <c r="G206" s="773" t="s">
        <v>831</v>
      </c>
      <c r="H206" s="763">
        <v>10</v>
      </c>
      <c r="I206" s="762">
        <f t="shared" si="147"/>
        <v>133</v>
      </c>
      <c r="L206" s="766">
        <v>7398</v>
      </c>
      <c r="N206" s="767">
        <f t="shared" si="148"/>
        <v>7398</v>
      </c>
      <c r="O206" s="767">
        <f t="shared" si="149"/>
        <v>61.65</v>
      </c>
      <c r="P206" s="767">
        <f t="shared" si="150"/>
        <v>739.8</v>
      </c>
      <c r="Q206" s="762">
        <f t="shared" si="151"/>
        <v>0</v>
      </c>
      <c r="R206" s="767">
        <f t="shared" si="152"/>
        <v>739.8</v>
      </c>
      <c r="S206" s="768">
        <v>1</v>
      </c>
      <c r="T206" s="767">
        <f t="shared" si="153"/>
        <v>739.8</v>
      </c>
      <c r="V206" s="767">
        <f t="shared" si="154"/>
        <v>184.95</v>
      </c>
      <c r="W206" s="767">
        <f t="shared" si="155"/>
        <v>184.95</v>
      </c>
      <c r="X206" s="768">
        <v>1</v>
      </c>
      <c r="Y206" s="767">
        <f t="shared" si="156"/>
        <v>184.95</v>
      </c>
      <c r="Z206" s="767">
        <f t="shared" si="157"/>
        <v>924.75</v>
      </c>
      <c r="AA206" s="767">
        <f t="shared" si="158"/>
        <v>6843.15</v>
      </c>
      <c r="AB206" s="767">
        <f t="shared" si="159"/>
        <v>6473.25</v>
      </c>
      <c r="AC206" s="769">
        <f t="shared" si="118"/>
        <v>123.25</v>
      </c>
      <c r="AD206" s="762">
        <f t="shared" si="119"/>
        <v>124.5</v>
      </c>
      <c r="AE206" s="769">
        <f t="shared" si="120"/>
        <v>133.25</v>
      </c>
      <c r="AF206" s="762">
        <f t="shared" si="121"/>
        <v>123.5</v>
      </c>
      <c r="AG206" s="770">
        <f t="shared" si="122"/>
        <v>-8.3333333333333329E-2</v>
      </c>
    </row>
    <row r="207" spans="2:33" s="762" customFormat="1">
      <c r="B207" s="763" t="s">
        <v>1390</v>
      </c>
      <c r="C207" s="763">
        <v>123</v>
      </c>
      <c r="D207" s="763">
        <v>4</v>
      </c>
      <c r="E207" s="764">
        <v>0</v>
      </c>
      <c r="G207" s="773" t="s">
        <v>831</v>
      </c>
      <c r="H207" s="763">
        <v>10</v>
      </c>
      <c r="I207" s="762">
        <f t="shared" si="147"/>
        <v>133</v>
      </c>
      <c r="L207" s="766">
        <v>19239</v>
      </c>
      <c r="N207" s="767">
        <f t="shared" si="148"/>
        <v>19239</v>
      </c>
      <c r="O207" s="767">
        <f t="shared" si="149"/>
        <v>160.32500000000002</v>
      </c>
      <c r="P207" s="767">
        <f t="shared" si="150"/>
        <v>1923.9</v>
      </c>
      <c r="Q207" s="762">
        <f t="shared" si="151"/>
        <v>0</v>
      </c>
      <c r="R207" s="767">
        <f t="shared" si="152"/>
        <v>1923.9</v>
      </c>
      <c r="S207" s="768">
        <v>1</v>
      </c>
      <c r="T207" s="767">
        <f t="shared" si="153"/>
        <v>1923.9</v>
      </c>
      <c r="V207" s="767">
        <f t="shared" si="154"/>
        <v>480.97500000000002</v>
      </c>
      <c r="W207" s="767">
        <f t="shared" si="155"/>
        <v>480.97500000000002</v>
      </c>
      <c r="X207" s="768">
        <v>1</v>
      </c>
      <c r="Y207" s="767">
        <f t="shared" si="156"/>
        <v>480.97500000000002</v>
      </c>
      <c r="Z207" s="767">
        <f t="shared" si="157"/>
        <v>2404.875</v>
      </c>
      <c r="AA207" s="767">
        <f t="shared" si="158"/>
        <v>17796.075000000001</v>
      </c>
      <c r="AB207" s="767">
        <f t="shared" si="159"/>
        <v>16834.125</v>
      </c>
      <c r="AC207" s="769">
        <f t="shared" si="118"/>
        <v>123.25</v>
      </c>
      <c r="AD207" s="762">
        <f t="shared" si="119"/>
        <v>124.5</v>
      </c>
      <c r="AE207" s="769">
        <f t="shared" si="120"/>
        <v>133.25</v>
      </c>
      <c r="AF207" s="762">
        <f t="shared" si="121"/>
        <v>123.5</v>
      </c>
      <c r="AG207" s="770">
        <f t="shared" si="122"/>
        <v>-8.3333333333333329E-2</v>
      </c>
    </row>
    <row r="208" spans="2:33" s="762" customFormat="1">
      <c r="B208" s="763" t="s">
        <v>1391</v>
      </c>
      <c r="C208" s="763">
        <v>123</v>
      </c>
      <c r="D208" s="763">
        <v>4</v>
      </c>
      <c r="E208" s="764">
        <v>0</v>
      </c>
      <c r="G208" s="773" t="s">
        <v>831</v>
      </c>
      <c r="H208" s="763">
        <v>10</v>
      </c>
      <c r="I208" s="762">
        <f t="shared" si="147"/>
        <v>133</v>
      </c>
      <c r="L208" s="766">
        <v>21064</v>
      </c>
      <c r="N208" s="767">
        <f t="shared" si="148"/>
        <v>21064</v>
      </c>
      <c r="O208" s="767">
        <f t="shared" si="149"/>
        <v>175.53333333333333</v>
      </c>
      <c r="P208" s="767">
        <f t="shared" si="150"/>
        <v>2106.4</v>
      </c>
      <c r="Q208" s="762">
        <f t="shared" si="151"/>
        <v>0</v>
      </c>
      <c r="R208" s="767">
        <f t="shared" si="152"/>
        <v>2106.4</v>
      </c>
      <c r="S208" s="768">
        <v>1</v>
      </c>
      <c r="T208" s="767">
        <f t="shared" si="153"/>
        <v>2106.4</v>
      </c>
      <c r="V208" s="767">
        <f t="shared" si="154"/>
        <v>526.6</v>
      </c>
      <c r="W208" s="767">
        <f t="shared" si="155"/>
        <v>526.6</v>
      </c>
      <c r="X208" s="768">
        <v>1</v>
      </c>
      <c r="Y208" s="767">
        <f t="shared" si="156"/>
        <v>526.6</v>
      </c>
      <c r="Z208" s="767">
        <f t="shared" si="157"/>
        <v>2633</v>
      </c>
      <c r="AA208" s="767">
        <f t="shared" si="158"/>
        <v>19484.2</v>
      </c>
      <c r="AB208" s="767">
        <f t="shared" si="159"/>
        <v>18431</v>
      </c>
      <c r="AC208" s="769">
        <f t="shared" si="118"/>
        <v>123.25</v>
      </c>
      <c r="AD208" s="762">
        <f t="shared" si="119"/>
        <v>124.5</v>
      </c>
      <c r="AE208" s="769">
        <f t="shared" si="120"/>
        <v>133.25</v>
      </c>
      <c r="AF208" s="762">
        <f t="shared" si="121"/>
        <v>123.5</v>
      </c>
      <c r="AG208" s="770">
        <f t="shared" si="122"/>
        <v>-8.3333333333333329E-2</v>
      </c>
    </row>
    <row r="209" spans="1:33" s="762" customFormat="1">
      <c r="B209" s="763" t="s">
        <v>481</v>
      </c>
      <c r="C209" s="763">
        <v>124</v>
      </c>
      <c r="D209" s="763">
        <v>3</v>
      </c>
      <c r="E209" s="764">
        <v>0</v>
      </c>
      <c r="G209" s="773" t="s">
        <v>831</v>
      </c>
      <c r="H209" s="763">
        <v>10</v>
      </c>
      <c r="I209" s="762">
        <f t="shared" si="147"/>
        <v>134</v>
      </c>
      <c r="L209" s="766">
        <v>2450</v>
      </c>
      <c r="N209" s="767">
        <f t="shared" si="148"/>
        <v>2450</v>
      </c>
      <c r="O209" s="767">
        <f t="shared" si="149"/>
        <v>20.416666666666668</v>
      </c>
      <c r="P209" s="767">
        <f t="shared" si="150"/>
        <v>81.666666666665506</v>
      </c>
      <c r="Q209" s="762">
        <f t="shared" si="151"/>
        <v>0</v>
      </c>
      <c r="R209" s="767">
        <f t="shared" si="152"/>
        <v>81.666666666665506</v>
      </c>
      <c r="S209" s="768">
        <v>1</v>
      </c>
      <c r="T209" s="767">
        <f t="shared" si="153"/>
        <v>81.666666666665506</v>
      </c>
      <c r="V209" s="767">
        <f t="shared" si="154"/>
        <v>0</v>
      </c>
      <c r="W209" s="767">
        <f t="shared" si="155"/>
        <v>0</v>
      </c>
      <c r="X209" s="768">
        <v>1</v>
      </c>
      <c r="Y209" s="767">
        <f t="shared" si="156"/>
        <v>0</v>
      </c>
      <c r="Z209" s="767">
        <f t="shared" si="157"/>
        <v>81.666666666665506</v>
      </c>
      <c r="AA209" s="767">
        <f t="shared" si="158"/>
        <v>1184.1666666666672</v>
      </c>
      <c r="AB209" s="767">
        <f t="shared" si="159"/>
        <v>2368.3333333333344</v>
      </c>
      <c r="AC209" s="769">
        <f t="shared" si="118"/>
        <v>124.16666666666667</v>
      </c>
      <c r="AD209" s="762">
        <f t="shared" si="119"/>
        <v>124.5</v>
      </c>
      <c r="AE209" s="769">
        <f t="shared" si="120"/>
        <v>134.16666666666666</v>
      </c>
      <c r="AF209" s="762">
        <f t="shared" si="121"/>
        <v>123.5</v>
      </c>
      <c r="AG209" s="770">
        <f t="shared" si="122"/>
        <v>-8.3333333333333329E-2</v>
      </c>
    </row>
    <row r="210" spans="1:33" s="762" customFormat="1">
      <c r="B210" s="763" t="s">
        <v>1454</v>
      </c>
      <c r="C210" s="763">
        <v>124</v>
      </c>
      <c r="D210" s="763">
        <v>3</v>
      </c>
      <c r="E210" s="764">
        <v>0</v>
      </c>
      <c r="G210" s="773" t="s">
        <v>831</v>
      </c>
      <c r="H210" s="763">
        <v>10</v>
      </c>
      <c r="I210" s="762">
        <f t="shared" si="147"/>
        <v>134</v>
      </c>
      <c r="L210" s="766">
        <v>818</v>
      </c>
      <c r="N210" s="767">
        <f t="shared" si="148"/>
        <v>818</v>
      </c>
      <c r="O210" s="767">
        <f t="shared" si="149"/>
        <v>6.8166666666666664</v>
      </c>
      <c r="P210" s="767">
        <f t="shared" si="150"/>
        <v>27.266666666666278</v>
      </c>
      <c r="Q210" s="762">
        <f t="shared" si="151"/>
        <v>0</v>
      </c>
      <c r="R210" s="767">
        <f t="shared" si="152"/>
        <v>27.266666666666278</v>
      </c>
      <c r="S210" s="768">
        <v>1</v>
      </c>
      <c r="T210" s="767">
        <f t="shared" si="153"/>
        <v>27.266666666666278</v>
      </c>
      <c r="V210" s="767">
        <f t="shared" si="154"/>
        <v>0</v>
      </c>
      <c r="W210" s="767">
        <f t="shared" si="155"/>
        <v>0</v>
      </c>
      <c r="X210" s="768">
        <v>1</v>
      </c>
      <c r="Y210" s="767">
        <f t="shared" si="156"/>
        <v>0</v>
      </c>
      <c r="Z210" s="767">
        <f t="shared" si="157"/>
        <v>27.266666666666278</v>
      </c>
      <c r="AA210" s="767">
        <f t="shared" si="158"/>
        <v>395.36666666666684</v>
      </c>
      <c r="AB210" s="767">
        <f t="shared" si="159"/>
        <v>790.73333333333369</v>
      </c>
      <c r="AC210" s="769">
        <f t="shared" si="118"/>
        <v>124.16666666666667</v>
      </c>
      <c r="AD210" s="762">
        <f t="shared" si="119"/>
        <v>124.5</v>
      </c>
      <c r="AE210" s="769">
        <f t="shared" si="120"/>
        <v>134.16666666666666</v>
      </c>
      <c r="AF210" s="762">
        <f t="shared" si="121"/>
        <v>123.5</v>
      </c>
      <c r="AG210" s="770">
        <f t="shared" si="122"/>
        <v>-8.3333333333333329E-2</v>
      </c>
    </row>
    <row r="211" spans="1:33" s="762" customFormat="1">
      <c r="B211" s="763" t="s">
        <v>489</v>
      </c>
      <c r="C211" s="763">
        <v>124</v>
      </c>
      <c r="D211" s="763">
        <v>4</v>
      </c>
      <c r="E211" s="764">
        <v>0</v>
      </c>
      <c r="G211" s="773" t="s">
        <v>831</v>
      </c>
      <c r="H211" s="763">
        <v>10</v>
      </c>
      <c r="I211" s="762">
        <f t="shared" si="147"/>
        <v>134</v>
      </c>
      <c r="L211" s="766">
        <v>12190</v>
      </c>
      <c r="N211" s="767">
        <f t="shared" si="148"/>
        <v>12190</v>
      </c>
      <c r="O211" s="767">
        <f t="shared" si="149"/>
        <v>101.58333333333333</v>
      </c>
      <c r="P211" s="767">
        <f t="shared" si="150"/>
        <v>304.75</v>
      </c>
      <c r="Q211" s="762">
        <f t="shared" si="151"/>
        <v>0</v>
      </c>
      <c r="R211" s="767">
        <f t="shared" si="152"/>
        <v>304.75</v>
      </c>
      <c r="S211" s="768">
        <v>1</v>
      </c>
      <c r="T211" s="767">
        <f t="shared" si="153"/>
        <v>304.75</v>
      </c>
      <c r="V211" s="767">
        <f t="shared" si="154"/>
        <v>0</v>
      </c>
      <c r="W211" s="767">
        <f t="shared" si="155"/>
        <v>0</v>
      </c>
      <c r="X211" s="768">
        <v>1</v>
      </c>
      <c r="Y211" s="767">
        <f t="shared" si="156"/>
        <v>0</v>
      </c>
      <c r="Z211" s="767">
        <f t="shared" si="157"/>
        <v>304.75</v>
      </c>
      <c r="AA211" s="767">
        <f t="shared" si="158"/>
        <v>5942.625</v>
      </c>
      <c r="AB211" s="767">
        <f t="shared" si="159"/>
        <v>11885.25</v>
      </c>
      <c r="AC211" s="769">
        <f t="shared" si="118"/>
        <v>124.25</v>
      </c>
      <c r="AD211" s="762">
        <f t="shared" si="119"/>
        <v>124.5</v>
      </c>
      <c r="AE211" s="769">
        <f t="shared" si="120"/>
        <v>134.25</v>
      </c>
      <c r="AF211" s="762">
        <f t="shared" si="121"/>
        <v>123.5</v>
      </c>
      <c r="AG211" s="770">
        <f t="shared" si="122"/>
        <v>-8.3333333333333329E-2</v>
      </c>
    </row>
    <row r="212" spans="1:33" s="762" customFormat="1">
      <c r="B212" s="763" t="s">
        <v>1454</v>
      </c>
      <c r="C212" s="763">
        <v>124</v>
      </c>
      <c r="D212" s="763">
        <v>5</v>
      </c>
      <c r="E212" s="764">
        <v>0</v>
      </c>
      <c r="G212" s="773" t="s">
        <v>831</v>
      </c>
      <c r="H212" s="763">
        <v>10</v>
      </c>
      <c r="I212" s="762">
        <f>C212+H212</f>
        <v>134</v>
      </c>
      <c r="L212" s="766">
        <v>818</v>
      </c>
      <c r="N212" s="767">
        <f>L212-L212*E212</f>
        <v>818</v>
      </c>
      <c r="O212" s="767">
        <f>N212/H212/12</f>
        <v>6.8166666666666664</v>
      </c>
      <c r="P212" s="767">
        <f>IF(M212&gt;0,0,IF(OR(AC212&gt;AD212,AE212&lt;AF212),0,IF(AND(AE212&gt;=AF212,AE212&lt;=AD212),O212*((AE212-AF212)*12),IF(AND(AF212&lt;=AC212,AD212&gt;=AC212),((AD212-AC212)*12)*O212,IF(AE212&gt;AD212,12*O212,0)))))</f>
        <v>13.63333333333372</v>
      </c>
      <c r="Q212" s="762">
        <f>IF(M212=0,0,IF(AND(AG212&gt;=AF212,AG212&lt;=AE212),((AG212-AF212)*12)*O212,0))</f>
        <v>0</v>
      </c>
      <c r="R212" s="767">
        <f>IF(Q212&gt;0,Q212,P212)</f>
        <v>13.63333333333372</v>
      </c>
      <c r="S212" s="768">
        <v>1</v>
      </c>
      <c r="T212" s="767">
        <f>S212*SUM(P212:Q212)</f>
        <v>13.63333333333372</v>
      </c>
      <c r="V212" s="767">
        <f>IF(AC212&gt;AD212,0,IF(AE212&lt;AF212,N212,IF(AND(AE212&gt;=AF212,AE212&lt;=AD212),(N212-R212),IF(AND(AF212&lt;=AC212,AD212&gt;=AC212),0,IF(AE212&gt;AD212,((AF212-AC212)*12)*O212,0)))))</f>
        <v>0</v>
      </c>
      <c r="W212" s="767">
        <f>V212*S212</f>
        <v>0</v>
      </c>
      <c r="X212" s="768">
        <v>1</v>
      </c>
      <c r="Y212" s="767">
        <f>W212*X212</f>
        <v>0</v>
      </c>
      <c r="Z212" s="767">
        <f>IF(M212&gt;0,0,Y212+T212*X212)*X212</f>
        <v>13.63333333333372</v>
      </c>
      <c r="AA212" s="767">
        <f>IF(M212&gt;0,(L212-Y212)/2,IF(AC212&gt;=AF212,(((L212*S212)*X212)-Z212)/2,((((L212*S212)*X212)-Y212)+(((L212*S212)*X212)-Z212))/2))</f>
        <v>402.18333333333317</v>
      </c>
      <c r="AB212" s="767">
        <f t="shared" si="106"/>
        <v>804.36666666666633</v>
      </c>
      <c r="AC212" s="769">
        <f t="shared" si="118"/>
        <v>124.33333333333333</v>
      </c>
      <c r="AD212" s="762">
        <f t="shared" si="119"/>
        <v>124.5</v>
      </c>
      <c r="AE212" s="769">
        <f t="shared" si="120"/>
        <v>134.33333333333334</v>
      </c>
      <c r="AF212" s="762">
        <f t="shared" si="121"/>
        <v>123.5</v>
      </c>
      <c r="AG212" s="770">
        <f t="shared" si="122"/>
        <v>-8.3333333333333329E-2</v>
      </c>
    </row>
    <row r="213" spans="1:33">
      <c r="I213" s="252"/>
      <c r="L213" s="250"/>
      <c r="N213" s="250"/>
      <c r="P213" s="267"/>
      <c r="Q213" s="267"/>
      <c r="R213" s="266"/>
      <c r="Y213" s="250"/>
      <c r="Z213" s="250"/>
    </row>
    <row r="214" spans="1:33" ht="16.5" thickBot="1">
      <c r="B214" s="255" t="s">
        <v>836</v>
      </c>
      <c r="I214" s="252"/>
      <c r="L214" s="250">
        <f>SUM(L76:L213)</f>
        <v>595529.65</v>
      </c>
      <c r="N214" s="250">
        <f>SUM(N76:N213)</f>
        <v>595529.65</v>
      </c>
      <c r="P214" s="251">
        <f>SUM(P76:P212)</f>
        <v>30551.231666666659</v>
      </c>
      <c r="Q214" s="251">
        <f>SUM(Q76:Q212)</f>
        <v>0</v>
      </c>
      <c r="R214" s="263">
        <f>SUM(R76:R212)</f>
        <v>30551.231666666659</v>
      </c>
      <c r="T214" s="257">
        <f>SUM(T76:T212)</f>
        <v>30551.231666666659</v>
      </c>
      <c r="V214" s="250">
        <f>SUM(V76:V213)</f>
        <v>362825.2616666666</v>
      </c>
      <c r="W214" s="250">
        <f>SUM(W76:W213)</f>
        <v>362825.2616666666</v>
      </c>
      <c r="Y214" s="250">
        <f>SUM(Y76:Y213)</f>
        <v>362825.2616666666</v>
      </c>
      <c r="Z214" s="250">
        <f>SUM(Z76:Z213)</f>
        <v>393376.49333333329</v>
      </c>
      <c r="AA214" s="257">
        <f>SUM(AA76:AA212)</f>
        <v>209290.77249999999</v>
      </c>
      <c r="AB214" s="257">
        <f>SUM(AB76:AB212)</f>
        <v>202153.15666666668</v>
      </c>
    </row>
    <row r="215" spans="1:33" ht="16.5" thickTop="1">
      <c r="I215" s="252" t="s">
        <v>832</v>
      </c>
      <c r="L215" s="256">
        <f>SUM(L76:L208)</f>
        <v>579253.65</v>
      </c>
      <c r="N215" s="250"/>
      <c r="R215" s="250"/>
      <c r="T215" s="251"/>
      <c r="Y215" s="250"/>
      <c r="Z215" s="250"/>
      <c r="AA215" s="251"/>
      <c r="AB215" s="251"/>
    </row>
    <row r="216" spans="1:33">
      <c r="B216" s="255" t="s">
        <v>837</v>
      </c>
      <c r="I216" s="252"/>
      <c r="L216" s="250"/>
      <c r="N216" s="250"/>
      <c r="R216" s="250"/>
      <c r="T216" s="251"/>
      <c r="Y216" s="250"/>
      <c r="Z216" s="250"/>
      <c r="AA216" s="251"/>
      <c r="AB216" s="251"/>
    </row>
    <row r="217" spans="1:33">
      <c r="B217" s="255" t="s">
        <v>507</v>
      </c>
      <c r="C217" s="255">
        <v>105</v>
      </c>
      <c r="D217" s="255">
        <v>8</v>
      </c>
      <c r="E217" s="262">
        <v>0</v>
      </c>
      <c r="G217" s="255" t="s">
        <v>831</v>
      </c>
      <c r="H217" s="255">
        <v>10</v>
      </c>
      <c r="I217" s="247">
        <f t="shared" ref="I217:I242" si="160">C217+H217</f>
        <v>115</v>
      </c>
      <c r="L217" s="253">
        <v>5406</v>
      </c>
      <c r="N217" s="250">
        <f t="shared" ref="N217:N242" si="161">L217-L217*E217</f>
        <v>5406</v>
      </c>
      <c r="O217" s="250">
        <f t="shared" ref="O217:O242" si="162">N217/H217/12</f>
        <v>45.050000000000004</v>
      </c>
      <c r="P217" s="250">
        <f t="shared" ref="P217:P242" si="163">IF(M217&gt;0,0,IF(OR(AC217&gt;AD217,AE217&lt;AF217),0,IF(AND(AE217&gt;=AF217,AE217&lt;=AD217),O217*((AE217-AF217)*12),IF(AND(AF217&lt;=AC217,AD217&gt;=AC217),((AD217-AC217)*12)*O217,IF(AE217&gt;AD217,12*O217,0)))))</f>
        <v>0</v>
      </c>
      <c r="Q217" s="247">
        <f t="shared" ref="Q217:Q242" si="164">IF(M217=0,0,IF(AND(AG217&gt;=AF217,AG217&lt;=AE217),((AG217-AF217)*12)*O217,0))</f>
        <v>0</v>
      </c>
      <c r="R217" s="250">
        <f t="shared" ref="R217:R242" si="165">IF(Q217&gt;0,Q217,P217)</f>
        <v>0</v>
      </c>
      <c r="S217" s="260">
        <v>1</v>
      </c>
      <c r="T217" s="250">
        <f t="shared" ref="T217:T242" si="166">S217*SUM(P217:Q217)</f>
        <v>0</v>
      </c>
      <c r="V217" s="250">
        <f t="shared" ref="V217:V242" si="167">IF(AC217&gt;AD217,0,IF(AE217&lt;AF217,N217,IF(AND(AE217&gt;=AF217,AE217&lt;=AD217),(N217-R217),IF(AND(AF217&lt;=AC217,AD217&gt;=AC217),0,IF(AE217&gt;AD217,((AF217-AC217)*12)*O217,0)))))</f>
        <v>5406</v>
      </c>
      <c r="W217" s="250">
        <f t="shared" ref="W217:W242" si="168">V217*S217</f>
        <v>5406</v>
      </c>
      <c r="X217" s="260">
        <v>1</v>
      </c>
      <c r="Y217" s="250">
        <f t="shared" ref="Y217:Y242" si="169">W217*X217</f>
        <v>5406</v>
      </c>
      <c r="Z217" s="250">
        <f t="shared" ref="Z217:Z242" si="170">IF(M217&gt;0,0,Y217+T217*X217)*X217</f>
        <v>5406</v>
      </c>
      <c r="AA217" s="250">
        <f t="shared" ref="AA217:AA242" si="171">IF(M217&gt;0,(L217-Y217)/2,IF(AC217&gt;=AF217,(((L217*S217)*X217)-Z217)/2,((((L217*S217)*X217)-Y217)+(((L217*S217)*X217)-Z217))/2))</f>
        <v>0</v>
      </c>
      <c r="AB217" s="250">
        <f>L217-Z217</f>
        <v>0</v>
      </c>
      <c r="AC217" s="259">
        <f t="shared" ref="AC217:AC242" si="172">$C217+(($D217-1)/12)</f>
        <v>105.58333333333333</v>
      </c>
      <c r="AD217" s="247">
        <f t="shared" ref="AD217:AD242" si="173">($N$5+1)-($N$2/12)</f>
        <v>124.5</v>
      </c>
      <c r="AE217" s="259">
        <f t="shared" ref="AE217:AE242" si="174">$I217+(($D217-1)/12)</f>
        <v>115.58333333333333</v>
      </c>
      <c r="AF217" s="247">
        <f t="shared" ref="AF217:AF242" si="175">$N$4+($N$3/12)</f>
        <v>123.5</v>
      </c>
      <c r="AG217" s="258">
        <f t="shared" ref="AG217:AG242" si="176">$J217+(($K217-1)/12)</f>
        <v>-8.3333333333333329E-2</v>
      </c>
    </row>
    <row r="218" spans="1:33">
      <c r="B218" s="255" t="s">
        <v>508</v>
      </c>
      <c r="C218" s="255">
        <v>105</v>
      </c>
      <c r="D218" s="255">
        <v>8</v>
      </c>
      <c r="E218" s="262">
        <v>0</v>
      </c>
      <c r="G218" s="255" t="s">
        <v>831</v>
      </c>
      <c r="H218" s="255">
        <v>10</v>
      </c>
      <c r="I218" s="247">
        <f t="shared" si="160"/>
        <v>115</v>
      </c>
      <c r="L218" s="253">
        <v>5894</v>
      </c>
      <c r="N218" s="250">
        <f t="shared" si="161"/>
        <v>5894</v>
      </c>
      <c r="O218" s="250">
        <f t="shared" si="162"/>
        <v>49.116666666666667</v>
      </c>
      <c r="P218" s="250">
        <f t="shared" si="163"/>
        <v>0</v>
      </c>
      <c r="Q218" s="247">
        <f t="shared" si="164"/>
        <v>0</v>
      </c>
      <c r="R218" s="250">
        <f t="shared" si="165"/>
        <v>0</v>
      </c>
      <c r="S218" s="260">
        <v>1</v>
      </c>
      <c r="T218" s="250">
        <f t="shared" si="166"/>
        <v>0</v>
      </c>
      <c r="V218" s="250">
        <f t="shared" si="167"/>
        <v>5894</v>
      </c>
      <c r="W218" s="250">
        <f t="shared" si="168"/>
        <v>5894</v>
      </c>
      <c r="X218" s="260">
        <v>1</v>
      </c>
      <c r="Y218" s="250">
        <f t="shared" si="169"/>
        <v>5894</v>
      </c>
      <c r="Z218" s="250">
        <f t="shared" si="170"/>
        <v>5894</v>
      </c>
      <c r="AA218" s="250">
        <f t="shared" si="171"/>
        <v>0</v>
      </c>
      <c r="AB218" s="250">
        <f t="shared" ref="AB218:AB242" si="177">L218-Z218</f>
        <v>0</v>
      </c>
      <c r="AC218" s="259">
        <f t="shared" si="172"/>
        <v>105.58333333333333</v>
      </c>
      <c r="AD218" s="247">
        <f t="shared" si="173"/>
        <v>124.5</v>
      </c>
      <c r="AE218" s="259">
        <f t="shared" si="174"/>
        <v>115.58333333333333</v>
      </c>
      <c r="AF218" s="247">
        <f t="shared" si="175"/>
        <v>123.5</v>
      </c>
      <c r="AG218" s="258">
        <f t="shared" si="176"/>
        <v>-8.3333333333333329E-2</v>
      </c>
    </row>
    <row r="219" spans="1:33">
      <c r="B219" s="255" t="s">
        <v>509</v>
      </c>
      <c r="C219" s="255">
        <v>108</v>
      </c>
      <c r="D219" s="255">
        <v>12</v>
      </c>
      <c r="E219" s="262">
        <v>0</v>
      </c>
      <c r="G219" s="255" t="s">
        <v>831</v>
      </c>
      <c r="H219" s="255">
        <v>10</v>
      </c>
      <c r="I219" s="247">
        <f t="shared" si="160"/>
        <v>118</v>
      </c>
      <c r="L219" s="253">
        <v>23738</v>
      </c>
      <c r="N219" s="250">
        <f t="shared" si="161"/>
        <v>23738</v>
      </c>
      <c r="O219" s="250">
        <f t="shared" si="162"/>
        <v>197.81666666666669</v>
      </c>
      <c r="P219" s="293">
        <v>0</v>
      </c>
      <c r="Q219" s="247">
        <f t="shared" si="164"/>
        <v>0</v>
      </c>
      <c r="R219" s="250">
        <f t="shared" si="165"/>
        <v>0</v>
      </c>
      <c r="S219" s="260">
        <v>1</v>
      </c>
      <c r="T219" s="250">
        <f t="shared" si="166"/>
        <v>0</v>
      </c>
      <c r="V219" s="250">
        <f t="shared" si="167"/>
        <v>23738</v>
      </c>
      <c r="W219" s="250">
        <f t="shared" si="168"/>
        <v>23738</v>
      </c>
      <c r="X219" s="260">
        <v>1</v>
      </c>
      <c r="Y219" s="250">
        <f t="shared" si="169"/>
        <v>23738</v>
      </c>
      <c r="Z219" s="250">
        <f t="shared" si="170"/>
        <v>23738</v>
      </c>
      <c r="AA219" s="250">
        <f t="shared" si="171"/>
        <v>0</v>
      </c>
      <c r="AB219" s="250">
        <f t="shared" si="177"/>
        <v>0</v>
      </c>
      <c r="AC219" s="259">
        <f t="shared" si="172"/>
        <v>108.91666666666667</v>
      </c>
      <c r="AD219" s="247">
        <f t="shared" si="173"/>
        <v>124.5</v>
      </c>
      <c r="AE219" s="259">
        <f t="shared" si="174"/>
        <v>118.91666666666667</v>
      </c>
      <c r="AF219" s="247">
        <f t="shared" si="175"/>
        <v>123.5</v>
      </c>
      <c r="AG219" s="258">
        <f t="shared" si="176"/>
        <v>-8.3333333333333329E-2</v>
      </c>
    </row>
    <row r="220" spans="1:33">
      <c r="B220" s="255" t="s">
        <v>510</v>
      </c>
      <c r="C220" s="255">
        <v>108</v>
      </c>
      <c r="D220" s="255">
        <v>12</v>
      </c>
      <c r="E220" s="262">
        <v>0</v>
      </c>
      <c r="G220" s="255" t="s">
        <v>831</v>
      </c>
      <c r="H220" s="255">
        <v>10</v>
      </c>
      <c r="I220" s="247">
        <f t="shared" si="160"/>
        <v>118</v>
      </c>
      <c r="L220" s="253">
        <v>54140</v>
      </c>
      <c r="N220" s="250">
        <f t="shared" si="161"/>
        <v>54140</v>
      </c>
      <c r="O220" s="250">
        <f t="shared" si="162"/>
        <v>451.16666666666669</v>
      </c>
      <c r="P220" s="293">
        <v>0</v>
      </c>
      <c r="Q220" s="247">
        <f t="shared" si="164"/>
        <v>0</v>
      </c>
      <c r="R220" s="250">
        <f t="shared" si="165"/>
        <v>0</v>
      </c>
      <c r="S220" s="260">
        <v>1</v>
      </c>
      <c r="T220" s="250">
        <f t="shared" si="166"/>
        <v>0</v>
      </c>
      <c r="V220" s="250">
        <f t="shared" si="167"/>
        <v>54140</v>
      </c>
      <c r="W220" s="250">
        <f t="shared" si="168"/>
        <v>54140</v>
      </c>
      <c r="X220" s="260">
        <v>1</v>
      </c>
      <c r="Y220" s="250">
        <f t="shared" si="169"/>
        <v>54140</v>
      </c>
      <c r="Z220" s="250">
        <f t="shared" si="170"/>
        <v>54140</v>
      </c>
      <c r="AA220" s="250">
        <f t="shared" si="171"/>
        <v>0</v>
      </c>
      <c r="AB220" s="250">
        <f t="shared" si="177"/>
        <v>0</v>
      </c>
      <c r="AC220" s="259">
        <f t="shared" si="172"/>
        <v>108.91666666666667</v>
      </c>
      <c r="AD220" s="247">
        <f t="shared" si="173"/>
        <v>124.5</v>
      </c>
      <c r="AE220" s="259">
        <f t="shared" si="174"/>
        <v>118.91666666666667</v>
      </c>
      <c r="AF220" s="247">
        <f t="shared" si="175"/>
        <v>123.5</v>
      </c>
      <c r="AG220" s="258">
        <f t="shared" si="176"/>
        <v>-8.3333333333333329E-2</v>
      </c>
    </row>
    <row r="221" spans="1:33">
      <c r="B221" s="255" t="s">
        <v>511</v>
      </c>
      <c r="C221" s="255">
        <v>111</v>
      </c>
      <c r="D221" s="255">
        <v>4</v>
      </c>
      <c r="E221" s="262">
        <v>0</v>
      </c>
      <c r="G221" s="255" t="s">
        <v>831</v>
      </c>
      <c r="H221" s="255">
        <v>10</v>
      </c>
      <c r="I221" s="247">
        <f t="shared" si="160"/>
        <v>121</v>
      </c>
      <c r="L221" s="253">
        <v>6216</v>
      </c>
      <c r="N221" s="250">
        <f t="shared" si="161"/>
        <v>6216</v>
      </c>
      <c r="O221" s="250">
        <f t="shared" si="162"/>
        <v>51.800000000000004</v>
      </c>
      <c r="P221" s="250">
        <f t="shared" si="163"/>
        <v>0</v>
      </c>
      <c r="Q221" s="247">
        <f t="shared" si="164"/>
        <v>0</v>
      </c>
      <c r="R221" s="250">
        <f t="shared" si="165"/>
        <v>0</v>
      </c>
      <c r="S221" s="260">
        <v>1</v>
      </c>
      <c r="T221" s="250">
        <f t="shared" si="166"/>
        <v>0</v>
      </c>
      <c r="V221" s="250">
        <f t="shared" si="167"/>
        <v>6216</v>
      </c>
      <c r="W221" s="250">
        <f t="shared" si="168"/>
        <v>6216</v>
      </c>
      <c r="X221" s="260">
        <v>1</v>
      </c>
      <c r="Y221" s="250">
        <f t="shared" si="169"/>
        <v>6216</v>
      </c>
      <c r="Z221" s="250">
        <f t="shared" si="170"/>
        <v>6216</v>
      </c>
      <c r="AA221" s="250">
        <f t="shared" si="171"/>
        <v>0</v>
      </c>
      <c r="AB221" s="250">
        <f t="shared" si="177"/>
        <v>0</v>
      </c>
      <c r="AC221" s="259">
        <f t="shared" si="172"/>
        <v>111.25</v>
      </c>
      <c r="AD221" s="247">
        <f t="shared" si="173"/>
        <v>124.5</v>
      </c>
      <c r="AE221" s="259">
        <f t="shared" si="174"/>
        <v>121.25</v>
      </c>
      <c r="AF221" s="247">
        <f t="shared" si="175"/>
        <v>123.5</v>
      </c>
      <c r="AG221" s="258">
        <f t="shared" si="176"/>
        <v>-8.3333333333333329E-2</v>
      </c>
    </row>
    <row r="222" spans="1:33">
      <c r="A222" s="472"/>
      <c r="B222" s="255" t="s">
        <v>511</v>
      </c>
      <c r="C222" s="255">
        <v>112</v>
      </c>
      <c r="D222" s="255">
        <v>5</v>
      </c>
      <c r="E222" s="262">
        <v>0</v>
      </c>
      <c r="G222" s="255" t="s">
        <v>831</v>
      </c>
      <c r="H222" s="255">
        <v>10</v>
      </c>
      <c r="I222" s="247">
        <f t="shared" si="160"/>
        <v>122</v>
      </c>
      <c r="L222" s="461">
        <v>6502</v>
      </c>
      <c r="N222" s="250">
        <f t="shared" si="161"/>
        <v>6502</v>
      </c>
      <c r="O222" s="250">
        <f t="shared" si="162"/>
        <v>54.183333333333337</v>
      </c>
      <c r="P222" s="250">
        <f t="shared" si="163"/>
        <v>0</v>
      </c>
      <c r="Q222" s="247">
        <f t="shared" si="164"/>
        <v>0</v>
      </c>
      <c r="R222" s="250">
        <f t="shared" si="165"/>
        <v>0</v>
      </c>
      <c r="S222" s="260">
        <v>1</v>
      </c>
      <c r="T222" s="250">
        <f t="shared" si="166"/>
        <v>0</v>
      </c>
      <c r="V222" s="250">
        <f t="shared" si="167"/>
        <v>6502</v>
      </c>
      <c r="W222" s="250">
        <f t="shared" si="168"/>
        <v>6502</v>
      </c>
      <c r="X222" s="260">
        <v>1</v>
      </c>
      <c r="Y222" s="250">
        <f t="shared" si="169"/>
        <v>6502</v>
      </c>
      <c r="Z222" s="250">
        <f t="shared" si="170"/>
        <v>6502</v>
      </c>
      <c r="AA222" s="250">
        <f t="shared" si="171"/>
        <v>0</v>
      </c>
      <c r="AB222" s="250">
        <f t="shared" si="177"/>
        <v>0</v>
      </c>
      <c r="AC222" s="259">
        <f t="shared" si="172"/>
        <v>112.33333333333333</v>
      </c>
      <c r="AD222" s="247">
        <f t="shared" si="173"/>
        <v>124.5</v>
      </c>
      <c r="AE222" s="259">
        <f t="shared" si="174"/>
        <v>122.33333333333333</v>
      </c>
      <c r="AF222" s="247">
        <f t="shared" si="175"/>
        <v>123.5</v>
      </c>
      <c r="AG222" s="258">
        <f t="shared" si="176"/>
        <v>-8.3333333333333329E-2</v>
      </c>
    </row>
    <row r="223" spans="1:33">
      <c r="A223" s="472"/>
      <c r="B223" s="255" t="s">
        <v>511</v>
      </c>
      <c r="C223" s="255">
        <v>113</v>
      </c>
      <c r="D223" s="255">
        <v>6</v>
      </c>
      <c r="E223" s="262">
        <v>0</v>
      </c>
      <c r="G223" s="255" t="s">
        <v>831</v>
      </c>
      <c r="H223" s="255">
        <v>10</v>
      </c>
      <c r="I223" s="247">
        <f t="shared" si="160"/>
        <v>123</v>
      </c>
      <c r="L223" s="461">
        <v>7143</v>
      </c>
      <c r="N223" s="250">
        <f t="shared" si="161"/>
        <v>7143</v>
      </c>
      <c r="O223" s="250">
        <f t="shared" si="162"/>
        <v>59.524999999999999</v>
      </c>
      <c r="P223" s="250">
        <f t="shared" si="163"/>
        <v>0</v>
      </c>
      <c r="Q223" s="247">
        <f t="shared" si="164"/>
        <v>0</v>
      </c>
      <c r="R223" s="250">
        <f t="shared" si="165"/>
        <v>0</v>
      </c>
      <c r="S223" s="260">
        <v>1</v>
      </c>
      <c r="T223" s="250">
        <f t="shared" si="166"/>
        <v>0</v>
      </c>
      <c r="V223" s="250">
        <f t="shared" si="167"/>
        <v>7143</v>
      </c>
      <c r="W223" s="250">
        <f t="shared" si="168"/>
        <v>7143</v>
      </c>
      <c r="X223" s="260">
        <v>1</v>
      </c>
      <c r="Y223" s="250">
        <f t="shared" si="169"/>
        <v>7143</v>
      </c>
      <c r="Z223" s="250">
        <f t="shared" si="170"/>
        <v>7143</v>
      </c>
      <c r="AA223" s="250">
        <f t="shared" si="171"/>
        <v>0</v>
      </c>
      <c r="AB223" s="250">
        <f t="shared" si="177"/>
        <v>0</v>
      </c>
      <c r="AC223" s="259">
        <f t="shared" si="172"/>
        <v>113.41666666666667</v>
      </c>
      <c r="AD223" s="247">
        <f t="shared" si="173"/>
        <v>124.5</v>
      </c>
      <c r="AE223" s="259">
        <f t="shared" si="174"/>
        <v>123.41666666666667</v>
      </c>
      <c r="AF223" s="247">
        <f t="shared" si="175"/>
        <v>123.5</v>
      </c>
      <c r="AG223" s="258">
        <f t="shared" si="176"/>
        <v>-8.3333333333333329E-2</v>
      </c>
    </row>
    <row r="224" spans="1:33">
      <c r="A224" s="472"/>
      <c r="B224" s="255" t="s">
        <v>512</v>
      </c>
      <c r="C224" s="255">
        <v>114</v>
      </c>
      <c r="D224" s="255">
        <v>3</v>
      </c>
      <c r="E224" s="262">
        <v>0</v>
      </c>
      <c r="G224" s="255" t="s">
        <v>831</v>
      </c>
      <c r="H224" s="255">
        <v>10</v>
      </c>
      <c r="I224" s="247">
        <f t="shared" si="160"/>
        <v>124</v>
      </c>
      <c r="L224" s="461">
        <v>20720</v>
      </c>
      <c r="N224" s="250">
        <f t="shared" si="161"/>
        <v>20720</v>
      </c>
      <c r="O224" s="250">
        <f t="shared" si="162"/>
        <v>172.66666666666666</v>
      </c>
      <c r="P224" s="250">
        <f t="shared" si="163"/>
        <v>1381.333333333343</v>
      </c>
      <c r="Q224" s="247">
        <f t="shared" si="164"/>
        <v>0</v>
      </c>
      <c r="R224" s="250">
        <f t="shared" si="165"/>
        <v>1381.333333333343</v>
      </c>
      <c r="S224" s="260">
        <v>1</v>
      </c>
      <c r="T224" s="250">
        <f t="shared" si="166"/>
        <v>1381.333333333343</v>
      </c>
      <c r="V224" s="250">
        <f t="shared" si="167"/>
        <v>19338.666666666657</v>
      </c>
      <c r="W224" s="250">
        <f t="shared" si="168"/>
        <v>19338.666666666657</v>
      </c>
      <c r="X224" s="260">
        <v>1</v>
      </c>
      <c r="Y224" s="250">
        <f t="shared" si="169"/>
        <v>19338.666666666657</v>
      </c>
      <c r="Z224" s="250">
        <f t="shared" si="170"/>
        <v>20720</v>
      </c>
      <c r="AA224" s="250">
        <f t="shared" si="171"/>
        <v>690.66666666667152</v>
      </c>
      <c r="AB224" s="250">
        <f t="shared" si="177"/>
        <v>0</v>
      </c>
      <c r="AC224" s="259">
        <f t="shared" si="172"/>
        <v>114.16666666666667</v>
      </c>
      <c r="AD224" s="247">
        <f t="shared" si="173"/>
        <v>124.5</v>
      </c>
      <c r="AE224" s="259">
        <f t="shared" si="174"/>
        <v>124.16666666666667</v>
      </c>
      <c r="AF224" s="247">
        <f t="shared" si="175"/>
        <v>123.5</v>
      </c>
      <c r="AG224" s="258">
        <f t="shared" si="176"/>
        <v>-8.3333333333333329E-2</v>
      </c>
    </row>
    <row r="225" spans="1:47">
      <c r="A225" s="472"/>
      <c r="B225" s="255" t="s">
        <v>513</v>
      </c>
      <c r="C225" s="255">
        <v>114</v>
      </c>
      <c r="D225" s="255">
        <v>6</v>
      </c>
      <c r="E225" s="262">
        <v>0</v>
      </c>
      <c r="G225" s="255" t="s">
        <v>831</v>
      </c>
      <c r="H225" s="255">
        <v>10</v>
      </c>
      <c r="I225" s="247">
        <f t="shared" si="160"/>
        <v>124</v>
      </c>
      <c r="L225" s="461">
        <v>31956</v>
      </c>
      <c r="N225" s="250">
        <f t="shared" si="161"/>
        <v>31956</v>
      </c>
      <c r="O225" s="250">
        <f t="shared" si="162"/>
        <v>266.3</v>
      </c>
      <c r="P225" s="250">
        <f t="shared" si="163"/>
        <v>2929.3000000000152</v>
      </c>
      <c r="Q225" s="247">
        <f t="shared" si="164"/>
        <v>0</v>
      </c>
      <c r="R225" s="250">
        <f t="shared" si="165"/>
        <v>2929.3000000000152</v>
      </c>
      <c r="S225" s="260">
        <v>1</v>
      </c>
      <c r="T225" s="250">
        <f t="shared" si="166"/>
        <v>2929.3000000000152</v>
      </c>
      <c r="V225" s="250">
        <f t="shared" si="167"/>
        <v>29026.699999999986</v>
      </c>
      <c r="W225" s="250">
        <f t="shared" si="168"/>
        <v>29026.699999999986</v>
      </c>
      <c r="X225" s="260">
        <v>1</v>
      </c>
      <c r="Y225" s="250">
        <f t="shared" si="169"/>
        <v>29026.699999999986</v>
      </c>
      <c r="Z225" s="250">
        <f t="shared" si="170"/>
        <v>31956</v>
      </c>
      <c r="AA225" s="250">
        <f t="shared" si="171"/>
        <v>1464.6500000000069</v>
      </c>
      <c r="AB225" s="250">
        <f t="shared" si="177"/>
        <v>0</v>
      </c>
      <c r="AC225" s="259">
        <f t="shared" si="172"/>
        <v>114.41666666666667</v>
      </c>
      <c r="AD225" s="247">
        <f t="shared" si="173"/>
        <v>124.5</v>
      </c>
      <c r="AE225" s="259">
        <f t="shared" si="174"/>
        <v>124.41666666666667</v>
      </c>
      <c r="AF225" s="247">
        <f t="shared" si="175"/>
        <v>123.5</v>
      </c>
      <c r="AG225" s="258">
        <f t="shared" si="176"/>
        <v>-8.3333333333333329E-2</v>
      </c>
    </row>
    <row r="226" spans="1:47">
      <c r="A226" s="472"/>
      <c r="B226" s="255" t="s">
        <v>514</v>
      </c>
      <c r="C226" s="255">
        <v>114</v>
      </c>
      <c r="D226" s="255">
        <v>6</v>
      </c>
      <c r="E226" s="262">
        <v>0</v>
      </c>
      <c r="G226" s="255" t="s">
        <v>831</v>
      </c>
      <c r="H226" s="255">
        <v>10</v>
      </c>
      <c r="I226" s="247">
        <f t="shared" si="160"/>
        <v>124</v>
      </c>
      <c r="L226" s="461">
        <v>7000</v>
      </c>
      <c r="N226" s="250">
        <f t="shared" si="161"/>
        <v>7000</v>
      </c>
      <c r="O226" s="250">
        <f t="shared" si="162"/>
        <v>58.333333333333336</v>
      </c>
      <c r="P226" s="250">
        <f t="shared" si="163"/>
        <v>641.66666666667004</v>
      </c>
      <c r="Q226" s="247">
        <f t="shared" si="164"/>
        <v>0</v>
      </c>
      <c r="R226" s="250">
        <f t="shared" si="165"/>
        <v>641.66666666667004</v>
      </c>
      <c r="S226" s="260">
        <v>1</v>
      </c>
      <c r="T226" s="250">
        <f t="shared" si="166"/>
        <v>641.66666666667004</v>
      </c>
      <c r="V226" s="250">
        <f t="shared" si="167"/>
        <v>6358.3333333333303</v>
      </c>
      <c r="W226" s="250">
        <f t="shared" si="168"/>
        <v>6358.3333333333303</v>
      </c>
      <c r="X226" s="260">
        <v>1</v>
      </c>
      <c r="Y226" s="250">
        <f t="shared" si="169"/>
        <v>6358.3333333333303</v>
      </c>
      <c r="Z226" s="250">
        <f t="shared" si="170"/>
        <v>7000</v>
      </c>
      <c r="AA226" s="250">
        <f t="shared" si="171"/>
        <v>320.83333333333485</v>
      </c>
      <c r="AB226" s="250">
        <f t="shared" si="177"/>
        <v>0</v>
      </c>
      <c r="AC226" s="259">
        <f t="shared" si="172"/>
        <v>114.41666666666667</v>
      </c>
      <c r="AD226" s="247">
        <f t="shared" si="173"/>
        <v>124.5</v>
      </c>
      <c r="AE226" s="259">
        <f t="shared" si="174"/>
        <v>124.41666666666667</v>
      </c>
      <c r="AF226" s="247">
        <f t="shared" si="175"/>
        <v>123.5</v>
      </c>
      <c r="AG226" s="258">
        <f t="shared" si="176"/>
        <v>-8.3333333333333329E-2</v>
      </c>
    </row>
    <row r="227" spans="1:47">
      <c r="A227" s="472"/>
      <c r="B227" s="255" t="s">
        <v>515</v>
      </c>
      <c r="C227" s="255">
        <v>114</v>
      </c>
      <c r="D227" s="255">
        <v>6</v>
      </c>
      <c r="E227" s="262">
        <v>0</v>
      </c>
      <c r="G227" s="255" t="s">
        <v>831</v>
      </c>
      <c r="H227" s="255">
        <v>10</v>
      </c>
      <c r="I227" s="247">
        <f t="shared" si="160"/>
        <v>124</v>
      </c>
      <c r="L227" s="461">
        <v>12211</v>
      </c>
      <c r="N227" s="250">
        <f t="shared" si="161"/>
        <v>12211</v>
      </c>
      <c r="O227" s="250">
        <f t="shared" si="162"/>
        <v>101.75833333333333</v>
      </c>
      <c r="P227" s="250">
        <f t="shared" si="163"/>
        <v>1119.3416666666724</v>
      </c>
      <c r="Q227" s="247">
        <f t="shared" si="164"/>
        <v>0</v>
      </c>
      <c r="R227" s="250">
        <f t="shared" si="165"/>
        <v>1119.3416666666724</v>
      </c>
      <c r="S227" s="260">
        <v>1</v>
      </c>
      <c r="T227" s="250">
        <f t="shared" si="166"/>
        <v>1119.3416666666724</v>
      </c>
      <c r="V227" s="250">
        <f t="shared" si="167"/>
        <v>11091.658333333327</v>
      </c>
      <c r="W227" s="250">
        <f t="shared" si="168"/>
        <v>11091.658333333327</v>
      </c>
      <c r="X227" s="260">
        <v>1</v>
      </c>
      <c r="Y227" s="250">
        <f t="shared" si="169"/>
        <v>11091.658333333327</v>
      </c>
      <c r="Z227" s="250">
        <f t="shared" si="170"/>
        <v>12211</v>
      </c>
      <c r="AA227" s="250">
        <f t="shared" si="171"/>
        <v>559.6708333333363</v>
      </c>
      <c r="AB227" s="250">
        <f t="shared" si="177"/>
        <v>0</v>
      </c>
      <c r="AC227" s="259">
        <f t="shared" si="172"/>
        <v>114.41666666666667</v>
      </c>
      <c r="AD227" s="247">
        <f t="shared" si="173"/>
        <v>124.5</v>
      </c>
      <c r="AE227" s="259">
        <f t="shared" si="174"/>
        <v>124.41666666666667</v>
      </c>
      <c r="AF227" s="247">
        <f t="shared" si="175"/>
        <v>123.5</v>
      </c>
      <c r="AG227" s="258">
        <f t="shared" si="176"/>
        <v>-8.3333333333333329E-2</v>
      </c>
    </row>
    <row r="228" spans="1:47">
      <c r="A228" s="472"/>
      <c r="B228" s="255" t="s">
        <v>516</v>
      </c>
      <c r="C228" s="255">
        <v>114</v>
      </c>
      <c r="D228" s="255">
        <v>11</v>
      </c>
      <c r="E228" s="262">
        <v>0</v>
      </c>
      <c r="G228" s="255" t="s">
        <v>831</v>
      </c>
      <c r="H228" s="255">
        <v>10</v>
      </c>
      <c r="I228" s="247">
        <f t="shared" si="160"/>
        <v>124</v>
      </c>
      <c r="L228" s="461">
        <v>8576</v>
      </c>
      <c r="N228" s="250">
        <f t="shared" si="161"/>
        <v>8576</v>
      </c>
      <c r="O228" s="250">
        <f t="shared" si="162"/>
        <v>71.466666666666669</v>
      </c>
      <c r="P228" s="250">
        <f t="shared" si="163"/>
        <v>857.6</v>
      </c>
      <c r="Q228" s="247">
        <f t="shared" si="164"/>
        <v>0</v>
      </c>
      <c r="R228" s="250">
        <f t="shared" si="165"/>
        <v>857.6</v>
      </c>
      <c r="S228" s="260">
        <v>1</v>
      </c>
      <c r="T228" s="250">
        <f t="shared" si="166"/>
        <v>857.6</v>
      </c>
      <c r="V228" s="250">
        <f t="shared" si="167"/>
        <v>7432.5333333333374</v>
      </c>
      <c r="W228" s="250">
        <f t="shared" si="168"/>
        <v>7432.5333333333374</v>
      </c>
      <c r="X228" s="260">
        <v>1</v>
      </c>
      <c r="Y228" s="250">
        <f t="shared" si="169"/>
        <v>7432.5333333333374</v>
      </c>
      <c r="Z228" s="250">
        <f t="shared" si="170"/>
        <v>8290.1333333333369</v>
      </c>
      <c r="AA228" s="250">
        <f t="shared" si="171"/>
        <v>714.66666666666288</v>
      </c>
      <c r="AB228" s="250">
        <f t="shared" si="177"/>
        <v>285.86666666666315</v>
      </c>
      <c r="AC228" s="259">
        <f t="shared" si="172"/>
        <v>114.83333333333333</v>
      </c>
      <c r="AD228" s="247">
        <f t="shared" si="173"/>
        <v>124.5</v>
      </c>
      <c r="AE228" s="259">
        <f t="shared" si="174"/>
        <v>124.83333333333333</v>
      </c>
      <c r="AF228" s="247">
        <f t="shared" si="175"/>
        <v>123.5</v>
      </c>
      <c r="AG228" s="258">
        <f t="shared" si="176"/>
        <v>-8.3333333333333329E-2</v>
      </c>
    </row>
    <row r="229" spans="1:47">
      <c r="A229" s="472"/>
      <c r="B229" s="255" t="s">
        <v>517</v>
      </c>
      <c r="C229" s="255">
        <v>115</v>
      </c>
      <c r="D229" s="255">
        <v>5</v>
      </c>
      <c r="E229" s="262">
        <v>0</v>
      </c>
      <c r="G229" s="255" t="s">
        <v>831</v>
      </c>
      <c r="H229" s="255">
        <v>10</v>
      </c>
      <c r="I229" s="247">
        <f t="shared" si="160"/>
        <v>125</v>
      </c>
      <c r="L229" s="461">
        <v>5557</v>
      </c>
      <c r="N229" s="250">
        <f t="shared" si="161"/>
        <v>5557</v>
      </c>
      <c r="O229" s="250">
        <f t="shared" si="162"/>
        <v>46.308333333333337</v>
      </c>
      <c r="P229" s="250">
        <f t="shared" si="163"/>
        <v>555.70000000000005</v>
      </c>
      <c r="Q229" s="247">
        <f t="shared" si="164"/>
        <v>0</v>
      </c>
      <c r="R229" s="250">
        <f t="shared" si="165"/>
        <v>555.70000000000005</v>
      </c>
      <c r="S229" s="260">
        <v>1</v>
      </c>
      <c r="T229" s="250">
        <f t="shared" si="166"/>
        <v>555.70000000000005</v>
      </c>
      <c r="V229" s="250">
        <f t="shared" si="167"/>
        <v>4538.2166666666699</v>
      </c>
      <c r="W229" s="250">
        <f t="shared" si="168"/>
        <v>4538.2166666666699</v>
      </c>
      <c r="X229" s="260">
        <v>1</v>
      </c>
      <c r="Y229" s="250">
        <f t="shared" si="169"/>
        <v>4538.2166666666699</v>
      </c>
      <c r="Z229" s="250">
        <f t="shared" si="170"/>
        <v>5093.9166666666697</v>
      </c>
      <c r="AA229" s="250">
        <f t="shared" si="171"/>
        <v>740.93333333333021</v>
      </c>
      <c r="AB229" s="250">
        <f t="shared" si="177"/>
        <v>463.0833333333303</v>
      </c>
      <c r="AC229" s="259">
        <f t="shared" si="172"/>
        <v>115.33333333333333</v>
      </c>
      <c r="AD229" s="247">
        <f t="shared" si="173"/>
        <v>124.5</v>
      </c>
      <c r="AE229" s="259">
        <f t="shared" si="174"/>
        <v>125.33333333333333</v>
      </c>
      <c r="AF229" s="247">
        <f t="shared" si="175"/>
        <v>123.5</v>
      </c>
      <c r="AG229" s="258">
        <f t="shared" si="176"/>
        <v>-8.3333333333333329E-2</v>
      </c>
    </row>
    <row r="230" spans="1:47" s="264" customFormat="1">
      <c r="A230" s="657"/>
      <c r="B230" s="658" t="s">
        <v>518</v>
      </c>
      <c r="C230" s="658">
        <v>115</v>
      </c>
      <c r="D230" s="658">
        <v>5</v>
      </c>
      <c r="E230" s="659">
        <v>0</v>
      </c>
      <c r="F230" s="660"/>
      <c r="G230" s="658" t="s">
        <v>831</v>
      </c>
      <c r="H230" s="658">
        <v>10</v>
      </c>
      <c r="I230" s="660">
        <f t="shared" si="160"/>
        <v>125</v>
      </c>
      <c r="J230" s="660"/>
      <c r="K230" s="660"/>
      <c r="L230" s="661">
        <v>5927</v>
      </c>
      <c r="M230" s="660"/>
      <c r="N230" s="662">
        <f t="shared" si="161"/>
        <v>5927</v>
      </c>
      <c r="O230" s="662">
        <f t="shared" si="162"/>
        <v>49.391666666666673</v>
      </c>
      <c r="P230" s="662">
        <f t="shared" si="163"/>
        <v>592.70000000000005</v>
      </c>
      <c r="Q230" s="660">
        <f t="shared" si="164"/>
        <v>0</v>
      </c>
      <c r="R230" s="662">
        <f t="shared" si="165"/>
        <v>592.70000000000005</v>
      </c>
      <c r="S230" s="663">
        <v>1</v>
      </c>
      <c r="T230" s="662">
        <f t="shared" si="166"/>
        <v>592.70000000000005</v>
      </c>
      <c r="U230" s="660"/>
      <c r="V230" s="662">
        <f t="shared" si="167"/>
        <v>4840.3833333333369</v>
      </c>
      <c r="W230" s="662">
        <f t="shared" si="168"/>
        <v>4840.3833333333369</v>
      </c>
      <c r="X230" s="663">
        <v>1</v>
      </c>
      <c r="Y230" s="662">
        <f t="shared" si="169"/>
        <v>4840.3833333333369</v>
      </c>
      <c r="Z230" s="662">
        <f t="shared" si="170"/>
        <v>5433.0833333333367</v>
      </c>
      <c r="AA230" s="662">
        <f t="shared" si="171"/>
        <v>790.26666666666324</v>
      </c>
      <c r="AB230" s="250">
        <f t="shared" si="177"/>
        <v>493.91666666666333</v>
      </c>
      <c r="AC230" s="664">
        <f t="shared" si="172"/>
        <v>115.33333333333333</v>
      </c>
      <c r="AD230" s="660">
        <f t="shared" si="173"/>
        <v>124.5</v>
      </c>
      <c r="AE230" s="664">
        <f t="shared" si="174"/>
        <v>125.33333333333333</v>
      </c>
      <c r="AF230" s="660">
        <f t="shared" si="175"/>
        <v>123.5</v>
      </c>
      <c r="AG230" s="665">
        <f t="shared" si="176"/>
        <v>-8.3333333333333329E-2</v>
      </c>
      <c r="AH230" s="660"/>
      <c r="AI230" s="660"/>
      <c r="AJ230" s="660"/>
      <c r="AK230" s="660"/>
      <c r="AL230" s="660"/>
      <c r="AM230" s="660"/>
      <c r="AN230" s="660"/>
      <c r="AO230" s="660"/>
      <c r="AP230" s="660"/>
      <c r="AQ230" s="660"/>
      <c r="AR230" s="660"/>
      <c r="AS230" s="660"/>
      <c r="AT230" s="660"/>
      <c r="AU230" s="660"/>
    </row>
    <row r="231" spans="1:47">
      <c r="A231" s="472"/>
      <c r="B231" s="255" t="s">
        <v>508</v>
      </c>
      <c r="C231" s="255">
        <v>115</v>
      </c>
      <c r="D231" s="255">
        <v>5</v>
      </c>
      <c r="E231" s="262">
        <v>0</v>
      </c>
      <c r="G231" s="255" t="s">
        <v>831</v>
      </c>
      <c r="H231" s="255">
        <v>10</v>
      </c>
      <c r="I231" s="247">
        <f t="shared" si="160"/>
        <v>125</v>
      </c>
      <c r="L231" s="461">
        <v>6468</v>
      </c>
      <c r="N231" s="250">
        <f t="shared" si="161"/>
        <v>6468</v>
      </c>
      <c r="O231" s="250">
        <f t="shared" si="162"/>
        <v>53.9</v>
      </c>
      <c r="P231" s="250">
        <f t="shared" si="163"/>
        <v>646.79999999999995</v>
      </c>
      <c r="Q231" s="247">
        <f t="shared" si="164"/>
        <v>0</v>
      </c>
      <c r="R231" s="250">
        <f t="shared" si="165"/>
        <v>646.79999999999995</v>
      </c>
      <c r="S231" s="260">
        <v>1</v>
      </c>
      <c r="T231" s="250">
        <f t="shared" si="166"/>
        <v>646.79999999999995</v>
      </c>
      <c r="V231" s="250">
        <f t="shared" si="167"/>
        <v>5282.2000000000025</v>
      </c>
      <c r="W231" s="250">
        <f t="shared" si="168"/>
        <v>5282.2000000000025</v>
      </c>
      <c r="X231" s="260">
        <v>1</v>
      </c>
      <c r="Y231" s="250">
        <f t="shared" si="169"/>
        <v>5282.2000000000025</v>
      </c>
      <c r="Z231" s="250">
        <f t="shared" si="170"/>
        <v>5929.0000000000027</v>
      </c>
      <c r="AA231" s="250">
        <f t="shared" si="171"/>
        <v>862.39999999999736</v>
      </c>
      <c r="AB231" s="250">
        <f t="shared" si="177"/>
        <v>538.99999999999727</v>
      </c>
      <c r="AC231" s="259">
        <f t="shared" si="172"/>
        <v>115.33333333333333</v>
      </c>
      <c r="AD231" s="247">
        <f t="shared" si="173"/>
        <v>124.5</v>
      </c>
      <c r="AE231" s="259">
        <f t="shared" si="174"/>
        <v>125.33333333333333</v>
      </c>
      <c r="AF231" s="247">
        <f t="shared" si="175"/>
        <v>123.5</v>
      </c>
      <c r="AG231" s="258">
        <f t="shared" si="176"/>
        <v>-8.3333333333333329E-2</v>
      </c>
    </row>
    <row r="232" spans="1:47">
      <c r="A232" s="472"/>
      <c r="B232" s="255" t="s">
        <v>519</v>
      </c>
      <c r="C232" s="255">
        <v>117</v>
      </c>
      <c r="D232" s="255">
        <v>5</v>
      </c>
      <c r="E232" s="262">
        <v>0</v>
      </c>
      <c r="G232" s="255" t="s">
        <v>831</v>
      </c>
      <c r="H232" s="255">
        <v>10</v>
      </c>
      <c r="I232" s="247">
        <f t="shared" si="160"/>
        <v>127</v>
      </c>
      <c r="L232" s="461">
        <v>8542</v>
      </c>
      <c r="N232" s="250">
        <f t="shared" si="161"/>
        <v>8542</v>
      </c>
      <c r="O232" s="250">
        <f t="shared" si="162"/>
        <v>71.183333333333337</v>
      </c>
      <c r="P232" s="250">
        <f t="shared" si="163"/>
        <v>854.2</v>
      </c>
      <c r="Q232" s="247">
        <f t="shared" si="164"/>
        <v>0</v>
      </c>
      <c r="R232" s="250">
        <f t="shared" si="165"/>
        <v>854.2</v>
      </c>
      <c r="S232" s="260">
        <v>1</v>
      </c>
      <c r="T232" s="250">
        <f t="shared" si="166"/>
        <v>854.2</v>
      </c>
      <c r="V232" s="250">
        <f t="shared" si="167"/>
        <v>5267.5666666666712</v>
      </c>
      <c r="W232" s="250">
        <f t="shared" si="168"/>
        <v>5267.5666666666712</v>
      </c>
      <c r="X232" s="260">
        <v>1</v>
      </c>
      <c r="Y232" s="250">
        <f t="shared" si="169"/>
        <v>5267.5666666666712</v>
      </c>
      <c r="Z232" s="250">
        <f t="shared" si="170"/>
        <v>6121.766666666671</v>
      </c>
      <c r="AA232" s="250">
        <f t="shared" si="171"/>
        <v>2847.3333333333289</v>
      </c>
      <c r="AB232" s="250">
        <f t="shared" si="177"/>
        <v>2420.233333333329</v>
      </c>
      <c r="AC232" s="259">
        <f t="shared" si="172"/>
        <v>117.33333333333333</v>
      </c>
      <c r="AD232" s="247">
        <f t="shared" si="173"/>
        <v>124.5</v>
      </c>
      <c r="AE232" s="259">
        <f t="shared" si="174"/>
        <v>127.33333333333333</v>
      </c>
      <c r="AF232" s="247">
        <f t="shared" si="175"/>
        <v>123.5</v>
      </c>
      <c r="AG232" s="258">
        <f t="shared" si="176"/>
        <v>-8.3333333333333329E-2</v>
      </c>
    </row>
    <row r="233" spans="1:47">
      <c r="A233" s="472"/>
      <c r="B233" s="255" t="s">
        <v>517</v>
      </c>
      <c r="C233" s="255">
        <v>118</v>
      </c>
      <c r="D233" s="255">
        <v>3</v>
      </c>
      <c r="E233" s="262">
        <v>0</v>
      </c>
      <c r="G233" s="255" t="s">
        <v>831</v>
      </c>
      <c r="H233" s="255">
        <v>10</v>
      </c>
      <c r="I233" s="247">
        <f t="shared" si="160"/>
        <v>128</v>
      </c>
      <c r="L233" s="461">
        <v>4997.83</v>
      </c>
      <c r="N233" s="250">
        <f t="shared" si="161"/>
        <v>4997.83</v>
      </c>
      <c r="O233" s="250">
        <f t="shared" si="162"/>
        <v>41.648583333333335</v>
      </c>
      <c r="P233" s="250">
        <f t="shared" si="163"/>
        <v>499.78300000000002</v>
      </c>
      <c r="Q233" s="247">
        <f t="shared" si="164"/>
        <v>0</v>
      </c>
      <c r="R233" s="250">
        <f t="shared" si="165"/>
        <v>499.78300000000002</v>
      </c>
      <c r="S233" s="260">
        <v>1</v>
      </c>
      <c r="T233" s="250">
        <f t="shared" si="166"/>
        <v>499.78300000000002</v>
      </c>
      <c r="V233" s="250">
        <f t="shared" si="167"/>
        <v>2665.5093333333311</v>
      </c>
      <c r="W233" s="250">
        <f t="shared" si="168"/>
        <v>2665.5093333333311</v>
      </c>
      <c r="X233" s="260">
        <v>1</v>
      </c>
      <c r="Y233" s="250">
        <f t="shared" si="169"/>
        <v>2665.5093333333311</v>
      </c>
      <c r="Z233" s="250">
        <f t="shared" si="170"/>
        <v>3165.292333333331</v>
      </c>
      <c r="AA233" s="250">
        <f t="shared" si="171"/>
        <v>2082.4291666666686</v>
      </c>
      <c r="AB233" s="250">
        <f t="shared" si="177"/>
        <v>1832.5376666666689</v>
      </c>
      <c r="AC233" s="259">
        <f t="shared" si="172"/>
        <v>118.16666666666667</v>
      </c>
      <c r="AD233" s="247">
        <f t="shared" si="173"/>
        <v>124.5</v>
      </c>
      <c r="AE233" s="259">
        <f t="shared" si="174"/>
        <v>128.16666666666666</v>
      </c>
      <c r="AF233" s="247">
        <f t="shared" si="175"/>
        <v>123.5</v>
      </c>
      <c r="AG233" s="258">
        <f t="shared" si="176"/>
        <v>-8.3333333333333329E-2</v>
      </c>
    </row>
    <row r="234" spans="1:47">
      <c r="A234" s="472"/>
      <c r="B234" s="255" t="s">
        <v>518</v>
      </c>
      <c r="C234" s="255">
        <v>118</v>
      </c>
      <c r="D234" s="255">
        <v>5</v>
      </c>
      <c r="E234" s="262">
        <v>0</v>
      </c>
      <c r="G234" s="255" t="s">
        <v>831</v>
      </c>
      <c r="H234" s="255">
        <v>10</v>
      </c>
      <c r="I234" s="247">
        <f t="shared" si="160"/>
        <v>128</v>
      </c>
      <c r="L234" s="461">
        <v>5434</v>
      </c>
      <c r="N234" s="250">
        <f t="shared" si="161"/>
        <v>5434</v>
      </c>
      <c r="O234" s="250">
        <f t="shared" si="162"/>
        <v>45.283333333333331</v>
      </c>
      <c r="P234" s="250">
        <f t="shared" si="163"/>
        <v>543.4</v>
      </c>
      <c r="Q234" s="247">
        <f t="shared" si="164"/>
        <v>0</v>
      </c>
      <c r="R234" s="250">
        <f t="shared" si="165"/>
        <v>543.4</v>
      </c>
      <c r="S234" s="260">
        <v>1</v>
      </c>
      <c r="T234" s="250">
        <f t="shared" si="166"/>
        <v>543.4</v>
      </c>
      <c r="V234" s="250">
        <f t="shared" si="167"/>
        <v>2807.5666666666693</v>
      </c>
      <c r="W234" s="250">
        <f t="shared" si="168"/>
        <v>2807.5666666666693</v>
      </c>
      <c r="X234" s="260">
        <v>1</v>
      </c>
      <c r="Y234" s="250">
        <f t="shared" si="169"/>
        <v>2807.5666666666693</v>
      </c>
      <c r="Z234" s="250">
        <f t="shared" si="170"/>
        <v>3350.9666666666694</v>
      </c>
      <c r="AA234" s="250">
        <f t="shared" si="171"/>
        <v>2354.7333333333308</v>
      </c>
      <c r="AB234" s="250">
        <f t="shared" si="177"/>
        <v>2083.0333333333306</v>
      </c>
      <c r="AC234" s="259">
        <f t="shared" si="172"/>
        <v>118.33333333333333</v>
      </c>
      <c r="AD234" s="247">
        <f t="shared" si="173"/>
        <v>124.5</v>
      </c>
      <c r="AE234" s="259">
        <f t="shared" si="174"/>
        <v>128.33333333333334</v>
      </c>
      <c r="AF234" s="247">
        <f t="shared" si="175"/>
        <v>123.5</v>
      </c>
      <c r="AG234" s="258">
        <f t="shared" si="176"/>
        <v>-8.3333333333333329E-2</v>
      </c>
    </row>
    <row r="235" spans="1:47">
      <c r="A235" s="472"/>
      <c r="B235" s="255" t="s">
        <v>520</v>
      </c>
      <c r="C235" s="255">
        <v>118</v>
      </c>
      <c r="D235" s="255">
        <v>5</v>
      </c>
      <c r="E235" s="262">
        <v>0</v>
      </c>
      <c r="G235" s="255" t="s">
        <v>831</v>
      </c>
      <c r="H235" s="255">
        <v>10</v>
      </c>
      <c r="I235" s="247">
        <f t="shared" si="160"/>
        <v>128</v>
      </c>
      <c r="L235" s="461">
        <v>12251</v>
      </c>
      <c r="N235" s="250">
        <f t="shared" si="161"/>
        <v>12251</v>
      </c>
      <c r="O235" s="250">
        <f t="shared" si="162"/>
        <v>102.09166666666665</v>
      </c>
      <c r="P235" s="250">
        <f t="shared" si="163"/>
        <v>1225.0999999999999</v>
      </c>
      <c r="Q235" s="247">
        <f t="shared" si="164"/>
        <v>0</v>
      </c>
      <c r="R235" s="250">
        <f t="shared" si="165"/>
        <v>1225.0999999999999</v>
      </c>
      <c r="S235" s="260">
        <v>1</v>
      </c>
      <c r="T235" s="250">
        <f t="shared" si="166"/>
        <v>1225.0999999999999</v>
      </c>
      <c r="V235" s="250">
        <f t="shared" si="167"/>
        <v>6329.6833333333379</v>
      </c>
      <c r="W235" s="250">
        <f t="shared" si="168"/>
        <v>6329.6833333333379</v>
      </c>
      <c r="X235" s="260">
        <v>1</v>
      </c>
      <c r="Y235" s="250">
        <f t="shared" si="169"/>
        <v>6329.6833333333379</v>
      </c>
      <c r="Z235" s="250">
        <f t="shared" si="170"/>
        <v>7554.7833333333383</v>
      </c>
      <c r="AA235" s="250">
        <f t="shared" si="171"/>
        <v>5308.7666666666619</v>
      </c>
      <c r="AB235" s="250">
        <f t="shared" si="177"/>
        <v>4696.2166666666617</v>
      </c>
      <c r="AC235" s="259">
        <f t="shared" si="172"/>
        <v>118.33333333333333</v>
      </c>
      <c r="AD235" s="247">
        <f t="shared" si="173"/>
        <v>124.5</v>
      </c>
      <c r="AE235" s="259">
        <f t="shared" si="174"/>
        <v>128.33333333333334</v>
      </c>
      <c r="AF235" s="247">
        <f t="shared" si="175"/>
        <v>123.5</v>
      </c>
      <c r="AG235" s="258">
        <f t="shared" si="176"/>
        <v>-8.3333333333333329E-2</v>
      </c>
    </row>
    <row r="236" spans="1:47">
      <c r="A236" s="472"/>
      <c r="B236" s="255" t="s">
        <v>521</v>
      </c>
      <c r="C236" s="255">
        <v>118</v>
      </c>
      <c r="D236" s="255">
        <v>5</v>
      </c>
      <c r="E236" s="262">
        <v>0</v>
      </c>
      <c r="G236" s="255" t="s">
        <v>831</v>
      </c>
      <c r="H236" s="255">
        <v>10</v>
      </c>
      <c r="I236" s="247">
        <f t="shared" si="160"/>
        <v>128</v>
      </c>
      <c r="L236" s="461">
        <v>4958</v>
      </c>
      <c r="N236" s="250">
        <f t="shared" si="161"/>
        <v>4958</v>
      </c>
      <c r="O236" s="250">
        <f t="shared" si="162"/>
        <v>41.31666666666667</v>
      </c>
      <c r="P236" s="250">
        <f t="shared" si="163"/>
        <v>495.80000000000007</v>
      </c>
      <c r="Q236" s="247">
        <f t="shared" si="164"/>
        <v>0</v>
      </c>
      <c r="R236" s="250">
        <f t="shared" si="165"/>
        <v>495.80000000000007</v>
      </c>
      <c r="S236" s="260">
        <v>1</v>
      </c>
      <c r="T236" s="250">
        <f t="shared" si="166"/>
        <v>495.80000000000007</v>
      </c>
      <c r="V236" s="250">
        <f t="shared" si="167"/>
        <v>2561.6333333333359</v>
      </c>
      <c r="W236" s="250">
        <f t="shared" si="168"/>
        <v>2561.6333333333359</v>
      </c>
      <c r="X236" s="260">
        <v>1</v>
      </c>
      <c r="Y236" s="250">
        <f t="shared" si="169"/>
        <v>2561.6333333333359</v>
      </c>
      <c r="Z236" s="250">
        <f t="shared" si="170"/>
        <v>3057.4333333333361</v>
      </c>
      <c r="AA236" s="250">
        <f t="shared" si="171"/>
        <v>2148.466666666664</v>
      </c>
      <c r="AB236" s="250">
        <f t="shared" si="177"/>
        <v>1900.5666666666639</v>
      </c>
      <c r="AC236" s="259">
        <f t="shared" si="172"/>
        <v>118.33333333333333</v>
      </c>
      <c r="AD236" s="247">
        <f t="shared" si="173"/>
        <v>124.5</v>
      </c>
      <c r="AE236" s="259">
        <f t="shared" si="174"/>
        <v>128.33333333333334</v>
      </c>
      <c r="AF236" s="247">
        <f t="shared" si="175"/>
        <v>123.5</v>
      </c>
      <c r="AG236" s="258">
        <f t="shared" si="176"/>
        <v>-8.3333333333333329E-2</v>
      </c>
    </row>
    <row r="237" spans="1:47">
      <c r="A237" s="472"/>
      <c r="B237" s="255" t="s">
        <v>522</v>
      </c>
      <c r="C237" s="255">
        <v>118</v>
      </c>
      <c r="D237" s="255">
        <v>5</v>
      </c>
      <c r="E237" s="262">
        <v>0</v>
      </c>
      <c r="G237" s="255" t="s">
        <v>831</v>
      </c>
      <c r="H237" s="255">
        <v>10</v>
      </c>
      <c r="I237" s="247">
        <f>C237+H237</f>
        <v>128</v>
      </c>
      <c r="L237" s="461">
        <v>11162</v>
      </c>
      <c r="N237" s="250">
        <f>L237-L237*E237</f>
        <v>11162</v>
      </c>
      <c r="O237" s="250">
        <f>N237/H237/12</f>
        <v>93.016666666666666</v>
      </c>
      <c r="P237" s="250">
        <f>IF(M237&gt;0,0,IF(OR(AC237&gt;AD237,AE237&lt;AF237),0,IF(AND(AE237&gt;=AF237,AE237&lt;=AD237),O237*((AE237-AF237)*12),IF(AND(AF237&lt;=AC237,AD237&gt;=AC237),((AD237-AC237)*12)*O237,IF(AE237&gt;AD237,12*O237,0)))))</f>
        <v>1116.2</v>
      </c>
      <c r="Q237" s="247">
        <f>IF(M237=0,0,IF(AND(AG237&gt;=AF237,AG237&lt;=AE237),((AG237-AF237)*12)*O237,0))</f>
        <v>0</v>
      </c>
      <c r="R237" s="250">
        <f>IF(Q237&gt;0,Q237,P237)</f>
        <v>1116.2</v>
      </c>
      <c r="S237" s="260">
        <v>1</v>
      </c>
      <c r="T237" s="250">
        <f>S237*SUM(P237:Q237)</f>
        <v>1116.2</v>
      </c>
      <c r="V237" s="250">
        <f>IF(AC237&gt;AD237,0,IF(AE237&lt;AF237,N237,IF(AND(AE237&gt;=AF237,AE237&lt;=AD237),(N237-R237),IF(AND(AF237&lt;=AC237,AD237&gt;=AC237),0,IF(AE237&gt;AD237,((AF237-AC237)*12)*O237,0)))))</f>
        <v>5767.0333333333383</v>
      </c>
      <c r="W237" s="250">
        <f>V237*S237</f>
        <v>5767.0333333333383</v>
      </c>
      <c r="X237" s="260">
        <v>1</v>
      </c>
      <c r="Y237" s="250">
        <f>W237*X237</f>
        <v>5767.0333333333383</v>
      </c>
      <c r="Z237" s="250">
        <f>IF(M237&gt;0,0,Y237+T237*X237)*X237</f>
        <v>6883.2333333333381</v>
      </c>
      <c r="AA237" s="250">
        <f t="shared" si="171"/>
        <v>4836.8666666666613</v>
      </c>
      <c r="AB237" s="250">
        <f>L237-Z237</f>
        <v>4278.7666666666619</v>
      </c>
      <c r="AC237" s="259">
        <f t="shared" si="172"/>
        <v>118.33333333333333</v>
      </c>
      <c r="AD237" s="247">
        <f t="shared" si="173"/>
        <v>124.5</v>
      </c>
      <c r="AE237" s="259">
        <f t="shared" si="174"/>
        <v>128.33333333333334</v>
      </c>
      <c r="AF237" s="247">
        <f t="shared" si="175"/>
        <v>123.5</v>
      </c>
      <c r="AG237" s="258">
        <f t="shared" si="176"/>
        <v>-8.3333333333333329E-2</v>
      </c>
    </row>
    <row r="238" spans="1:47">
      <c r="B238" s="255" t="s">
        <v>523</v>
      </c>
      <c r="C238" s="255">
        <v>121</v>
      </c>
      <c r="D238" s="255">
        <v>5</v>
      </c>
      <c r="E238" s="262">
        <v>0</v>
      </c>
      <c r="G238" s="255" t="s">
        <v>831</v>
      </c>
      <c r="H238" s="255">
        <v>10</v>
      </c>
      <c r="I238" s="247">
        <f>C238+H238</f>
        <v>131</v>
      </c>
      <c r="L238" s="253">
        <v>553</v>
      </c>
      <c r="N238" s="250">
        <f>L238-L238*E238</f>
        <v>553</v>
      </c>
      <c r="O238" s="250">
        <f>N238/H238/12</f>
        <v>4.6083333333333334</v>
      </c>
      <c r="P238" s="250">
        <f>IF(M238&gt;0,0,IF(OR(AC238&gt;AD238,AE238&lt;AF238),0,IF(AND(AE238&gt;=AF238,AE238&lt;=AD238),O238*((AE238-AF238)*12),IF(AND(AF238&lt;=AC238,AD238&gt;=AC238),((AD238-AC238)*12)*O238,IF(AE238&gt;AD238,12*O238,0)))))</f>
        <v>55.3</v>
      </c>
      <c r="Q238" s="247">
        <f>IF(M238=0,0,IF(AND(AG238&gt;=AF238,AG238&lt;=AE238),((AG238-AF238)*12)*O238,0))</f>
        <v>0</v>
      </c>
      <c r="R238" s="250">
        <f>IF(Q238&gt;0,Q238,P238)</f>
        <v>55.3</v>
      </c>
      <c r="S238" s="260">
        <v>1</v>
      </c>
      <c r="T238" s="250">
        <f>S238*SUM(P238:Q238)</f>
        <v>55.3</v>
      </c>
      <c r="V238" s="250">
        <f>IF(AC238&gt;AD238,0,IF(AE238&lt;AF238,N238,IF(AND(AE238&gt;=AF238,AE238&lt;=AD238),(N238-R238),IF(AND(AF238&lt;=AC238,AD238&gt;=AC238),0,IF(AE238&gt;AD238,((AF238-AC238)*12)*O238,0)))))</f>
        <v>119.81666666666693</v>
      </c>
      <c r="W238" s="250">
        <f>V238*S238</f>
        <v>119.81666666666693</v>
      </c>
      <c r="X238" s="260">
        <v>1</v>
      </c>
      <c r="Y238" s="250">
        <f>W238*X238</f>
        <v>119.81666666666693</v>
      </c>
      <c r="Z238" s="250">
        <f>IF(M238&gt;0,0,Y238+T238*X238)*X238</f>
        <v>175.11666666666693</v>
      </c>
      <c r="AA238" s="250">
        <f t="shared" si="171"/>
        <v>405.53333333333308</v>
      </c>
      <c r="AB238" s="250">
        <f>L238-Z238</f>
        <v>377.8833333333331</v>
      </c>
      <c r="AC238" s="259">
        <f t="shared" si="172"/>
        <v>121.33333333333333</v>
      </c>
      <c r="AD238" s="247">
        <f t="shared" si="173"/>
        <v>124.5</v>
      </c>
      <c r="AE238" s="259">
        <f t="shared" si="174"/>
        <v>131.33333333333334</v>
      </c>
      <c r="AF238" s="247">
        <f t="shared" si="175"/>
        <v>123.5</v>
      </c>
      <c r="AG238" s="258">
        <f t="shared" si="176"/>
        <v>-8.3333333333333329E-2</v>
      </c>
    </row>
    <row r="239" spans="1:47">
      <c r="B239" s="255" t="s">
        <v>524</v>
      </c>
      <c r="C239" s="255">
        <v>121</v>
      </c>
      <c r="D239" s="255">
        <v>7</v>
      </c>
      <c r="E239" s="262">
        <v>0</v>
      </c>
      <c r="G239" s="255" t="s">
        <v>831</v>
      </c>
      <c r="H239" s="255">
        <v>10</v>
      </c>
      <c r="I239" s="247">
        <f>C239+H239</f>
        <v>131</v>
      </c>
      <c r="L239" s="253">
        <v>2673</v>
      </c>
      <c r="N239" s="250">
        <f>L239-L239*E239</f>
        <v>2673</v>
      </c>
      <c r="O239" s="250">
        <f>N239/H239/12</f>
        <v>22.275000000000002</v>
      </c>
      <c r="P239" s="250">
        <f>IF(M239&gt;0,0,IF(OR(AC239&gt;AD239,AE239&lt;AF239),0,IF(AND(AE239&gt;=AF239,AE239&lt;=AD239),O239*((AE239-AF239)*12),IF(AND(AF239&lt;=AC239,AD239&gt;=AC239),((AD239-AC239)*12)*O239,IF(AE239&gt;AD239,12*O239,0)))))</f>
        <v>267.3</v>
      </c>
      <c r="Q239" s="247">
        <f>IF(M239=0,0,IF(AND(AG239&gt;=AF239,AG239&lt;=AE239),((AG239-AF239)*12)*O239,0))</f>
        <v>0</v>
      </c>
      <c r="R239" s="250">
        <f>IF(Q239&gt;0,Q239,P239)</f>
        <v>267.3</v>
      </c>
      <c r="S239" s="260">
        <v>1</v>
      </c>
      <c r="T239" s="250">
        <f>S239*SUM(P239:Q239)</f>
        <v>267.3</v>
      </c>
      <c r="V239" s="250">
        <f>IF(AC239&gt;AD239,0,IF(AE239&lt;AF239,N239,IF(AND(AE239&gt;=AF239,AE239&lt;=AD239),(N239-R239),IF(AND(AF239&lt;=AC239,AD239&gt;=AC239),0,IF(AE239&gt;AD239,((AF239-AC239)*12)*O239,0)))))</f>
        <v>534.6</v>
      </c>
      <c r="W239" s="250">
        <f>V239*S239</f>
        <v>534.6</v>
      </c>
      <c r="X239" s="260">
        <v>1</v>
      </c>
      <c r="Y239" s="250">
        <f>W239*X239</f>
        <v>534.6</v>
      </c>
      <c r="Z239" s="250">
        <f>IF(M239&gt;0,0,Y239+T239*X239)*X239</f>
        <v>801.90000000000009</v>
      </c>
      <c r="AA239" s="250">
        <f t="shared" si="171"/>
        <v>2004.75</v>
      </c>
      <c r="AB239" s="250">
        <f>L239-Z239</f>
        <v>1871.1</v>
      </c>
      <c r="AC239" s="259">
        <f t="shared" si="172"/>
        <v>121.5</v>
      </c>
      <c r="AD239" s="247">
        <f t="shared" si="173"/>
        <v>124.5</v>
      </c>
      <c r="AE239" s="259">
        <f t="shared" si="174"/>
        <v>131.5</v>
      </c>
      <c r="AF239" s="247">
        <f t="shared" si="175"/>
        <v>123.5</v>
      </c>
      <c r="AG239" s="258">
        <f t="shared" si="176"/>
        <v>-8.3333333333333329E-2</v>
      </c>
    </row>
    <row r="240" spans="1:47">
      <c r="B240" s="255" t="s">
        <v>525</v>
      </c>
      <c r="C240" s="255">
        <v>121</v>
      </c>
      <c r="D240" s="255">
        <v>7</v>
      </c>
      <c r="E240" s="262">
        <v>0</v>
      </c>
      <c r="G240" s="255" t="s">
        <v>831</v>
      </c>
      <c r="H240" s="255">
        <v>10</v>
      </c>
      <c r="I240" s="247">
        <f>C240+H240</f>
        <v>131</v>
      </c>
      <c r="L240" s="253">
        <v>2586</v>
      </c>
      <c r="N240" s="250">
        <f>L240-L240*E240</f>
        <v>2586</v>
      </c>
      <c r="O240" s="250">
        <f>N240/H240/12</f>
        <v>21.55</v>
      </c>
      <c r="P240" s="250">
        <f>IF(M240&gt;0,0,IF(OR(AC240&gt;AD240,AE240&lt;AF240),0,IF(AND(AE240&gt;=AF240,AE240&lt;=AD240),O240*((AE240-AF240)*12),IF(AND(AF240&lt;=AC240,AD240&gt;=AC240),((AD240-AC240)*12)*O240,IF(AE240&gt;AD240,12*O240,0)))))</f>
        <v>258.60000000000002</v>
      </c>
      <c r="Q240" s="247">
        <f>IF(M240=0,0,IF(AND(AG240&gt;=AF240,AG240&lt;=AE240),((AG240-AF240)*12)*O240,0))</f>
        <v>0</v>
      </c>
      <c r="R240" s="250">
        <f>IF(Q240&gt;0,Q240,P240)</f>
        <v>258.60000000000002</v>
      </c>
      <c r="S240" s="260">
        <v>1</v>
      </c>
      <c r="T240" s="250">
        <f>S240*SUM(P240:Q240)</f>
        <v>258.60000000000002</v>
      </c>
      <c r="V240" s="250">
        <f>IF(AC240&gt;AD240,0,IF(AE240&lt;AF240,N240,IF(AND(AE240&gt;=AF240,AE240&lt;=AD240),(N240-R240),IF(AND(AF240&lt;=AC240,AD240&gt;=AC240),0,IF(AE240&gt;AD240,((AF240-AC240)*12)*O240,0)))))</f>
        <v>517.20000000000005</v>
      </c>
      <c r="W240" s="250">
        <f>V240*S240</f>
        <v>517.20000000000005</v>
      </c>
      <c r="X240" s="260">
        <v>1</v>
      </c>
      <c r="Y240" s="250">
        <f>W240*X240</f>
        <v>517.20000000000005</v>
      </c>
      <c r="Z240" s="250">
        <f>IF(M240&gt;0,0,Y240+T240*X240)*X240</f>
        <v>775.80000000000007</v>
      </c>
      <c r="AA240" s="250">
        <f t="shared" si="171"/>
        <v>1939.5</v>
      </c>
      <c r="AB240" s="250">
        <f>L240-Z240</f>
        <v>1810.1999999999998</v>
      </c>
      <c r="AC240" s="259">
        <f t="shared" si="172"/>
        <v>121.5</v>
      </c>
      <c r="AD240" s="247">
        <f t="shared" si="173"/>
        <v>124.5</v>
      </c>
      <c r="AE240" s="259">
        <f t="shared" si="174"/>
        <v>131.5</v>
      </c>
      <c r="AF240" s="247">
        <f t="shared" si="175"/>
        <v>123.5</v>
      </c>
      <c r="AG240" s="258">
        <f t="shared" si="176"/>
        <v>-8.3333333333333329E-2</v>
      </c>
    </row>
    <row r="241" spans="2:33">
      <c r="B241" s="255" t="s">
        <v>526</v>
      </c>
      <c r="C241" s="255">
        <v>121</v>
      </c>
      <c r="D241" s="255">
        <v>7</v>
      </c>
      <c r="E241" s="262">
        <v>0</v>
      </c>
      <c r="G241" s="255" t="s">
        <v>831</v>
      </c>
      <c r="H241" s="255">
        <v>10</v>
      </c>
      <c r="I241" s="247">
        <f>C241+H241</f>
        <v>131</v>
      </c>
      <c r="L241" s="253">
        <v>31058</v>
      </c>
      <c r="N241" s="250">
        <f>L241-L241*E241</f>
        <v>31058</v>
      </c>
      <c r="O241" s="250">
        <f>N241/H241/12</f>
        <v>258.81666666666666</v>
      </c>
      <c r="P241" s="250">
        <f>IF(M241&gt;0,0,IF(OR(AC241&gt;AD241,AE241&lt;AF241),0,IF(AND(AE241&gt;=AF241,AE241&lt;=AD241),O241*((AE241-AF241)*12),IF(AND(AF241&lt;=AC241,AD241&gt;=AC241),((AD241-AC241)*12)*O241,IF(AE241&gt;AD241,12*O241,0)))))</f>
        <v>3105.8</v>
      </c>
      <c r="Q241" s="247">
        <f>IF(M241=0,0,IF(AND(AG241&gt;=AF241,AG241&lt;=AE241),((AG241-AF241)*12)*O241,0))</f>
        <v>0</v>
      </c>
      <c r="R241" s="250">
        <f>IF(Q241&gt;0,Q241,P241)</f>
        <v>3105.8</v>
      </c>
      <c r="S241" s="260">
        <v>1</v>
      </c>
      <c r="T241" s="250">
        <f>S241*SUM(P241:Q241)</f>
        <v>3105.8</v>
      </c>
      <c r="V241" s="250">
        <f>IF(AC241&gt;AD241,0,IF(AE241&lt;AF241,N241,IF(AND(AE241&gt;=AF241,AE241&lt;=AD241),(N241-R241),IF(AND(AF241&lt;=AC241,AD241&gt;=AC241),0,IF(AE241&gt;AD241,((AF241-AC241)*12)*O241,0)))))</f>
        <v>6211.6</v>
      </c>
      <c r="W241" s="250">
        <f>V241*S241</f>
        <v>6211.6</v>
      </c>
      <c r="X241" s="260">
        <v>1</v>
      </c>
      <c r="Y241" s="250">
        <f>W241*X241</f>
        <v>6211.6</v>
      </c>
      <c r="Z241" s="250">
        <f>IF(M241&gt;0,0,Y241+T241*X241)*X241</f>
        <v>9317.4000000000015</v>
      </c>
      <c r="AA241" s="250">
        <f t="shared" si="171"/>
        <v>23293.5</v>
      </c>
      <c r="AB241" s="250">
        <f>L241-Z241</f>
        <v>21740.6</v>
      </c>
      <c r="AC241" s="259">
        <f t="shared" si="172"/>
        <v>121.5</v>
      </c>
      <c r="AD241" s="247">
        <f t="shared" si="173"/>
        <v>124.5</v>
      </c>
      <c r="AE241" s="259">
        <f t="shared" si="174"/>
        <v>131.5</v>
      </c>
      <c r="AF241" s="247">
        <f t="shared" si="175"/>
        <v>123.5</v>
      </c>
      <c r="AG241" s="258">
        <f t="shared" si="176"/>
        <v>-8.3333333333333329E-2</v>
      </c>
    </row>
    <row r="242" spans="2:33">
      <c r="B242" s="255" t="s">
        <v>527</v>
      </c>
      <c r="C242" s="255">
        <v>121</v>
      </c>
      <c r="D242" s="255">
        <v>7</v>
      </c>
      <c r="E242" s="262">
        <v>0</v>
      </c>
      <c r="G242" s="255" t="s">
        <v>831</v>
      </c>
      <c r="H242" s="255">
        <v>10</v>
      </c>
      <c r="I242" s="247">
        <f t="shared" si="160"/>
        <v>131</v>
      </c>
      <c r="L242" s="253">
        <v>10026</v>
      </c>
      <c r="N242" s="250">
        <f t="shared" si="161"/>
        <v>10026</v>
      </c>
      <c r="O242" s="250">
        <f t="shared" si="162"/>
        <v>83.55</v>
      </c>
      <c r="P242" s="250">
        <f t="shared" si="163"/>
        <v>1002.5999999999999</v>
      </c>
      <c r="Q242" s="247">
        <f t="shared" si="164"/>
        <v>0</v>
      </c>
      <c r="R242" s="250">
        <f t="shared" si="165"/>
        <v>1002.5999999999999</v>
      </c>
      <c r="S242" s="260">
        <v>1</v>
      </c>
      <c r="T242" s="250">
        <f t="shared" si="166"/>
        <v>1002.5999999999999</v>
      </c>
      <c r="V242" s="250">
        <f t="shared" si="167"/>
        <v>2005.1999999999998</v>
      </c>
      <c r="W242" s="250">
        <f t="shared" si="168"/>
        <v>2005.1999999999998</v>
      </c>
      <c r="X242" s="260">
        <v>1</v>
      </c>
      <c r="Y242" s="250">
        <f t="shared" si="169"/>
        <v>2005.1999999999998</v>
      </c>
      <c r="Z242" s="250">
        <f t="shared" si="170"/>
        <v>3007.7999999999997</v>
      </c>
      <c r="AA242" s="250">
        <f t="shared" si="171"/>
        <v>7519.5</v>
      </c>
      <c r="AB242" s="250">
        <f t="shared" si="177"/>
        <v>7018.2000000000007</v>
      </c>
      <c r="AC242" s="259">
        <f t="shared" si="172"/>
        <v>121.5</v>
      </c>
      <c r="AD242" s="247">
        <f t="shared" si="173"/>
        <v>124.5</v>
      </c>
      <c r="AE242" s="259">
        <f t="shared" si="174"/>
        <v>131.5</v>
      </c>
      <c r="AF242" s="247">
        <f t="shared" si="175"/>
        <v>123.5</v>
      </c>
      <c r="AG242" s="258">
        <f t="shared" si="176"/>
        <v>-8.3333333333333329E-2</v>
      </c>
    </row>
    <row r="243" spans="2:33">
      <c r="I243" s="252"/>
      <c r="L243" s="250"/>
      <c r="N243" s="250"/>
      <c r="P243" s="267"/>
      <c r="Q243" s="267"/>
      <c r="R243" s="266"/>
      <c r="Y243" s="250"/>
      <c r="Z243" s="250"/>
    </row>
    <row r="244" spans="2:33" ht="16.5" thickBot="1">
      <c r="B244" s="255" t="s">
        <v>838</v>
      </c>
      <c r="I244" s="252"/>
      <c r="L244" s="250">
        <f>SUM(L217:L243)</f>
        <v>301694.82999999996</v>
      </c>
      <c r="N244" s="250">
        <f>SUM(N217:N243)</f>
        <v>301694.82999999996</v>
      </c>
      <c r="P244" s="251">
        <f>SUM(P217:P242)</f>
        <v>18148.524666666697</v>
      </c>
      <c r="Q244" s="251">
        <f>SUM(Q217:Q242)</f>
        <v>0</v>
      </c>
      <c r="R244" s="263">
        <f>SUM(R217:R242)</f>
        <v>18148.524666666697</v>
      </c>
      <c r="T244" s="257">
        <f>SUM(T217:T242)</f>
        <v>18148.524666666697</v>
      </c>
      <c r="V244" s="250">
        <f>SUM(V217:V243)</f>
        <v>231735.10100000005</v>
      </c>
      <c r="W244" s="250">
        <f>SUM(W217:W243)</f>
        <v>231735.10100000005</v>
      </c>
      <c r="Y244" s="250">
        <f>SUM(Y217:Y243)</f>
        <v>231735.10100000005</v>
      </c>
      <c r="Z244" s="250">
        <f>SUM(Z217:Z243)</f>
        <v>249883.62566666663</v>
      </c>
      <c r="AA244" s="257">
        <f>SUM(AA217:AA242)</f>
        <v>60885.466666666653</v>
      </c>
      <c r="AB244" s="257">
        <f>SUM(AB217:AB242)</f>
        <v>51811.204333333299</v>
      </c>
    </row>
    <row r="245" spans="2:33" ht="16.5" thickTop="1">
      <c r="I245" s="252" t="s">
        <v>832</v>
      </c>
      <c r="L245" s="256">
        <f>SUM(L217:L242)</f>
        <v>301694.82999999996</v>
      </c>
      <c r="N245" s="250"/>
      <c r="R245" s="250"/>
      <c r="T245" s="251"/>
      <c r="Y245" s="250"/>
      <c r="Z245" s="250"/>
      <c r="AA245" s="251"/>
      <c r="AB245" s="251"/>
    </row>
    <row r="246" spans="2:33">
      <c r="B246" s="255" t="s">
        <v>839</v>
      </c>
      <c r="I246" s="252"/>
      <c r="L246" s="250"/>
      <c r="N246" s="250"/>
      <c r="R246" s="250"/>
      <c r="T246" s="251"/>
      <c r="Y246" s="250"/>
      <c r="Z246" s="250"/>
      <c r="AA246" s="251"/>
      <c r="AB246" s="251"/>
    </row>
    <row r="247" spans="2:33">
      <c r="B247" s="255" t="s">
        <v>528</v>
      </c>
      <c r="C247" s="255">
        <v>90</v>
      </c>
      <c r="D247" s="255">
        <v>8</v>
      </c>
      <c r="E247" s="262">
        <v>0</v>
      </c>
      <c r="G247" s="255" t="s">
        <v>831</v>
      </c>
      <c r="H247" s="255">
        <v>10</v>
      </c>
      <c r="I247" s="261">
        <f t="shared" ref="I247:I281" si="178">+C247+H247</f>
        <v>100</v>
      </c>
      <c r="L247" s="253">
        <v>6972</v>
      </c>
      <c r="N247" s="250">
        <f t="shared" ref="N247:N281" si="179">L247-L247*E247</f>
        <v>6972</v>
      </c>
      <c r="O247" s="250">
        <f t="shared" ref="O247:O281" si="180">N247/H247/12</f>
        <v>58.1</v>
      </c>
      <c r="P247" s="250">
        <f t="shared" ref="P247:P281" si="181">IF(M247&gt;0,0,IF(OR(AC247&gt;AD247,AE247&lt;AF247),0,IF(AND(AE247&gt;=AF247,AE247&lt;=AD247),O247*((AE247-AF247)*12),IF(AND(AF247&lt;=AC247,AD247&gt;=AC247),((AD247-AC247)*12)*O247,IF(AE247&gt;AD247,12*O247,0)))))</f>
        <v>0</v>
      </c>
      <c r="Q247" s="247">
        <f t="shared" ref="Q247:Q281" si="182">IF(M247=0,0,IF(AND(AG247&gt;=AF247,AG247&lt;=AE247),((AG247-AF247)*12)*O247,0))</f>
        <v>0</v>
      </c>
      <c r="R247" s="250">
        <f t="shared" ref="R247:R281" si="183">IF(Q247&gt;0,Q247,P247)</f>
        <v>0</v>
      </c>
      <c r="S247" s="260">
        <v>1</v>
      </c>
      <c r="T247" s="250">
        <f t="shared" ref="T247:T281" si="184">S247*SUM(P247:Q247)</f>
        <v>0</v>
      </c>
      <c r="V247" s="250">
        <f t="shared" ref="V247:V281" si="185">IF(AC247&gt;AD247,0,IF(AE247&lt;AF247,N247,IF(AND(AE247&gt;=AF247,AE247&lt;=AD247),(N247-R247),IF(AND(AF247&lt;=AC247,AD247&gt;=AC247),0,IF(AE247&gt;AD247,((AF247-AC247)*12)*O247,0)))))</f>
        <v>6972</v>
      </c>
      <c r="W247" s="250">
        <f t="shared" ref="W247:W281" si="186">V247*S247</f>
        <v>6972</v>
      </c>
      <c r="X247" s="260">
        <v>1</v>
      </c>
      <c r="Y247" s="250">
        <f t="shared" ref="Y247:Y281" si="187">W247*X247</f>
        <v>6972</v>
      </c>
      <c r="Z247" s="250">
        <f t="shared" ref="Z247:Z281" si="188">IF(M247&gt;0,0,Y247+T247*X247)*X247</f>
        <v>6972</v>
      </c>
      <c r="AA247" s="250">
        <f t="shared" ref="AA247:AA281" si="189">IF(M247&gt;0,(L247-Y247)/2,IF(AC247&gt;=AF247,(((L247*S247)*X247)-Z247)/2,((((L247*S247)*X247)-Y247)+(((L247*S247)*X247)-Z247))/2))</f>
        <v>0</v>
      </c>
      <c r="AB247" s="250">
        <f>L247-Z247</f>
        <v>0</v>
      </c>
      <c r="AC247" s="259">
        <f t="shared" ref="AC247:AC281" si="190">$C247+(($D247-1)/12)</f>
        <v>90.583333333333329</v>
      </c>
      <c r="AD247" s="247">
        <f t="shared" ref="AD247:AD281" si="191">($N$5+1)-($N$2/12)</f>
        <v>124.5</v>
      </c>
      <c r="AE247" s="259">
        <f t="shared" ref="AE247:AE281" si="192">$I247+(($D247-1)/12)</f>
        <v>100.58333333333333</v>
      </c>
      <c r="AF247" s="247">
        <f t="shared" ref="AF247:AF281" si="193">$N$4+($N$3/12)</f>
        <v>123.5</v>
      </c>
      <c r="AG247" s="258">
        <f t="shared" ref="AG247:AG281" si="194">$J247+(($K247-1)/12)</f>
        <v>-8.3333333333333329E-2</v>
      </c>
    </row>
    <row r="248" spans="2:33">
      <c r="B248" s="255" t="s">
        <v>529</v>
      </c>
      <c r="C248" s="255">
        <v>90</v>
      </c>
      <c r="D248" s="255">
        <v>9</v>
      </c>
      <c r="E248" s="262">
        <v>0</v>
      </c>
      <c r="G248" s="255" t="s">
        <v>831</v>
      </c>
      <c r="H248" s="255">
        <v>10</v>
      </c>
      <c r="I248" s="261">
        <f t="shared" si="178"/>
        <v>100</v>
      </c>
      <c r="L248" s="253">
        <v>3658</v>
      </c>
      <c r="N248" s="250">
        <f t="shared" si="179"/>
        <v>3658</v>
      </c>
      <c r="O248" s="250">
        <f t="shared" si="180"/>
        <v>30.483333333333334</v>
      </c>
      <c r="P248" s="250">
        <f t="shared" si="181"/>
        <v>0</v>
      </c>
      <c r="Q248" s="247">
        <f t="shared" si="182"/>
        <v>0</v>
      </c>
      <c r="R248" s="250">
        <f t="shared" si="183"/>
        <v>0</v>
      </c>
      <c r="S248" s="260">
        <v>1</v>
      </c>
      <c r="T248" s="250">
        <f t="shared" si="184"/>
        <v>0</v>
      </c>
      <c r="V248" s="250">
        <f t="shared" si="185"/>
        <v>3658</v>
      </c>
      <c r="W248" s="250">
        <f t="shared" si="186"/>
        <v>3658</v>
      </c>
      <c r="X248" s="260">
        <v>1</v>
      </c>
      <c r="Y248" s="250">
        <f t="shared" si="187"/>
        <v>3658</v>
      </c>
      <c r="Z248" s="250">
        <f t="shared" si="188"/>
        <v>3658</v>
      </c>
      <c r="AA248" s="250">
        <f t="shared" si="189"/>
        <v>0</v>
      </c>
      <c r="AB248" s="250">
        <f t="shared" ref="AB248:AB281" si="195">L248-Z248</f>
        <v>0</v>
      </c>
      <c r="AC248" s="259">
        <f t="shared" si="190"/>
        <v>90.666666666666671</v>
      </c>
      <c r="AD248" s="247">
        <f t="shared" si="191"/>
        <v>124.5</v>
      </c>
      <c r="AE248" s="259">
        <f t="shared" si="192"/>
        <v>100.66666666666667</v>
      </c>
      <c r="AF248" s="247">
        <f t="shared" si="193"/>
        <v>123.5</v>
      </c>
      <c r="AG248" s="258">
        <f t="shared" si="194"/>
        <v>-8.3333333333333329E-2</v>
      </c>
    </row>
    <row r="249" spans="2:33">
      <c r="B249" s="255" t="s">
        <v>530</v>
      </c>
      <c r="C249" s="255">
        <v>90</v>
      </c>
      <c r="D249" s="255">
        <v>10</v>
      </c>
      <c r="E249" s="262">
        <v>0</v>
      </c>
      <c r="G249" s="255" t="s">
        <v>831</v>
      </c>
      <c r="H249" s="255">
        <v>10</v>
      </c>
      <c r="I249" s="261">
        <f t="shared" si="178"/>
        <v>100</v>
      </c>
      <c r="L249" s="253">
        <v>3775</v>
      </c>
      <c r="N249" s="250">
        <f t="shared" si="179"/>
        <v>3775</v>
      </c>
      <c r="O249" s="250">
        <f t="shared" si="180"/>
        <v>31.458333333333332</v>
      </c>
      <c r="P249" s="250">
        <f t="shared" si="181"/>
        <v>0</v>
      </c>
      <c r="Q249" s="247">
        <f t="shared" si="182"/>
        <v>0</v>
      </c>
      <c r="R249" s="250">
        <f t="shared" si="183"/>
        <v>0</v>
      </c>
      <c r="S249" s="260">
        <v>1</v>
      </c>
      <c r="T249" s="250">
        <f t="shared" si="184"/>
        <v>0</v>
      </c>
      <c r="V249" s="250">
        <f t="shared" si="185"/>
        <v>3775</v>
      </c>
      <c r="W249" s="250">
        <f t="shared" si="186"/>
        <v>3775</v>
      </c>
      <c r="X249" s="260">
        <v>1</v>
      </c>
      <c r="Y249" s="250">
        <f t="shared" si="187"/>
        <v>3775</v>
      </c>
      <c r="Z249" s="250">
        <f t="shared" si="188"/>
        <v>3775</v>
      </c>
      <c r="AA249" s="250">
        <f t="shared" si="189"/>
        <v>0</v>
      </c>
      <c r="AB249" s="250">
        <f t="shared" si="195"/>
        <v>0</v>
      </c>
      <c r="AC249" s="259">
        <f t="shared" si="190"/>
        <v>90.75</v>
      </c>
      <c r="AD249" s="247">
        <f t="shared" si="191"/>
        <v>124.5</v>
      </c>
      <c r="AE249" s="259">
        <f t="shared" si="192"/>
        <v>100.75</v>
      </c>
      <c r="AF249" s="247">
        <f t="shared" si="193"/>
        <v>123.5</v>
      </c>
      <c r="AG249" s="258">
        <f t="shared" si="194"/>
        <v>-8.3333333333333329E-2</v>
      </c>
    </row>
    <row r="250" spans="2:33">
      <c r="B250" s="255" t="s">
        <v>531</v>
      </c>
      <c r="C250" s="255">
        <v>91</v>
      </c>
      <c r="D250" s="255">
        <v>2</v>
      </c>
      <c r="E250" s="262">
        <v>0</v>
      </c>
      <c r="G250" s="255" t="s">
        <v>831</v>
      </c>
      <c r="H250" s="255">
        <v>10</v>
      </c>
      <c r="I250" s="261">
        <f t="shared" si="178"/>
        <v>101</v>
      </c>
      <c r="L250" s="253">
        <v>10026</v>
      </c>
      <c r="N250" s="250">
        <f t="shared" si="179"/>
        <v>10026</v>
      </c>
      <c r="O250" s="250">
        <f t="shared" si="180"/>
        <v>83.55</v>
      </c>
      <c r="P250" s="250">
        <f t="shared" si="181"/>
        <v>0</v>
      </c>
      <c r="Q250" s="247">
        <f t="shared" si="182"/>
        <v>0</v>
      </c>
      <c r="R250" s="250">
        <f t="shared" si="183"/>
        <v>0</v>
      </c>
      <c r="S250" s="260">
        <v>1</v>
      </c>
      <c r="T250" s="250">
        <f t="shared" si="184"/>
        <v>0</v>
      </c>
      <c r="V250" s="250">
        <f t="shared" si="185"/>
        <v>10026</v>
      </c>
      <c r="W250" s="250">
        <f t="shared" si="186"/>
        <v>10026</v>
      </c>
      <c r="X250" s="260">
        <v>1</v>
      </c>
      <c r="Y250" s="250">
        <f t="shared" si="187"/>
        <v>10026</v>
      </c>
      <c r="Z250" s="250">
        <f t="shared" si="188"/>
        <v>10026</v>
      </c>
      <c r="AA250" s="250">
        <f t="shared" si="189"/>
        <v>0</v>
      </c>
      <c r="AB250" s="250">
        <f>L250-Z250</f>
        <v>0</v>
      </c>
      <c r="AC250" s="259">
        <f t="shared" si="190"/>
        <v>91.083333333333329</v>
      </c>
      <c r="AD250" s="247">
        <f t="shared" si="191"/>
        <v>124.5</v>
      </c>
      <c r="AE250" s="259">
        <f t="shared" si="192"/>
        <v>101.08333333333333</v>
      </c>
      <c r="AF250" s="247">
        <f t="shared" si="193"/>
        <v>123.5</v>
      </c>
      <c r="AG250" s="258">
        <f t="shared" si="194"/>
        <v>-8.3333333333333329E-2</v>
      </c>
    </row>
    <row r="251" spans="2:33">
      <c r="B251" s="255" t="s">
        <v>532</v>
      </c>
      <c r="C251" s="255">
        <v>92</v>
      </c>
      <c r="D251" s="255">
        <v>5</v>
      </c>
      <c r="E251" s="262">
        <v>0</v>
      </c>
      <c r="G251" s="255" t="s">
        <v>831</v>
      </c>
      <c r="H251" s="255">
        <v>10</v>
      </c>
      <c r="I251" s="261">
        <f t="shared" si="178"/>
        <v>102</v>
      </c>
      <c r="L251" s="253">
        <v>5730</v>
      </c>
      <c r="N251" s="250">
        <f t="shared" si="179"/>
        <v>5730</v>
      </c>
      <c r="O251" s="250">
        <f t="shared" si="180"/>
        <v>47.75</v>
      </c>
      <c r="P251" s="250">
        <f t="shared" si="181"/>
        <v>0</v>
      </c>
      <c r="Q251" s="247">
        <f t="shared" si="182"/>
        <v>0</v>
      </c>
      <c r="R251" s="250">
        <f t="shared" si="183"/>
        <v>0</v>
      </c>
      <c r="S251" s="260">
        <v>1</v>
      </c>
      <c r="T251" s="250">
        <f t="shared" si="184"/>
        <v>0</v>
      </c>
      <c r="V251" s="250">
        <f t="shared" si="185"/>
        <v>5730</v>
      </c>
      <c r="W251" s="250">
        <f t="shared" si="186"/>
        <v>5730</v>
      </c>
      <c r="X251" s="260">
        <v>1</v>
      </c>
      <c r="Y251" s="250">
        <f t="shared" si="187"/>
        <v>5730</v>
      </c>
      <c r="Z251" s="250">
        <f t="shared" si="188"/>
        <v>5730</v>
      </c>
      <c r="AA251" s="250">
        <f t="shared" si="189"/>
        <v>0</v>
      </c>
      <c r="AB251" s="250">
        <f t="shared" si="195"/>
        <v>0</v>
      </c>
      <c r="AC251" s="259">
        <f t="shared" si="190"/>
        <v>92.333333333333329</v>
      </c>
      <c r="AD251" s="247">
        <f t="shared" si="191"/>
        <v>124.5</v>
      </c>
      <c r="AE251" s="259">
        <f t="shared" si="192"/>
        <v>102.33333333333333</v>
      </c>
      <c r="AF251" s="247">
        <f t="shared" si="193"/>
        <v>123.5</v>
      </c>
      <c r="AG251" s="258">
        <f t="shared" si="194"/>
        <v>-8.3333333333333329E-2</v>
      </c>
    </row>
    <row r="252" spans="2:33">
      <c r="B252" s="255" t="s">
        <v>529</v>
      </c>
      <c r="C252" s="255">
        <v>94</v>
      </c>
      <c r="D252" s="255">
        <v>7</v>
      </c>
      <c r="E252" s="262">
        <v>0</v>
      </c>
      <c r="G252" s="255" t="s">
        <v>831</v>
      </c>
      <c r="H252" s="255">
        <v>10</v>
      </c>
      <c r="I252" s="261">
        <f t="shared" si="178"/>
        <v>104</v>
      </c>
      <c r="L252" s="253">
        <v>4539</v>
      </c>
      <c r="N252" s="250">
        <f t="shared" si="179"/>
        <v>4539</v>
      </c>
      <c r="O252" s="250">
        <f t="shared" si="180"/>
        <v>37.824999999999996</v>
      </c>
      <c r="P252" s="250">
        <f t="shared" si="181"/>
        <v>0</v>
      </c>
      <c r="Q252" s="247">
        <f t="shared" si="182"/>
        <v>0</v>
      </c>
      <c r="R252" s="250">
        <f t="shared" si="183"/>
        <v>0</v>
      </c>
      <c r="S252" s="260">
        <v>1</v>
      </c>
      <c r="T252" s="250">
        <f t="shared" si="184"/>
        <v>0</v>
      </c>
      <c r="V252" s="250">
        <f t="shared" si="185"/>
        <v>4539</v>
      </c>
      <c r="W252" s="250">
        <f t="shared" si="186"/>
        <v>4539</v>
      </c>
      <c r="X252" s="260">
        <v>1</v>
      </c>
      <c r="Y252" s="250">
        <f t="shared" si="187"/>
        <v>4539</v>
      </c>
      <c r="Z252" s="250">
        <f t="shared" si="188"/>
        <v>4539</v>
      </c>
      <c r="AA252" s="250">
        <f t="shared" si="189"/>
        <v>0</v>
      </c>
      <c r="AB252" s="250">
        <f t="shared" si="195"/>
        <v>0</v>
      </c>
      <c r="AC252" s="259">
        <f t="shared" si="190"/>
        <v>94.5</v>
      </c>
      <c r="AD252" s="247">
        <f t="shared" si="191"/>
        <v>124.5</v>
      </c>
      <c r="AE252" s="259">
        <f t="shared" si="192"/>
        <v>104.5</v>
      </c>
      <c r="AF252" s="247">
        <f t="shared" si="193"/>
        <v>123.5</v>
      </c>
      <c r="AG252" s="258">
        <f t="shared" si="194"/>
        <v>-8.3333333333333329E-2</v>
      </c>
    </row>
    <row r="253" spans="2:33">
      <c r="B253" s="255" t="s">
        <v>529</v>
      </c>
      <c r="C253" s="255">
        <v>97</v>
      </c>
      <c r="D253" s="255">
        <v>5</v>
      </c>
      <c r="E253" s="262">
        <v>0</v>
      </c>
      <c r="G253" s="255" t="s">
        <v>831</v>
      </c>
      <c r="H253" s="255">
        <v>10</v>
      </c>
      <c r="I253" s="261">
        <f t="shared" si="178"/>
        <v>107</v>
      </c>
      <c r="L253" s="253">
        <v>3172</v>
      </c>
      <c r="N253" s="250">
        <f t="shared" si="179"/>
        <v>3172</v>
      </c>
      <c r="O253" s="250">
        <f t="shared" si="180"/>
        <v>26.433333333333334</v>
      </c>
      <c r="P253" s="250">
        <f t="shared" si="181"/>
        <v>0</v>
      </c>
      <c r="Q253" s="247">
        <f t="shared" si="182"/>
        <v>0</v>
      </c>
      <c r="R253" s="250">
        <f t="shared" si="183"/>
        <v>0</v>
      </c>
      <c r="S253" s="260">
        <v>1</v>
      </c>
      <c r="T253" s="250">
        <f t="shared" si="184"/>
        <v>0</v>
      </c>
      <c r="V253" s="250">
        <f t="shared" si="185"/>
        <v>3172</v>
      </c>
      <c r="W253" s="250">
        <f t="shared" si="186"/>
        <v>3172</v>
      </c>
      <c r="X253" s="260">
        <v>1</v>
      </c>
      <c r="Y253" s="250">
        <f t="shared" si="187"/>
        <v>3172</v>
      </c>
      <c r="Z253" s="250">
        <f t="shared" si="188"/>
        <v>3172</v>
      </c>
      <c r="AA253" s="250">
        <f t="shared" si="189"/>
        <v>0</v>
      </c>
      <c r="AB253" s="250">
        <f t="shared" si="195"/>
        <v>0</v>
      </c>
      <c r="AC253" s="259">
        <f t="shared" si="190"/>
        <v>97.333333333333329</v>
      </c>
      <c r="AD253" s="247">
        <f t="shared" si="191"/>
        <v>124.5</v>
      </c>
      <c r="AE253" s="259">
        <f t="shared" si="192"/>
        <v>107.33333333333333</v>
      </c>
      <c r="AF253" s="247">
        <f t="shared" si="193"/>
        <v>123.5</v>
      </c>
      <c r="AG253" s="258">
        <f t="shared" si="194"/>
        <v>-8.3333333333333329E-2</v>
      </c>
    </row>
    <row r="254" spans="2:33">
      <c r="B254" s="255" t="s">
        <v>533</v>
      </c>
      <c r="C254" s="255">
        <v>97</v>
      </c>
      <c r="D254" s="255">
        <v>5</v>
      </c>
      <c r="E254" s="262">
        <v>0</v>
      </c>
      <c r="G254" s="255" t="s">
        <v>831</v>
      </c>
      <c r="H254" s="255">
        <v>10</v>
      </c>
      <c r="I254" s="261">
        <f t="shared" si="178"/>
        <v>107</v>
      </c>
      <c r="L254" s="253">
        <v>3685</v>
      </c>
      <c r="N254" s="250">
        <f t="shared" si="179"/>
        <v>3685</v>
      </c>
      <c r="O254" s="250">
        <f t="shared" si="180"/>
        <v>30.708333333333332</v>
      </c>
      <c r="P254" s="250">
        <f t="shared" si="181"/>
        <v>0</v>
      </c>
      <c r="Q254" s="247">
        <f t="shared" si="182"/>
        <v>0</v>
      </c>
      <c r="R254" s="250">
        <f t="shared" si="183"/>
        <v>0</v>
      </c>
      <c r="S254" s="260">
        <v>1</v>
      </c>
      <c r="T254" s="250">
        <f t="shared" si="184"/>
        <v>0</v>
      </c>
      <c r="V254" s="250">
        <f t="shared" si="185"/>
        <v>3685</v>
      </c>
      <c r="W254" s="250">
        <f t="shared" si="186"/>
        <v>3685</v>
      </c>
      <c r="X254" s="260">
        <v>1</v>
      </c>
      <c r="Y254" s="250">
        <f t="shared" si="187"/>
        <v>3685</v>
      </c>
      <c r="Z254" s="250">
        <f t="shared" si="188"/>
        <v>3685</v>
      </c>
      <c r="AA254" s="250">
        <f t="shared" si="189"/>
        <v>0</v>
      </c>
      <c r="AB254" s="250">
        <f t="shared" si="195"/>
        <v>0</v>
      </c>
      <c r="AC254" s="259">
        <f t="shared" si="190"/>
        <v>97.333333333333329</v>
      </c>
      <c r="AD254" s="247">
        <f t="shared" si="191"/>
        <v>124.5</v>
      </c>
      <c r="AE254" s="259">
        <f t="shared" si="192"/>
        <v>107.33333333333333</v>
      </c>
      <c r="AF254" s="247">
        <f t="shared" si="193"/>
        <v>123.5</v>
      </c>
      <c r="AG254" s="258">
        <f t="shared" si="194"/>
        <v>-8.3333333333333329E-2</v>
      </c>
    </row>
    <row r="255" spans="2:33">
      <c r="B255" s="255" t="s">
        <v>534</v>
      </c>
      <c r="C255" s="255">
        <v>97</v>
      </c>
      <c r="D255" s="255">
        <v>5</v>
      </c>
      <c r="E255" s="262">
        <v>0</v>
      </c>
      <c r="G255" s="255" t="s">
        <v>831</v>
      </c>
      <c r="H255" s="255">
        <v>10</v>
      </c>
      <c r="I255" s="261">
        <f t="shared" si="178"/>
        <v>107</v>
      </c>
      <c r="L255" s="253">
        <v>2587</v>
      </c>
      <c r="N255" s="250">
        <f t="shared" si="179"/>
        <v>2587</v>
      </c>
      <c r="O255" s="250">
        <f t="shared" si="180"/>
        <v>21.558333333333334</v>
      </c>
      <c r="P255" s="250">
        <f t="shared" si="181"/>
        <v>0</v>
      </c>
      <c r="Q255" s="247">
        <f t="shared" si="182"/>
        <v>0</v>
      </c>
      <c r="R255" s="250">
        <f t="shared" si="183"/>
        <v>0</v>
      </c>
      <c r="S255" s="260">
        <v>1</v>
      </c>
      <c r="T255" s="250">
        <f t="shared" si="184"/>
        <v>0</v>
      </c>
      <c r="V255" s="250">
        <f t="shared" si="185"/>
        <v>2587</v>
      </c>
      <c r="W255" s="250">
        <f t="shared" si="186"/>
        <v>2587</v>
      </c>
      <c r="X255" s="260">
        <v>1</v>
      </c>
      <c r="Y255" s="250">
        <f t="shared" si="187"/>
        <v>2587</v>
      </c>
      <c r="Z255" s="250">
        <f t="shared" si="188"/>
        <v>2587</v>
      </c>
      <c r="AA255" s="250">
        <f t="shared" si="189"/>
        <v>0</v>
      </c>
      <c r="AB255" s="250">
        <f t="shared" si="195"/>
        <v>0</v>
      </c>
      <c r="AC255" s="259">
        <f t="shared" si="190"/>
        <v>97.333333333333329</v>
      </c>
      <c r="AD255" s="247">
        <f t="shared" si="191"/>
        <v>124.5</v>
      </c>
      <c r="AE255" s="259">
        <f t="shared" si="192"/>
        <v>107.33333333333333</v>
      </c>
      <c r="AF255" s="247">
        <f t="shared" si="193"/>
        <v>123.5</v>
      </c>
      <c r="AG255" s="258">
        <f t="shared" si="194"/>
        <v>-8.3333333333333329E-2</v>
      </c>
    </row>
    <row r="256" spans="2:33">
      <c r="B256" s="255" t="s">
        <v>535</v>
      </c>
      <c r="C256" s="255">
        <v>104</v>
      </c>
      <c r="D256" s="255">
        <v>6</v>
      </c>
      <c r="E256" s="262">
        <v>0</v>
      </c>
      <c r="G256" s="255" t="s">
        <v>831</v>
      </c>
      <c r="H256" s="255">
        <v>10</v>
      </c>
      <c r="I256" s="261">
        <f t="shared" si="178"/>
        <v>114</v>
      </c>
      <c r="L256" s="253">
        <v>1400</v>
      </c>
      <c r="N256" s="250">
        <f t="shared" si="179"/>
        <v>1400</v>
      </c>
      <c r="O256" s="250">
        <f t="shared" si="180"/>
        <v>11.666666666666666</v>
      </c>
      <c r="P256" s="250">
        <f t="shared" si="181"/>
        <v>0</v>
      </c>
      <c r="Q256" s="247">
        <f t="shared" si="182"/>
        <v>0</v>
      </c>
      <c r="R256" s="250">
        <f t="shared" si="183"/>
        <v>0</v>
      </c>
      <c r="S256" s="260">
        <v>1</v>
      </c>
      <c r="T256" s="250">
        <f t="shared" si="184"/>
        <v>0</v>
      </c>
      <c r="V256" s="250">
        <f t="shared" si="185"/>
        <v>1400</v>
      </c>
      <c r="W256" s="250">
        <f t="shared" si="186"/>
        <v>1400</v>
      </c>
      <c r="X256" s="260">
        <v>1</v>
      </c>
      <c r="Y256" s="250">
        <f t="shared" si="187"/>
        <v>1400</v>
      </c>
      <c r="Z256" s="250">
        <f t="shared" si="188"/>
        <v>1400</v>
      </c>
      <c r="AA256" s="250">
        <f t="shared" si="189"/>
        <v>0</v>
      </c>
      <c r="AB256" s="250">
        <f t="shared" si="195"/>
        <v>0</v>
      </c>
      <c r="AC256" s="259">
        <f t="shared" si="190"/>
        <v>104.41666666666667</v>
      </c>
      <c r="AD256" s="247">
        <f t="shared" si="191"/>
        <v>124.5</v>
      </c>
      <c r="AE256" s="259">
        <f t="shared" si="192"/>
        <v>114.41666666666667</v>
      </c>
      <c r="AF256" s="247">
        <f t="shared" si="193"/>
        <v>123.5</v>
      </c>
      <c r="AG256" s="258">
        <f t="shared" si="194"/>
        <v>-8.3333333333333329E-2</v>
      </c>
    </row>
    <row r="257" spans="1:33">
      <c r="B257" s="255" t="s">
        <v>536</v>
      </c>
      <c r="C257" s="255">
        <v>104</v>
      </c>
      <c r="D257" s="255">
        <v>12</v>
      </c>
      <c r="E257" s="262">
        <v>0</v>
      </c>
      <c r="G257" s="255" t="s">
        <v>831</v>
      </c>
      <c r="H257" s="255">
        <v>10</v>
      </c>
      <c r="I257" s="261">
        <f t="shared" si="178"/>
        <v>114</v>
      </c>
      <c r="L257" s="253">
        <v>4315</v>
      </c>
      <c r="N257" s="250">
        <f t="shared" si="179"/>
        <v>4315</v>
      </c>
      <c r="O257" s="250">
        <f t="shared" si="180"/>
        <v>35.958333333333336</v>
      </c>
      <c r="P257" s="250">
        <f t="shared" si="181"/>
        <v>0</v>
      </c>
      <c r="Q257" s="247">
        <f t="shared" si="182"/>
        <v>0</v>
      </c>
      <c r="R257" s="250">
        <f t="shared" si="183"/>
        <v>0</v>
      </c>
      <c r="S257" s="260">
        <v>1</v>
      </c>
      <c r="T257" s="250">
        <f t="shared" si="184"/>
        <v>0</v>
      </c>
      <c r="V257" s="250">
        <f t="shared" si="185"/>
        <v>4315</v>
      </c>
      <c r="W257" s="250">
        <f t="shared" si="186"/>
        <v>4315</v>
      </c>
      <c r="X257" s="260">
        <v>1</v>
      </c>
      <c r="Y257" s="250">
        <f t="shared" si="187"/>
        <v>4315</v>
      </c>
      <c r="Z257" s="250">
        <f t="shared" si="188"/>
        <v>4315</v>
      </c>
      <c r="AA257" s="250">
        <f t="shared" si="189"/>
        <v>0</v>
      </c>
      <c r="AB257" s="250">
        <f t="shared" si="195"/>
        <v>0</v>
      </c>
      <c r="AC257" s="259">
        <f t="shared" si="190"/>
        <v>104.91666666666667</v>
      </c>
      <c r="AD257" s="247">
        <f t="shared" si="191"/>
        <v>124.5</v>
      </c>
      <c r="AE257" s="259">
        <f t="shared" si="192"/>
        <v>114.91666666666667</v>
      </c>
      <c r="AF257" s="247">
        <f t="shared" si="193"/>
        <v>123.5</v>
      </c>
      <c r="AG257" s="258">
        <f t="shared" si="194"/>
        <v>-8.3333333333333329E-2</v>
      </c>
    </row>
    <row r="258" spans="1:33">
      <c r="B258" s="255" t="s">
        <v>537</v>
      </c>
      <c r="C258" s="255">
        <v>104</v>
      </c>
      <c r="D258" s="255">
        <v>12</v>
      </c>
      <c r="E258" s="262">
        <v>0</v>
      </c>
      <c r="G258" s="255" t="s">
        <v>831</v>
      </c>
      <c r="H258" s="255">
        <v>10</v>
      </c>
      <c r="I258" s="261">
        <f t="shared" si="178"/>
        <v>114</v>
      </c>
      <c r="L258" s="253">
        <v>5160</v>
      </c>
      <c r="N258" s="250">
        <f t="shared" si="179"/>
        <v>5160</v>
      </c>
      <c r="O258" s="250">
        <f t="shared" si="180"/>
        <v>43</v>
      </c>
      <c r="P258" s="250">
        <f t="shared" si="181"/>
        <v>0</v>
      </c>
      <c r="Q258" s="247">
        <f t="shared" si="182"/>
        <v>0</v>
      </c>
      <c r="R258" s="250">
        <f t="shared" si="183"/>
        <v>0</v>
      </c>
      <c r="S258" s="260">
        <v>1</v>
      </c>
      <c r="T258" s="250">
        <f t="shared" si="184"/>
        <v>0</v>
      </c>
      <c r="V258" s="250">
        <f t="shared" si="185"/>
        <v>5160</v>
      </c>
      <c r="W258" s="250">
        <f t="shared" si="186"/>
        <v>5160</v>
      </c>
      <c r="X258" s="260">
        <v>1</v>
      </c>
      <c r="Y258" s="250">
        <f t="shared" si="187"/>
        <v>5160</v>
      </c>
      <c r="Z258" s="250">
        <f t="shared" si="188"/>
        <v>5160</v>
      </c>
      <c r="AA258" s="250">
        <f t="shared" si="189"/>
        <v>0</v>
      </c>
      <c r="AB258" s="250">
        <f t="shared" si="195"/>
        <v>0</v>
      </c>
      <c r="AC258" s="259">
        <f t="shared" si="190"/>
        <v>104.91666666666667</v>
      </c>
      <c r="AD258" s="247">
        <f t="shared" si="191"/>
        <v>124.5</v>
      </c>
      <c r="AE258" s="259">
        <f t="shared" si="192"/>
        <v>114.91666666666667</v>
      </c>
      <c r="AF258" s="247">
        <f t="shared" si="193"/>
        <v>123.5</v>
      </c>
      <c r="AG258" s="258">
        <f t="shared" si="194"/>
        <v>-8.3333333333333329E-2</v>
      </c>
    </row>
    <row r="259" spans="1:33">
      <c r="B259" s="255" t="s">
        <v>537</v>
      </c>
      <c r="C259" s="255">
        <v>105</v>
      </c>
      <c r="D259" s="255">
        <v>7</v>
      </c>
      <c r="E259" s="262">
        <v>0</v>
      </c>
      <c r="G259" s="255" t="s">
        <v>831</v>
      </c>
      <c r="H259" s="255">
        <v>10</v>
      </c>
      <c r="I259" s="261">
        <f t="shared" si="178"/>
        <v>115</v>
      </c>
      <c r="L259" s="253">
        <v>5124</v>
      </c>
      <c r="N259" s="250">
        <f t="shared" si="179"/>
        <v>5124</v>
      </c>
      <c r="O259" s="250">
        <f t="shared" si="180"/>
        <v>42.699999999999996</v>
      </c>
      <c r="P259" s="250">
        <f t="shared" si="181"/>
        <v>0</v>
      </c>
      <c r="Q259" s="247">
        <f t="shared" si="182"/>
        <v>0</v>
      </c>
      <c r="R259" s="250">
        <f t="shared" si="183"/>
        <v>0</v>
      </c>
      <c r="S259" s="260">
        <v>1</v>
      </c>
      <c r="T259" s="250">
        <f t="shared" si="184"/>
        <v>0</v>
      </c>
      <c r="V259" s="250">
        <f t="shared" si="185"/>
        <v>5124</v>
      </c>
      <c r="W259" s="250">
        <f t="shared" si="186"/>
        <v>5124</v>
      </c>
      <c r="X259" s="260">
        <v>1</v>
      </c>
      <c r="Y259" s="250">
        <f t="shared" si="187"/>
        <v>5124</v>
      </c>
      <c r="Z259" s="250">
        <f t="shared" si="188"/>
        <v>5124</v>
      </c>
      <c r="AA259" s="250">
        <f t="shared" si="189"/>
        <v>0</v>
      </c>
      <c r="AB259" s="250">
        <f t="shared" si="195"/>
        <v>0</v>
      </c>
      <c r="AC259" s="259">
        <f t="shared" si="190"/>
        <v>105.5</v>
      </c>
      <c r="AD259" s="247">
        <f t="shared" si="191"/>
        <v>124.5</v>
      </c>
      <c r="AE259" s="259">
        <f t="shared" si="192"/>
        <v>115.5</v>
      </c>
      <c r="AF259" s="247">
        <f t="shared" si="193"/>
        <v>123.5</v>
      </c>
      <c r="AG259" s="258">
        <f t="shared" si="194"/>
        <v>-8.3333333333333329E-2</v>
      </c>
    </row>
    <row r="260" spans="1:33">
      <c r="B260" s="255" t="s">
        <v>538</v>
      </c>
      <c r="C260" s="255">
        <v>105</v>
      </c>
      <c r="D260" s="255">
        <v>7</v>
      </c>
      <c r="E260" s="262">
        <v>0</v>
      </c>
      <c r="G260" s="255" t="s">
        <v>831</v>
      </c>
      <c r="H260" s="255">
        <v>10</v>
      </c>
      <c r="I260" s="261">
        <f t="shared" si="178"/>
        <v>115</v>
      </c>
      <c r="L260" s="253">
        <v>5721</v>
      </c>
      <c r="N260" s="250">
        <f t="shared" si="179"/>
        <v>5721</v>
      </c>
      <c r="O260" s="250">
        <f t="shared" si="180"/>
        <v>47.675000000000004</v>
      </c>
      <c r="P260" s="250">
        <f t="shared" si="181"/>
        <v>0</v>
      </c>
      <c r="Q260" s="247">
        <f t="shared" si="182"/>
        <v>0</v>
      </c>
      <c r="R260" s="250">
        <f t="shared" si="183"/>
        <v>0</v>
      </c>
      <c r="S260" s="260">
        <v>1</v>
      </c>
      <c r="T260" s="250">
        <f t="shared" si="184"/>
        <v>0</v>
      </c>
      <c r="V260" s="250">
        <f t="shared" si="185"/>
        <v>5721</v>
      </c>
      <c r="W260" s="250">
        <f t="shared" si="186"/>
        <v>5721</v>
      </c>
      <c r="X260" s="260">
        <v>1</v>
      </c>
      <c r="Y260" s="250">
        <f t="shared" si="187"/>
        <v>5721</v>
      </c>
      <c r="Z260" s="250">
        <f t="shared" si="188"/>
        <v>5721</v>
      </c>
      <c r="AA260" s="250">
        <f t="shared" si="189"/>
        <v>0</v>
      </c>
      <c r="AB260" s="250">
        <f t="shared" si="195"/>
        <v>0</v>
      </c>
      <c r="AC260" s="259">
        <f t="shared" si="190"/>
        <v>105.5</v>
      </c>
      <c r="AD260" s="247">
        <f t="shared" si="191"/>
        <v>124.5</v>
      </c>
      <c r="AE260" s="259">
        <f t="shared" si="192"/>
        <v>115.5</v>
      </c>
      <c r="AF260" s="247">
        <f t="shared" si="193"/>
        <v>123.5</v>
      </c>
      <c r="AG260" s="258">
        <f t="shared" si="194"/>
        <v>-8.3333333333333329E-2</v>
      </c>
    </row>
    <row r="261" spans="1:33">
      <c r="B261" s="255" t="s">
        <v>539</v>
      </c>
      <c r="C261" s="255">
        <v>105</v>
      </c>
      <c r="D261" s="255">
        <v>7</v>
      </c>
      <c r="E261" s="262">
        <v>0</v>
      </c>
      <c r="G261" s="255" t="s">
        <v>831</v>
      </c>
      <c r="H261" s="255">
        <v>10</v>
      </c>
      <c r="I261" s="261">
        <f t="shared" si="178"/>
        <v>115</v>
      </c>
      <c r="L261" s="253">
        <v>4397</v>
      </c>
      <c r="N261" s="250">
        <f t="shared" si="179"/>
        <v>4397</v>
      </c>
      <c r="O261" s="250">
        <f t="shared" si="180"/>
        <v>36.641666666666666</v>
      </c>
      <c r="P261" s="250">
        <f t="shared" si="181"/>
        <v>0</v>
      </c>
      <c r="Q261" s="247">
        <f t="shared" si="182"/>
        <v>0</v>
      </c>
      <c r="R261" s="250">
        <f t="shared" si="183"/>
        <v>0</v>
      </c>
      <c r="S261" s="260">
        <v>1</v>
      </c>
      <c r="T261" s="250">
        <f t="shared" si="184"/>
        <v>0</v>
      </c>
      <c r="V261" s="250">
        <f t="shared" si="185"/>
        <v>4397</v>
      </c>
      <c r="W261" s="250">
        <f t="shared" si="186"/>
        <v>4397</v>
      </c>
      <c r="X261" s="260">
        <v>1</v>
      </c>
      <c r="Y261" s="250">
        <f t="shared" si="187"/>
        <v>4397</v>
      </c>
      <c r="Z261" s="250">
        <f t="shared" si="188"/>
        <v>4397</v>
      </c>
      <c r="AA261" s="250">
        <f t="shared" si="189"/>
        <v>0</v>
      </c>
      <c r="AB261" s="250">
        <f t="shared" si="195"/>
        <v>0</v>
      </c>
      <c r="AC261" s="259">
        <f t="shared" si="190"/>
        <v>105.5</v>
      </c>
      <c r="AD261" s="247">
        <f t="shared" si="191"/>
        <v>124.5</v>
      </c>
      <c r="AE261" s="259">
        <f t="shared" si="192"/>
        <v>115.5</v>
      </c>
      <c r="AF261" s="247">
        <f t="shared" si="193"/>
        <v>123.5</v>
      </c>
      <c r="AG261" s="258">
        <f t="shared" si="194"/>
        <v>-8.3333333333333329E-2</v>
      </c>
    </row>
    <row r="262" spans="1:33">
      <c r="B262" s="255" t="s">
        <v>539</v>
      </c>
      <c r="C262" s="255">
        <v>106</v>
      </c>
      <c r="D262" s="255">
        <v>2</v>
      </c>
      <c r="E262" s="262">
        <v>0</v>
      </c>
      <c r="G262" s="255" t="s">
        <v>831</v>
      </c>
      <c r="H262" s="255">
        <v>10</v>
      </c>
      <c r="I262" s="261">
        <f t="shared" si="178"/>
        <v>116</v>
      </c>
      <c r="L262" s="253">
        <v>4135</v>
      </c>
      <c r="N262" s="250">
        <f t="shared" si="179"/>
        <v>4135</v>
      </c>
      <c r="O262" s="250">
        <f t="shared" si="180"/>
        <v>34.458333333333336</v>
      </c>
      <c r="P262" s="250">
        <f t="shared" si="181"/>
        <v>0</v>
      </c>
      <c r="Q262" s="247">
        <f t="shared" si="182"/>
        <v>0</v>
      </c>
      <c r="R262" s="250">
        <f t="shared" si="183"/>
        <v>0</v>
      </c>
      <c r="S262" s="260">
        <v>1</v>
      </c>
      <c r="T262" s="250">
        <f t="shared" si="184"/>
        <v>0</v>
      </c>
      <c r="V262" s="250">
        <f t="shared" si="185"/>
        <v>4135</v>
      </c>
      <c r="W262" s="250">
        <f t="shared" si="186"/>
        <v>4135</v>
      </c>
      <c r="X262" s="260">
        <v>1</v>
      </c>
      <c r="Y262" s="250">
        <f t="shared" si="187"/>
        <v>4135</v>
      </c>
      <c r="Z262" s="250">
        <f t="shared" si="188"/>
        <v>4135</v>
      </c>
      <c r="AA262" s="250">
        <f t="shared" si="189"/>
        <v>0</v>
      </c>
      <c r="AB262" s="250">
        <f t="shared" si="195"/>
        <v>0</v>
      </c>
      <c r="AC262" s="259">
        <f t="shared" si="190"/>
        <v>106.08333333333333</v>
      </c>
      <c r="AD262" s="247">
        <f t="shared" si="191"/>
        <v>124.5</v>
      </c>
      <c r="AE262" s="259">
        <f t="shared" si="192"/>
        <v>116.08333333333333</v>
      </c>
      <c r="AF262" s="247">
        <f t="shared" si="193"/>
        <v>123.5</v>
      </c>
      <c r="AG262" s="258">
        <f t="shared" si="194"/>
        <v>-8.3333333333333329E-2</v>
      </c>
    </row>
    <row r="263" spans="1:33">
      <c r="B263" s="255" t="s">
        <v>540</v>
      </c>
      <c r="C263" s="255">
        <v>106</v>
      </c>
      <c r="D263" s="255">
        <v>8</v>
      </c>
      <c r="E263" s="262">
        <v>0</v>
      </c>
      <c r="G263" s="255" t="s">
        <v>831</v>
      </c>
      <c r="H263" s="255">
        <v>10</v>
      </c>
      <c r="I263" s="261">
        <f t="shared" si="178"/>
        <v>116</v>
      </c>
      <c r="L263" s="253">
        <v>11629</v>
      </c>
      <c r="N263" s="250">
        <f t="shared" si="179"/>
        <v>11629</v>
      </c>
      <c r="O263" s="250">
        <f t="shared" si="180"/>
        <v>96.908333333333346</v>
      </c>
      <c r="P263" s="250">
        <f t="shared" si="181"/>
        <v>0</v>
      </c>
      <c r="Q263" s="247">
        <f t="shared" si="182"/>
        <v>0</v>
      </c>
      <c r="R263" s="250">
        <f t="shared" si="183"/>
        <v>0</v>
      </c>
      <c r="S263" s="260">
        <v>1</v>
      </c>
      <c r="T263" s="250">
        <f t="shared" si="184"/>
        <v>0</v>
      </c>
      <c r="V263" s="250">
        <f t="shared" si="185"/>
        <v>11629</v>
      </c>
      <c r="W263" s="250">
        <f t="shared" si="186"/>
        <v>11629</v>
      </c>
      <c r="X263" s="260">
        <v>1</v>
      </c>
      <c r="Y263" s="250">
        <f t="shared" si="187"/>
        <v>11629</v>
      </c>
      <c r="Z263" s="250">
        <f t="shared" si="188"/>
        <v>11629</v>
      </c>
      <c r="AA263" s="250">
        <f t="shared" si="189"/>
        <v>0</v>
      </c>
      <c r="AB263" s="250">
        <f t="shared" si="195"/>
        <v>0</v>
      </c>
      <c r="AC263" s="259">
        <f t="shared" si="190"/>
        <v>106.58333333333333</v>
      </c>
      <c r="AD263" s="247">
        <f t="shared" si="191"/>
        <v>124.5</v>
      </c>
      <c r="AE263" s="259">
        <f t="shared" si="192"/>
        <v>116.58333333333333</v>
      </c>
      <c r="AF263" s="247">
        <f t="shared" si="193"/>
        <v>123.5</v>
      </c>
      <c r="AG263" s="258">
        <f t="shared" si="194"/>
        <v>-8.3333333333333329E-2</v>
      </c>
    </row>
    <row r="264" spans="1:33">
      <c r="B264" s="255" t="s">
        <v>541</v>
      </c>
      <c r="C264" s="255">
        <v>106</v>
      </c>
      <c r="D264" s="255">
        <v>8</v>
      </c>
      <c r="E264" s="262">
        <v>0</v>
      </c>
      <c r="G264" s="255" t="s">
        <v>831</v>
      </c>
      <c r="H264" s="255">
        <v>10</v>
      </c>
      <c r="I264" s="261">
        <f t="shared" si="178"/>
        <v>116</v>
      </c>
      <c r="L264" s="253">
        <v>12443</v>
      </c>
      <c r="N264" s="250">
        <f t="shared" si="179"/>
        <v>12443</v>
      </c>
      <c r="O264" s="250">
        <f t="shared" si="180"/>
        <v>103.69166666666666</v>
      </c>
      <c r="P264" s="250">
        <f t="shared" si="181"/>
        <v>0</v>
      </c>
      <c r="Q264" s="247">
        <f t="shared" si="182"/>
        <v>0</v>
      </c>
      <c r="R264" s="250">
        <f t="shared" si="183"/>
        <v>0</v>
      </c>
      <c r="S264" s="260">
        <v>1</v>
      </c>
      <c r="T264" s="250">
        <f t="shared" si="184"/>
        <v>0</v>
      </c>
      <c r="V264" s="250">
        <f t="shared" si="185"/>
        <v>12443</v>
      </c>
      <c r="W264" s="250">
        <f t="shared" si="186"/>
        <v>12443</v>
      </c>
      <c r="X264" s="260">
        <v>1</v>
      </c>
      <c r="Y264" s="250">
        <f t="shared" si="187"/>
        <v>12443</v>
      </c>
      <c r="Z264" s="250">
        <f t="shared" si="188"/>
        <v>12443</v>
      </c>
      <c r="AA264" s="250">
        <f t="shared" si="189"/>
        <v>0</v>
      </c>
      <c r="AB264" s="250">
        <f t="shared" si="195"/>
        <v>0</v>
      </c>
      <c r="AC264" s="259">
        <f t="shared" si="190"/>
        <v>106.58333333333333</v>
      </c>
      <c r="AD264" s="247">
        <f t="shared" si="191"/>
        <v>124.5</v>
      </c>
      <c r="AE264" s="259">
        <f t="shared" si="192"/>
        <v>116.58333333333333</v>
      </c>
      <c r="AF264" s="247">
        <f t="shared" si="193"/>
        <v>123.5</v>
      </c>
      <c r="AG264" s="258">
        <f t="shared" si="194"/>
        <v>-8.3333333333333329E-2</v>
      </c>
    </row>
    <row r="265" spans="1:33">
      <c r="B265" s="255" t="s">
        <v>541</v>
      </c>
      <c r="C265" s="255">
        <v>109</v>
      </c>
      <c r="D265" s="255">
        <v>5</v>
      </c>
      <c r="E265" s="262">
        <v>0</v>
      </c>
      <c r="G265" s="255" t="s">
        <v>831</v>
      </c>
      <c r="H265" s="255">
        <v>10</v>
      </c>
      <c r="I265" s="261">
        <f t="shared" si="178"/>
        <v>119</v>
      </c>
      <c r="L265" s="461">
        <v>9015</v>
      </c>
      <c r="N265" s="250">
        <f t="shared" si="179"/>
        <v>9015</v>
      </c>
      <c r="O265" s="250">
        <f t="shared" si="180"/>
        <v>75.125</v>
      </c>
      <c r="P265" s="250">
        <f t="shared" si="181"/>
        <v>0</v>
      </c>
      <c r="Q265" s="247">
        <f t="shared" si="182"/>
        <v>0</v>
      </c>
      <c r="R265" s="250">
        <f t="shared" si="183"/>
        <v>0</v>
      </c>
      <c r="S265" s="260">
        <v>1</v>
      </c>
      <c r="T265" s="250">
        <f t="shared" si="184"/>
        <v>0</v>
      </c>
      <c r="V265" s="250">
        <f t="shared" si="185"/>
        <v>9015</v>
      </c>
      <c r="W265" s="250">
        <f t="shared" si="186"/>
        <v>9015</v>
      </c>
      <c r="X265" s="260">
        <v>1</v>
      </c>
      <c r="Y265" s="250">
        <f t="shared" si="187"/>
        <v>9015</v>
      </c>
      <c r="Z265" s="250">
        <f t="shared" si="188"/>
        <v>9015</v>
      </c>
      <c r="AA265" s="250">
        <f t="shared" si="189"/>
        <v>0</v>
      </c>
      <c r="AB265" s="250">
        <f t="shared" si="195"/>
        <v>0</v>
      </c>
      <c r="AC265" s="259">
        <f t="shared" si="190"/>
        <v>109.33333333333333</v>
      </c>
      <c r="AD265" s="247">
        <f t="shared" si="191"/>
        <v>124.5</v>
      </c>
      <c r="AE265" s="259">
        <f t="shared" si="192"/>
        <v>119.33333333333333</v>
      </c>
      <c r="AF265" s="247">
        <f t="shared" si="193"/>
        <v>123.5</v>
      </c>
      <c r="AG265" s="258">
        <f t="shared" si="194"/>
        <v>-8.3333333333333329E-2</v>
      </c>
    </row>
    <row r="266" spans="1:33">
      <c r="A266" s="472"/>
      <c r="B266" s="255" t="s">
        <v>539</v>
      </c>
      <c r="C266" s="255">
        <v>112</v>
      </c>
      <c r="D266" s="255">
        <v>12</v>
      </c>
      <c r="E266" s="262">
        <v>0</v>
      </c>
      <c r="G266" s="255" t="s">
        <v>831</v>
      </c>
      <c r="H266" s="255">
        <v>10</v>
      </c>
      <c r="I266" s="261">
        <f t="shared" si="178"/>
        <v>122</v>
      </c>
      <c r="L266" s="461">
        <v>3990</v>
      </c>
      <c r="N266" s="250">
        <f t="shared" si="179"/>
        <v>3990</v>
      </c>
      <c r="O266" s="250">
        <f t="shared" si="180"/>
        <v>33.25</v>
      </c>
      <c r="P266" s="250">
        <f t="shared" si="181"/>
        <v>0</v>
      </c>
      <c r="Q266" s="247">
        <f t="shared" si="182"/>
        <v>0</v>
      </c>
      <c r="R266" s="250">
        <f t="shared" si="183"/>
        <v>0</v>
      </c>
      <c r="S266" s="260">
        <v>1</v>
      </c>
      <c r="T266" s="250">
        <f t="shared" si="184"/>
        <v>0</v>
      </c>
      <c r="V266" s="250">
        <f t="shared" si="185"/>
        <v>3990</v>
      </c>
      <c r="W266" s="250">
        <f t="shared" si="186"/>
        <v>3990</v>
      </c>
      <c r="X266" s="260">
        <v>1</v>
      </c>
      <c r="Y266" s="250">
        <f t="shared" si="187"/>
        <v>3990</v>
      </c>
      <c r="Z266" s="250">
        <f t="shared" si="188"/>
        <v>3990</v>
      </c>
      <c r="AA266" s="250">
        <f t="shared" si="189"/>
        <v>0</v>
      </c>
      <c r="AB266" s="250">
        <f t="shared" si="195"/>
        <v>0</v>
      </c>
      <c r="AC266" s="259">
        <f t="shared" si="190"/>
        <v>112.91666666666667</v>
      </c>
      <c r="AD266" s="247">
        <f t="shared" si="191"/>
        <v>124.5</v>
      </c>
      <c r="AE266" s="259">
        <f t="shared" si="192"/>
        <v>122.91666666666667</v>
      </c>
      <c r="AF266" s="247">
        <f t="shared" si="193"/>
        <v>123.5</v>
      </c>
      <c r="AG266" s="258">
        <f t="shared" si="194"/>
        <v>-8.3333333333333329E-2</v>
      </c>
    </row>
    <row r="267" spans="1:33">
      <c r="A267" s="472"/>
      <c r="B267" s="255" t="s">
        <v>537</v>
      </c>
      <c r="C267" s="255">
        <v>112</v>
      </c>
      <c r="D267" s="255">
        <v>12</v>
      </c>
      <c r="E267" s="262">
        <v>0</v>
      </c>
      <c r="G267" s="255" t="s">
        <v>831</v>
      </c>
      <c r="H267" s="255">
        <v>10</v>
      </c>
      <c r="I267" s="261">
        <f t="shared" si="178"/>
        <v>122</v>
      </c>
      <c r="L267" s="461">
        <v>5160</v>
      </c>
      <c r="N267" s="250">
        <f t="shared" si="179"/>
        <v>5160</v>
      </c>
      <c r="O267" s="250">
        <f t="shared" si="180"/>
        <v>43</v>
      </c>
      <c r="P267" s="250">
        <f t="shared" si="181"/>
        <v>0</v>
      </c>
      <c r="Q267" s="247">
        <f t="shared" si="182"/>
        <v>0</v>
      </c>
      <c r="R267" s="250">
        <f t="shared" si="183"/>
        <v>0</v>
      </c>
      <c r="S267" s="260">
        <v>1</v>
      </c>
      <c r="T267" s="250">
        <f t="shared" si="184"/>
        <v>0</v>
      </c>
      <c r="V267" s="250">
        <f t="shared" si="185"/>
        <v>5160</v>
      </c>
      <c r="W267" s="250">
        <f t="shared" si="186"/>
        <v>5160</v>
      </c>
      <c r="X267" s="260">
        <v>1</v>
      </c>
      <c r="Y267" s="250">
        <f t="shared" si="187"/>
        <v>5160</v>
      </c>
      <c r="Z267" s="250">
        <f t="shared" si="188"/>
        <v>5160</v>
      </c>
      <c r="AA267" s="250">
        <f t="shared" si="189"/>
        <v>0</v>
      </c>
      <c r="AB267" s="250">
        <f t="shared" si="195"/>
        <v>0</v>
      </c>
      <c r="AC267" s="259">
        <f t="shared" si="190"/>
        <v>112.91666666666667</v>
      </c>
      <c r="AD267" s="247">
        <f t="shared" si="191"/>
        <v>124.5</v>
      </c>
      <c r="AE267" s="259">
        <f t="shared" si="192"/>
        <v>122.91666666666667</v>
      </c>
      <c r="AF267" s="247">
        <f t="shared" si="193"/>
        <v>123.5</v>
      </c>
      <c r="AG267" s="258">
        <f t="shared" si="194"/>
        <v>-8.3333333333333329E-2</v>
      </c>
    </row>
    <row r="268" spans="1:33">
      <c r="A268" s="472"/>
      <c r="B268" s="255" t="s">
        <v>541</v>
      </c>
      <c r="C268" s="255">
        <v>113</v>
      </c>
      <c r="D268" s="255">
        <v>7</v>
      </c>
      <c r="E268" s="262">
        <v>0</v>
      </c>
      <c r="G268" s="255" t="s">
        <v>831</v>
      </c>
      <c r="H268" s="255">
        <v>10</v>
      </c>
      <c r="I268" s="261">
        <f t="shared" si="178"/>
        <v>123</v>
      </c>
      <c r="L268" s="461">
        <v>9208</v>
      </c>
      <c r="N268" s="250">
        <f t="shared" si="179"/>
        <v>9208</v>
      </c>
      <c r="O268" s="250">
        <f t="shared" si="180"/>
        <v>76.733333333333334</v>
      </c>
      <c r="P268" s="250">
        <f t="shared" si="181"/>
        <v>0</v>
      </c>
      <c r="Q268" s="247">
        <f t="shared" si="182"/>
        <v>0</v>
      </c>
      <c r="R268" s="250">
        <f t="shared" si="183"/>
        <v>0</v>
      </c>
      <c r="S268" s="260">
        <v>1</v>
      </c>
      <c r="T268" s="250">
        <f t="shared" si="184"/>
        <v>0</v>
      </c>
      <c r="V268" s="250">
        <f t="shared" si="185"/>
        <v>9208</v>
      </c>
      <c r="W268" s="250">
        <f t="shared" si="186"/>
        <v>9208</v>
      </c>
      <c r="X268" s="260">
        <v>1</v>
      </c>
      <c r="Y268" s="250">
        <f t="shared" si="187"/>
        <v>9208</v>
      </c>
      <c r="Z268" s="250">
        <f t="shared" si="188"/>
        <v>9208</v>
      </c>
      <c r="AA268" s="250">
        <f t="shared" si="189"/>
        <v>0</v>
      </c>
      <c r="AB268" s="250">
        <f t="shared" si="195"/>
        <v>0</v>
      </c>
      <c r="AC268" s="259">
        <f t="shared" si="190"/>
        <v>113.5</v>
      </c>
      <c r="AD268" s="247">
        <f t="shared" si="191"/>
        <v>124.5</v>
      </c>
      <c r="AE268" s="259">
        <f t="shared" si="192"/>
        <v>123.5</v>
      </c>
      <c r="AF268" s="247">
        <f t="shared" si="193"/>
        <v>123.5</v>
      </c>
      <c r="AG268" s="258">
        <f t="shared" si="194"/>
        <v>-8.3333333333333329E-2</v>
      </c>
    </row>
    <row r="269" spans="1:33">
      <c r="A269" s="472"/>
      <c r="B269" s="255" t="s">
        <v>541</v>
      </c>
      <c r="C269" s="255">
        <v>114</v>
      </c>
      <c r="D269" s="255">
        <v>5</v>
      </c>
      <c r="E269" s="262">
        <v>0</v>
      </c>
      <c r="G269" s="255" t="s">
        <v>831</v>
      </c>
      <c r="H269" s="255">
        <v>10</v>
      </c>
      <c r="I269" s="261">
        <f t="shared" si="178"/>
        <v>124</v>
      </c>
      <c r="L269" s="461">
        <v>9049</v>
      </c>
      <c r="N269" s="250">
        <f t="shared" si="179"/>
        <v>9049</v>
      </c>
      <c r="O269" s="250">
        <f t="shared" si="180"/>
        <v>75.408333333333331</v>
      </c>
      <c r="P269" s="250">
        <f t="shared" si="181"/>
        <v>754.08333333332905</v>
      </c>
      <c r="Q269" s="247">
        <f t="shared" si="182"/>
        <v>0</v>
      </c>
      <c r="R269" s="250">
        <f t="shared" si="183"/>
        <v>754.08333333332905</v>
      </c>
      <c r="S269" s="260">
        <v>1</v>
      </c>
      <c r="T269" s="250">
        <f t="shared" si="184"/>
        <v>754.08333333332905</v>
      </c>
      <c r="V269" s="250">
        <f t="shared" si="185"/>
        <v>8294.9166666666715</v>
      </c>
      <c r="W269" s="250">
        <f t="shared" si="186"/>
        <v>8294.9166666666715</v>
      </c>
      <c r="X269" s="260">
        <v>1</v>
      </c>
      <c r="Y269" s="250">
        <f t="shared" si="187"/>
        <v>8294.9166666666715</v>
      </c>
      <c r="Z269" s="250">
        <f t="shared" si="188"/>
        <v>9049</v>
      </c>
      <c r="AA269" s="250">
        <f t="shared" si="189"/>
        <v>377.04166666666424</v>
      </c>
      <c r="AB269" s="250">
        <f t="shared" si="195"/>
        <v>0</v>
      </c>
      <c r="AC269" s="259">
        <f t="shared" si="190"/>
        <v>114.33333333333333</v>
      </c>
      <c r="AD269" s="247">
        <f t="shared" si="191"/>
        <v>124.5</v>
      </c>
      <c r="AE269" s="259">
        <f t="shared" si="192"/>
        <v>124.33333333333333</v>
      </c>
      <c r="AF269" s="247">
        <f t="shared" si="193"/>
        <v>123.5</v>
      </c>
      <c r="AG269" s="258">
        <f t="shared" si="194"/>
        <v>-8.3333333333333329E-2</v>
      </c>
    </row>
    <row r="270" spans="1:33">
      <c r="A270" s="472"/>
      <c r="B270" s="255" t="s">
        <v>540</v>
      </c>
      <c r="C270" s="255">
        <v>115</v>
      </c>
      <c r="D270" s="255">
        <v>11</v>
      </c>
      <c r="E270" s="262">
        <v>0</v>
      </c>
      <c r="G270" s="255" t="s">
        <v>831</v>
      </c>
      <c r="H270" s="255">
        <v>10</v>
      </c>
      <c r="I270" s="261">
        <f t="shared" si="178"/>
        <v>125</v>
      </c>
      <c r="L270" s="461">
        <v>10662</v>
      </c>
      <c r="N270" s="250">
        <f t="shared" si="179"/>
        <v>10662</v>
      </c>
      <c r="O270" s="250">
        <f t="shared" si="180"/>
        <v>88.850000000000009</v>
      </c>
      <c r="P270" s="250">
        <f t="shared" si="181"/>
        <v>1066.2</v>
      </c>
      <c r="Q270" s="247">
        <f t="shared" si="182"/>
        <v>0</v>
      </c>
      <c r="R270" s="250">
        <f t="shared" si="183"/>
        <v>1066.2</v>
      </c>
      <c r="S270" s="260">
        <v>1</v>
      </c>
      <c r="T270" s="250">
        <f t="shared" si="184"/>
        <v>1066.2</v>
      </c>
      <c r="V270" s="250">
        <f t="shared" si="185"/>
        <v>8174.2000000000062</v>
      </c>
      <c r="W270" s="250">
        <f t="shared" si="186"/>
        <v>8174.2000000000062</v>
      </c>
      <c r="X270" s="260">
        <v>1</v>
      </c>
      <c r="Y270" s="250">
        <f t="shared" si="187"/>
        <v>8174.2000000000062</v>
      </c>
      <c r="Z270" s="250">
        <f t="shared" si="188"/>
        <v>9240.4000000000069</v>
      </c>
      <c r="AA270" s="250">
        <f t="shared" si="189"/>
        <v>1954.6999999999935</v>
      </c>
      <c r="AB270" s="250">
        <f t="shared" si="195"/>
        <v>1421.5999999999931</v>
      </c>
      <c r="AC270" s="259">
        <f t="shared" si="190"/>
        <v>115.83333333333333</v>
      </c>
      <c r="AD270" s="247">
        <f t="shared" si="191"/>
        <v>124.5</v>
      </c>
      <c r="AE270" s="259">
        <f t="shared" si="192"/>
        <v>125.83333333333333</v>
      </c>
      <c r="AF270" s="247">
        <f t="shared" si="193"/>
        <v>123.5</v>
      </c>
      <c r="AG270" s="258">
        <f t="shared" si="194"/>
        <v>-8.3333333333333329E-2</v>
      </c>
    </row>
    <row r="271" spans="1:33">
      <c r="A271" s="472"/>
      <c r="B271" s="255" t="s">
        <v>537</v>
      </c>
      <c r="C271" s="255">
        <v>116</v>
      </c>
      <c r="D271" s="255">
        <v>6</v>
      </c>
      <c r="E271" s="262">
        <v>0</v>
      </c>
      <c r="G271" s="255" t="s">
        <v>831</v>
      </c>
      <c r="H271" s="255">
        <v>10</v>
      </c>
      <c r="I271" s="261">
        <f t="shared" si="178"/>
        <v>126</v>
      </c>
      <c r="L271" s="461">
        <v>5210</v>
      </c>
      <c r="N271" s="250">
        <f t="shared" si="179"/>
        <v>5210</v>
      </c>
      <c r="O271" s="250">
        <f t="shared" si="180"/>
        <v>43.416666666666664</v>
      </c>
      <c r="P271" s="250">
        <f t="shared" si="181"/>
        <v>521</v>
      </c>
      <c r="Q271" s="247">
        <f t="shared" si="182"/>
        <v>0</v>
      </c>
      <c r="R271" s="250">
        <f t="shared" si="183"/>
        <v>521</v>
      </c>
      <c r="S271" s="260">
        <v>1</v>
      </c>
      <c r="T271" s="250">
        <f t="shared" si="184"/>
        <v>521</v>
      </c>
      <c r="V271" s="250">
        <f t="shared" si="185"/>
        <v>3690.4166666666638</v>
      </c>
      <c r="W271" s="250">
        <f t="shared" si="186"/>
        <v>3690.4166666666638</v>
      </c>
      <c r="X271" s="260">
        <v>1</v>
      </c>
      <c r="Y271" s="250">
        <f t="shared" si="187"/>
        <v>3690.4166666666638</v>
      </c>
      <c r="Z271" s="250">
        <f t="shared" si="188"/>
        <v>4211.4166666666642</v>
      </c>
      <c r="AA271" s="250">
        <f t="shared" si="189"/>
        <v>1259.083333333336</v>
      </c>
      <c r="AB271" s="250">
        <f t="shared" si="195"/>
        <v>998.58333333333576</v>
      </c>
      <c r="AC271" s="259">
        <f t="shared" si="190"/>
        <v>116.41666666666667</v>
      </c>
      <c r="AD271" s="247">
        <f t="shared" si="191"/>
        <v>124.5</v>
      </c>
      <c r="AE271" s="259">
        <f t="shared" si="192"/>
        <v>126.41666666666667</v>
      </c>
      <c r="AF271" s="247">
        <f t="shared" si="193"/>
        <v>123.5</v>
      </c>
      <c r="AG271" s="258">
        <f t="shared" si="194"/>
        <v>-8.3333333333333329E-2</v>
      </c>
    </row>
    <row r="272" spans="1:33">
      <c r="A272" s="472"/>
      <c r="B272" s="255" t="s">
        <v>537</v>
      </c>
      <c r="C272" s="255">
        <v>116</v>
      </c>
      <c r="D272" s="255">
        <v>6</v>
      </c>
      <c r="E272" s="262">
        <v>0</v>
      </c>
      <c r="G272" s="255" t="s">
        <v>831</v>
      </c>
      <c r="H272" s="255">
        <v>10</v>
      </c>
      <c r="I272" s="261">
        <f t="shared" si="178"/>
        <v>126</v>
      </c>
      <c r="L272" s="461">
        <v>5210</v>
      </c>
      <c r="N272" s="250">
        <f t="shared" si="179"/>
        <v>5210</v>
      </c>
      <c r="O272" s="250">
        <f t="shared" si="180"/>
        <v>43.416666666666664</v>
      </c>
      <c r="P272" s="250">
        <f t="shared" si="181"/>
        <v>521</v>
      </c>
      <c r="Q272" s="247">
        <f t="shared" si="182"/>
        <v>0</v>
      </c>
      <c r="R272" s="250">
        <f t="shared" si="183"/>
        <v>521</v>
      </c>
      <c r="S272" s="260">
        <v>1</v>
      </c>
      <c r="T272" s="250">
        <f t="shared" si="184"/>
        <v>521</v>
      </c>
      <c r="V272" s="250">
        <f t="shared" si="185"/>
        <v>3690.4166666666638</v>
      </c>
      <c r="W272" s="250">
        <f t="shared" si="186"/>
        <v>3690.4166666666638</v>
      </c>
      <c r="X272" s="260">
        <v>1</v>
      </c>
      <c r="Y272" s="250">
        <f t="shared" si="187"/>
        <v>3690.4166666666638</v>
      </c>
      <c r="Z272" s="250">
        <f t="shared" si="188"/>
        <v>4211.4166666666642</v>
      </c>
      <c r="AA272" s="250">
        <f t="shared" si="189"/>
        <v>1259.083333333336</v>
      </c>
      <c r="AB272" s="250">
        <f t="shared" si="195"/>
        <v>998.58333333333576</v>
      </c>
      <c r="AC272" s="259">
        <f t="shared" si="190"/>
        <v>116.41666666666667</v>
      </c>
      <c r="AD272" s="247">
        <f t="shared" si="191"/>
        <v>124.5</v>
      </c>
      <c r="AE272" s="259">
        <f t="shared" si="192"/>
        <v>126.41666666666667</v>
      </c>
      <c r="AF272" s="247">
        <f t="shared" si="193"/>
        <v>123.5</v>
      </c>
      <c r="AG272" s="258">
        <f t="shared" si="194"/>
        <v>-8.3333333333333329E-2</v>
      </c>
    </row>
    <row r="273" spans="1:33">
      <c r="A273" s="472"/>
      <c r="B273" s="255" t="s">
        <v>541</v>
      </c>
      <c r="C273" s="255">
        <v>116</v>
      </c>
      <c r="D273" s="255">
        <v>7</v>
      </c>
      <c r="E273" s="262">
        <v>0</v>
      </c>
      <c r="G273" s="255" t="s">
        <v>831</v>
      </c>
      <c r="H273" s="255">
        <v>10</v>
      </c>
      <c r="I273" s="261">
        <f t="shared" ref="I273:I280" si="196">+C273+H273</f>
        <v>126</v>
      </c>
      <c r="L273" s="461">
        <v>9630</v>
      </c>
      <c r="N273" s="250">
        <f t="shared" ref="N273:N280" si="197">L273-L273*E273</f>
        <v>9630</v>
      </c>
      <c r="O273" s="250">
        <f t="shared" ref="O273:O280" si="198">N273/H273/12</f>
        <v>80.25</v>
      </c>
      <c r="P273" s="250">
        <f t="shared" ref="P273:P280" si="199">IF(M273&gt;0,0,IF(OR(AC273&gt;AD273,AE273&lt;AF273),0,IF(AND(AE273&gt;=AF273,AE273&lt;=AD273),O273*((AE273-AF273)*12),IF(AND(AF273&lt;=AC273,AD273&gt;=AC273),((AD273-AC273)*12)*O273,IF(AE273&gt;AD273,12*O273,0)))))</f>
        <v>963</v>
      </c>
      <c r="Q273" s="247">
        <f t="shared" ref="Q273:Q280" si="200">IF(M273=0,0,IF(AND(AG273&gt;=AF273,AG273&lt;=AE273),((AG273-AF273)*12)*O273,0))</f>
        <v>0</v>
      </c>
      <c r="R273" s="250">
        <f t="shared" ref="R273:R280" si="201">IF(Q273&gt;0,Q273,P273)</f>
        <v>963</v>
      </c>
      <c r="S273" s="260">
        <v>1</v>
      </c>
      <c r="T273" s="250">
        <f t="shared" ref="T273:T280" si="202">S273*SUM(P273:Q273)</f>
        <v>963</v>
      </c>
      <c r="V273" s="250">
        <f t="shared" ref="V273:V280" si="203">IF(AC273&gt;AD273,0,IF(AE273&lt;AF273,N273,IF(AND(AE273&gt;=AF273,AE273&lt;=AD273),(N273-R273),IF(AND(AF273&lt;=AC273,AD273&gt;=AC273),0,IF(AE273&gt;AD273,((AF273-AC273)*12)*O273,0)))))</f>
        <v>6741</v>
      </c>
      <c r="W273" s="250">
        <f t="shared" ref="W273:W280" si="204">V273*S273</f>
        <v>6741</v>
      </c>
      <c r="X273" s="260">
        <v>1</v>
      </c>
      <c r="Y273" s="250">
        <f t="shared" ref="Y273:Y280" si="205">W273*X273</f>
        <v>6741</v>
      </c>
      <c r="Z273" s="250">
        <f t="shared" ref="Z273:Z280" si="206">IF(M273&gt;0,0,Y273+T273*X273)*X273</f>
        <v>7704</v>
      </c>
      <c r="AA273" s="250">
        <f t="shared" si="189"/>
        <v>2407.5</v>
      </c>
      <c r="AB273" s="250">
        <f t="shared" ref="AB273:AB280" si="207">L273-Z273</f>
        <v>1926</v>
      </c>
      <c r="AC273" s="259">
        <f t="shared" si="190"/>
        <v>116.5</v>
      </c>
      <c r="AD273" s="247">
        <f t="shared" si="191"/>
        <v>124.5</v>
      </c>
      <c r="AE273" s="259">
        <f t="shared" si="192"/>
        <v>126.5</v>
      </c>
      <c r="AF273" s="247">
        <f t="shared" si="193"/>
        <v>123.5</v>
      </c>
      <c r="AG273" s="258">
        <f t="shared" si="194"/>
        <v>-8.3333333333333329E-2</v>
      </c>
    </row>
    <row r="274" spans="1:33" s="472" customFormat="1">
      <c r="B274" s="513" t="s">
        <v>537</v>
      </c>
      <c r="C274" s="513">
        <v>120</v>
      </c>
      <c r="D274" s="513">
        <v>4</v>
      </c>
      <c r="E274" s="498">
        <v>0</v>
      </c>
      <c r="G274" s="513" t="s">
        <v>831</v>
      </c>
      <c r="H274" s="513">
        <v>10</v>
      </c>
      <c r="I274" s="761">
        <f t="shared" si="196"/>
        <v>130</v>
      </c>
      <c r="L274" s="461">
        <v>5597</v>
      </c>
      <c r="N274" s="755">
        <f t="shared" si="197"/>
        <v>5597</v>
      </c>
      <c r="O274" s="755">
        <f t="shared" si="198"/>
        <v>46.641666666666673</v>
      </c>
      <c r="P274" s="755">
        <f t="shared" si="199"/>
        <v>559.70000000000005</v>
      </c>
      <c r="Q274" s="472">
        <f t="shared" si="200"/>
        <v>0</v>
      </c>
      <c r="R274" s="755">
        <f t="shared" si="201"/>
        <v>559.70000000000005</v>
      </c>
      <c r="S274" s="756">
        <v>1</v>
      </c>
      <c r="T274" s="755">
        <f t="shared" si="202"/>
        <v>559.70000000000005</v>
      </c>
      <c r="V274" s="755">
        <f t="shared" si="203"/>
        <v>1819.0250000000003</v>
      </c>
      <c r="W274" s="755">
        <f t="shared" si="204"/>
        <v>1819.0250000000003</v>
      </c>
      <c r="X274" s="756">
        <v>1</v>
      </c>
      <c r="Y274" s="755">
        <f t="shared" si="205"/>
        <v>1819.0250000000003</v>
      </c>
      <c r="Z274" s="755">
        <f t="shared" si="206"/>
        <v>2378.7250000000004</v>
      </c>
      <c r="AA274" s="755">
        <f t="shared" si="189"/>
        <v>3498.1249999999995</v>
      </c>
      <c r="AB274" s="755">
        <f t="shared" si="207"/>
        <v>3218.2749999999996</v>
      </c>
      <c r="AC274" s="757">
        <f t="shared" si="190"/>
        <v>120.25</v>
      </c>
      <c r="AD274" s="472">
        <f t="shared" si="191"/>
        <v>124.5</v>
      </c>
      <c r="AE274" s="757">
        <f t="shared" si="192"/>
        <v>130.25</v>
      </c>
      <c r="AF274" s="472">
        <f t="shared" si="193"/>
        <v>123.5</v>
      </c>
      <c r="AG274" s="758">
        <f t="shared" si="194"/>
        <v>-8.3333333333333329E-2</v>
      </c>
    </row>
    <row r="275" spans="1:33" s="472" customFormat="1">
      <c r="B275" s="513" t="s">
        <v>542</v>
      </c>
      <c r="C275" s="513">
        <v>120</v>
      </c>
      <c r="D275" s="513">
        <v>10</v>
      </c>
      <c r="E275" s="498">
        <v>0</v>
      </c>
      <c r="G275" s="513" t="s">
        <v>831</v>
      </c>
      <c r="H275" s="513">
        <v>10</v>
      </c>
      <c r="I275" s="761">
        <f t="shared" si="196"/>
        <v>130</v>
      </c>
      <c r="L275" s="461">
        <v>2351</v>
      </c>
      <c r="N275" s="755">
        <f t="shared" si="197"/>
        <v>2351</v>
      </c>
      <c r="O275" s="755">
        <f t="shared" si="198"/>
        <v>19.591666666666665</v>
      </c>
      <c r="P275" s="755">
        <f t="shared" si="199"/>
        <v>235.09999999999997</v>
      </c>
      <c r="Q275" s="472">
        <f t="shared" si="200"/>
        <v>0</v>
      </c>
      <c r="R275" s="755">
        <f t="shared" si="201"/>
        <v>235.09999999999997</v>
      </c>
      <c r="S275" s="756">
        <v>1</v>
      </c>
      <c r="T275" s="755">
        <f t="shared" si="202"/>
        <v>235.09999999999997</v>
      </c>
      <c r="V275" s="755">
        <f t="shared" si="203"/>
        <v>646.52499999999998</v>
      </c>
      <c r="W275" s="755">
        <f t="shared" si="204"/>
        <v>646.52499999999998</v>
      </c>
      <c r="X275" s="756">
        <v>1</v>
      </c>
      <c r="Y275" s="755">
        <f t="shared" si="205"/>
        <v>646.52499999999998</v>
      </c>
      <c r="Z275" s="755">
        <f t="shared" si="206"/>
        <v>881.625</v>
      </c>
      <c r="AA275" s="755">
        <f t="shared" si="189"/>
        <v>1586.925</v>
      </c>
      <c r="AB275" s="755">
        <f t="shared" si="207"/>
        <v>1469.375</v>
      </c>
      <c r="AC275" s="757">
        <f t="shared" si="190"/>
        <v>120.75</v>
      </c>
      <c r="AD275" s="472">
        <f t="shared" si="191"/>
        <v>124.5</v>
      </c>
      <c r="AE275" s="757">
        <f t="shared" si="192"/>
        <v>130.75</v>
      </c>
      <c r="AF275" s="472">
        <f t="shared" si="193"/>
        <v>123.5</v>
      </c>
      <c r="AG275" s="758">
        <f t="shared" si="194"/>
        <v>-8.3333333333333329E-2</v>
      </c>
    </row>
    <row r="276" spans="1:33" s="472" customFormat="1">
      <c r="B276" s="513" t="s">
        <v>541</v>
      </c>
      <c r="C276" s="513">
        <v>121</v>
      </c>
      <c r="D276" s="513">
        <v>5</v>
      </c>
      <c r="E276" s="498">
        <v>0</v>
      </c>
      <c r="G276" s="513" t="s">
        <v>831</v>
      </c>
      <c r="H276" s="513">
        <v>10</v>
      </c>
      <c r="I276" s="761">
        <f t="shared" si="196"/>
        <v>131</v>
      </c>
      <c r="L276" s="461">
        <v>15380</v>
      </c>
      <c r="N276" s="755">
        <f t="shared" si="197"/>
        <v>15380</v>
      </c>
      <c r="O276" s="755">
        <f t="shared" si="198"/>
        <v>128.16666666666666</v>
      </c>
      <c r="P276" s="755">
        <f t="shared" si="199"/>
        <v>1538</v>
      </c>
      <c r="Q276" s="472">
        <f t="shared" si="200"/>
        <v>0</v>
      </c>
      <c r="R276" s="755">
        <f t="shared" si="201"/>
        <v>1538</v>
      </c>
      <c r="S276" s="756">
        <v>1</v>
      </c>
      <c r="T276" s="755">
        <f t="shared" si="202"/>
        <v>1538</v>
      </c>
      <c r="V276" s="755">
        <f t="shared" si="203"/>
        <v>3332.3333333333403</v>
      </c>
      <c r="W276" s="755">
        <f t="shared" si="204"/>
        <v>3332.3333333333403</v>
      </c>
      <c r="X276" s="756">
        <v>1</v>
      </c>
      <c r="Y276" s="755">
        <f t="shared" si="205"/>
        <v>3332.3333333333403</v>
      </c>
      <c r="Z276" s="755">
        <f t="shared" si="206"/>
        <v>4870.3333333333403</v>
      </c>
      <c r="AA276" s="755">
        <f t="shared" si="189"/>
        <v>11278.666666666661</v>
      </c>
      <c r="AB276" s="755">
        <f t="shared" si="207"/>
        <v>10509.666666666661</v>
      </c>
      <c r="AC276" s="757">
        <f t="shared" si="190"/>
        <v>121.33333333333333</v>
      </c>
      <c r="AD276" s="472">
        <f t="shared" si="191"/>
        <v>124.5</v>
      </c>
      <c r="AE276" s="757">
        <f t="shared" si="192"/>
        <v>131.33333333333334</v>
      </c>
      <c r="AF276" s="472">
        <f t="shared" si="193"/>
        <v>123.5</v>
      </c>
      <c r="AG276" s="758">
        <f t="shared" si="194"/>
        <v>-8.3333333333333329E-2</v>
      </c>
    </row>
    <row r="277" spans="1:33" s="472" customFormat="1">
      <c r="B277" s="513" t="s">
        <v>540</v>
      </c>
      <c r="C277" s="513">
        <v>122</v>
      </c>
      <c r="D277" s="513">
        <v>3</v>
      </c>
      <c r="E277" s="498">
        <v>0</v>
      </c>
      <c r="G277" s="513" t="s">
        <v>831</v>
      </c>
      <c r="H277" s="513">
        <v>10</v>
      </c>
      <c r="I277" s="761">
        <f t="shared" si="196"/>
        <v>132</v>
      </c>
      <c r="L277" s="461">
        <v>13651</v>
      </c>
      <c r="N277" s="755">
        <f t="shared" si="197"/>
        <v>13651</v>
      </c>
      <c r="O277" s="755">
        <f t="shared" si="198"/>
        <v>113.75833333333333</v>
      </c>
      <c r="P277" s="755">
        <f t="shared" si="199"/>
        <v>1365.1</v>
      </c>
      <c r="Q277" s="472">
        <f t="shared" si="200"/>
        <v>0</v>
      </c>
      <c r="R277" s="755">
        <f t="shared" si="201"/>
        <v>1365.1</v>
      </c>
      <c r="S277" s="756">
        <v>1</v>
      </c>
      <c r="T277" s="755">
        <f t="shared" si="202"/>
        <v>1365.1</v>
      </c>
      <c r="V277" s="755">
        <f t="shared" si="203"/>
        <v>1820.1333333333268</v>
      </c>
      <c r="W277" s="755">
        <f t="shared" si="204"/>
        <v>1820.1333333333268</v>
      </c>
      <c r="X277" s="756">
        <v>1</v>
      </c>
      <c r="Y277" s="755">
        <f t="shared" si="205"/>
        <v>1820.1333333333268</v>
      </c>
      <c r="Z277" s="755">
        <f t="shared" si="206"/>
        <v>3185.2333333333268</v>
      </c>
      <c r="AA277" s="755">
        <f t="shared" si="189"/>
        <v>11148.316666666673</v>
      </c>
      <c r="AB277" s="755">
        <f t="shared" si="207"/>
        <v>10465.766666666674</v>
      </c>
      <c r="AC277" s="757">
        <f t="shared" si="190"/>
        <v>122.16666666666667</v>
      </c>
      <c r="AD277" s="472">
        <f t="shared" si="191"/>
        <v>124.5</v>
      </c>
      <c r="AE277" s="757">
        <f t="shared" si="192"/>
        <v>132.16666666666666</v>
      </c>
      <c r="AF277" s="472">
        <f t="shared" si="193"/>
        <v>123.5</v>
      </c>
      <c r="AG277" s="758">
        <f t="shared" si="194"/>
        <v>-8.3333333333333329E-2</v>
      </c>
    </row>
    <row r="278" spans="1:33" s="472" customFormat="1">
      <c r="B278" s="513" t="s">
        <v>541</v>
      </c>
      <c r="C278" s="513">
        <v>122</v>
      </c>
      <c r="D278" s="513">
        <v>3</v>
      </c>
      <c r="E278" s="498">
        <v>0</v>
      </c>
      <c r="G278" s="513" t="s">
        <v>831</v>
      </c>
      <c r="H278" s="513">
        <v>10</v>
      </c>
      <c r="I278" s="761">
        <f t="shared" si="196"/>
        <v>132</v>
      </c>
      <c r="L278" s="461">
        <v>15593</v>
      </c>
      <c r="N278" s="755">
        <f t="shared" si="197"/>
        <v>15593</v>
      </c>
      <c r="O278" s="755">
        <f t="shared" si="198"/>
        <v>129.94166666666666</v>
      </c>
      <c r="P278" s="755">
        <f t="shared" si="199"/>
        <v>1559.3</v>
      </c>
      <c r="Q278" s="472">
        <f t="shared" si="200"/>
        <v>0</v>
      </c>
      <c r="R278" s="755">
        <f t="shared" si="201"/>
        <v>1559.3</v>
      </c>
      <c r="S278" s="756">
        <v>1</v>
      </c>
      <c r="T278" s="755">
        <f t="shared" si="202"/>
        <v>1559.3</v>
      </c>
      <c r="V278" s="755">
        <f t="shared" si="203"/>
        <v>2079.0666666666593</v>
      </c>
      <c r="W278" s="755">
        <f t="shared" si="204"/>
        <v>2079.0666666666593</v>
      </c>
      <c r="X278" s="756">
        <v>1</v>
      </c>
      <c r="Y278" s="755">
        <f t="shared" si="205"/>
        <v>2079.0666666666593</v>
      </c>
      <c r="Z278" s="755">
        <f t="shared" si="206"/>
        <v>3638.3666666666595</v>
      </c>
      <c r="AA278" s="755">
        <f t="shared" si="189"/>
        <v>12734.28333333334</v>
      </c>
      <c r="AB278" s="755">
        <f t="shared" si="207"/>
        <v>11954.63333333334</v>
      </c>
      <c r="AC278" s="757">
        <f t="shared" si="190"/>
        <v>122.16666666666667</v>
      </c>
      <c r="AD278" s="472">
        <f t="shared" si="191"/>
        <v>124.5</v>
      </c>
      <c r="AE278" s="757">
        <f t="shared" si="192"/>
        <v>132.16666666666666</v>
      </c>
      <c r="AF278" s="472">
        <f t="shared" si="193"/>
        <v>123.5</v>
      </c>
      <c r="AG278" s="758">
        <f t="shared" si="194"/>
        <v>-8.3333333333333329E-2</v>
      </c>
    </row>
    <row r="279" spans="1:33" s="472" customFormat="1">
      <c r="B279" s="513" t="s">
        <v>538</v>
      </c>
      <c r="C279" s="513">
        <v>122</v>
      </c>
      <c r="D279" s="513">
        <v>4</v>
      </c>
      <c r="E279" s="498">
        <v>0</v>
      </c>
      <c r="G279" s="513" t="s">
        <v>831</v>
      </c>
      <c r="H279" s="513">
        <v>10</v>
      </c>
      <c r="I279" s="761">
        <f t="shared" si="196"/>
        <v>132</v>
      </c>
      <c r="L279" s="461">
        <v>12557</v>
      </c>
      <c r="N279" s="755">
        <f t="shared" si="197"/>
        <v>12557</v>
      </c>
      <c r="O279" s="755">
        <f t="shared" si="198"/>
        <v>104.64166666666667</v>
      </c>
      <c r="P279" s="755">
        <f t="shared" si="199"/>
        <v>1255.7</v>
      </c>
      <c r="Q279" s="472">
        <f t="shared" si="200"/>
        <v>0</v>
      </c>
      <c r="R279" s="755">
        <f t="shared" si="201"/>
        <v>1255.7</v>
      </c>
      <c r="S279" s="756">
        <v>1</v>
      </c>
      <c r="T279" s="755">
        <f t="shared" si="202"/>
        <v>1255.7</v>
      </c>
      <c r="V279" s="755">
        <f t="shared" si="203"/>
        <v>1569.625</v>
      </c>
      <c r="W279" s="755">
        <f t="shared" si="204"/>
        <v>1569.625</v>
      </c>
      <c r="X279" s="756">
        <v>1</v>
      </c>
      <c r="Y279" s="755">
        <f t="shared" si="205"/>
        <v>1569.625</v>
      </c>
      <c r="Z279" s="755">
        <f t="shared" si="206"/>
        <v>2825.3249999999998</v>
      </c>
      <c r="AA279" s="755">
        <f>IF(M279&gt;0,(L279-Y279)/2,IF(AC279&gt;=AF279,(((L279*S279)*X279)-Z279)/2,((((L279*S279)*X279)-Y279)+(((L279*S279)*X279)-Z279))/2))</f>
        <v>10359.525</v>
      </c>
      <c r="AB279" s="755">
        <f t="shared" si="207"/>
        <v>9731.6749999999993</v>
      </c>
      <c r="AC279" s="757">
        <f t="shared" si="190"/>
        <v>122.25</v>
      </c>
      <c r="AD279" s="472">
        <f t="shared" si="191"/>
        <v>124.5</v>
      </c>
      <c r="AE279" s="757">
        <f t="shared" si="192"/>
        <v>132.25</v>
      </c>
      <c r="AF279" s="472">
        <f t="shared" si="193"/>
        <v>123.5</v>
      </c>
      <c r="AG279" s="758">
        <f t="shared" si="194"/>
        <v>-8.3333333333333329E-2</v>
      </c>
    </row>
    <row r="280" spans="1:33" s="762" customFormat="1">
      <c r="B280" s="763" t="s">
        <v>541</v>
      </c>
      <c r="C280" s="763">
        <v>124</v>
      </c>
      <c r="D280" s="763">
        <v>2</v>
      </c>
      <c r="E280" s="764">
        <v>0</v>
      </c>
      <c r="G280" s="763" t="s">
        <v>831</v>
      </c>
      <c r="H280" s="763">
        <v>10</v>
      </c>
      <c r="I280" s="765">
        <f t="shared" si="196"/>
        <v>134</v>
      </c>
      <c r="L280" s="766">
        <v>13343</v>
      </c>
      <c r="N280" s="767">
        <f t="shared" si="197"/>
        <v>13343</v>
      </c>
      <c r="O280" s="767">
        <f t="shared" si="198"/>
        <v>111.19166666666666</v>
      </c>
      <c r="P280" s="767">
        <f t="shared" si="199"/>
        <v>555.95833333333962</v>
      </c>
      <c r="Q280" s="762">
        <f t="shared" si="200"/>
        <v>0</v>
      </c>
      <c r="R280" s="767">
        <f t="shared" si="201"/>
        <v>555.95833333333962</v>
      </c>
      <c r="S280" s="768">
        <v>1</v>
      </c>
      <c r="T280" s="767">
        <f t="shared" si="202"/>
        <v>555.95833333333962</v>
      </c>
      <c r="V280" s="767">
        <f t="shared" si="203"/>
        <v>0</v>
      </c>
      <c r="W280" s="767">
        <f t="shared" si="204"/>
        <v>0</v>
      </c>
      <c r="X280" s="768">
        <v>1</v>
      </c>
      <c r="Y280" s="767">
        <f t="shared" si="205"/>
        <v>0</v>
      </c>
      <c r="Z280" s="767">
        <f t="shared" si="206"/>
        <v>555.95833333333962</v>
      </c>
      <c r="AA280" s="767">
        <f>IF(M280&gt;0,(L280-Y280)/2,IF(AC280&gt;=AF280,(((L280*S280)*X280)-Z280)/2,((((L280*S280)*X280)-Y280)+(((L280*S280)*X280)-Z280))/2))</f>
        <v>6393.5208333333303</v>
      </c>
      <c r="AB280" s="767">
        <f t="shared" si="207"/>
        <v>12787.041666666661</v>
      </c>
      <c r="AC280" s="769">
        <f t="shared" si="190"/>
        <v>124.08333333333333</v>
      </c>
      <c r="AD280" s="762">
        <f t="shared" si="191"/>
        <v>124.5</v>
      </c>
      <c r="AE280" s="769">
        <f t="shared" si="192"/>
        <v>134.08333333333334</v>
      </c>
      <c r="AF280" s="762">
        <f t="shared" si="193"/>
        <v>123.5</v>
      </c>
      <c r="AG280" s="770">
        <f t="shared" si="194"/>
        <v>-8.3333333333333329E-2</v>
      </c>
    </row>
    <row r="281" spans="1:33" s="762" customFormat="1">
      <c r="B281" s="763" t="s">
        <v>540</v>
      </c>
      <c r="C281" s="763">
        <v>124</v>
      </c>
      <c r="D281" s="763">
        <v>2</v>
      </c>
      <c r="E281" s="764">
        <v>0</v>
      </c>
      <c r="G281" s="763" t="s">
        <v>831</v>
      </c>
      <c r="H281" s="763">
        <v>10</v>
      </c>
      <c r="I281" s="765">
        <f t="shared" si="178"/>
        <v>134</v>
      </c>
      <c r="L281" s="766">
        <v>11763</v>
      </c>
      <c r="N281" s="767">
        <f t="shared" si="179"/>
        <v>11763</v>
      </c>
      <c r="O281" s="767">
        <f t="shared" si="180"/>
        <v>98.024999999999991</v>
      </c>
      <c r="P281" s="767">
        <f t="shared" si="181"/>
        <v>490.12500000000551</v>
      </c>
      <c r="Q281" s="762">
        <f t="shared" si="182"/>
        <v>0</v>
      </c>
      <c r="R281" s="767">
        <f t="shared" si="183"/>
        <v>490.12500000000551</v>
      </c>
      <c r="S281" s="768">
        <v>1</v>
      </c>
      <c r="T281" s="767">
        <f t="shared" si="184"/>
        <v>490.12500000000551</v>
      </c>
      <c r="V281" s="767">
        <f t="shared" si="185"/>
        <v>0</v>
      </c>
      <c r="W281" s="767">
        <f t="shared" si="186"/>
        <v>0</v>
      </c>
      <c r="X281" s="768">
        <v>1</v>
      </c>
      <c r="Y281" s="767">
        <f t="shared" si="187"/>
        <v>0</v>
      </c>
      <c r="Z281" s="767">
        <f t="shared" si="188"/>
        <v>490.12500000000551</v>
      </c>
      <c r="AA281" s="767">
        <f t="shared" si="189"/>
        <v>5636.4374999999973</v>
      </c>
      <c r="AB281" s="767">
        <f t="shared" si="195"/>
        <v>11272.874999999995</v>
      </c>
      <c r="AC281" s="769">
        <f t="shared" si="190"/>
        <v>124.08333333333333</v>
      </c>
      <c r="AD281" s="762">
        <f t="shared" si="191"/>
        <v>124.5</v>
      </c>
      <c r="AE281" s="769">
        <f t="shared" si="192"/>
        <v>134.08333333333334</v>
      </c>
      <c r="AF281" s="762">
        <f t="shared" si="193"/>
        <v>123.5</v>
      </c>
      <c r="AG281" s="770">
        <f t="shared" si="194"/>
        <v>-8.3333333333333329E-2</v>
      </c>
    </row>
    <row r="282" spans="1:33">
      <c r="I282" s="252"/>
      <c r="L282" s="250"/>
      <c r="N282" s="250"/>
      <c r="P282" s="267"/>
      <c r="Q282" s="267"/>
      <c r="R282" s="266"/>
      <c r="T282" s="251"/>
      <c r="Y282" s="250"/>
      <c r="Z282" s="250"/>
      <c r="AA282" s="251"/>
      <c r="AB282" s="251"/>
    </row>
    <row r="283" spans="1:33" ht="16.5" thickBot="1">
      <c r="B283" s="255" t="s">
        <v>840</v>
      </c>
      <c r="I283" s="252"/>
      <c r="L283" s="250">
        <f>SUM(L247:L281)</f>
        <v>255837</v>
      </c>
      <c r="N283" s="250">
        <f>SUM(N247:N282)</f>
        <v>255837</v>
      </c>
      <c r="P283" s="251">
        <f>SUM(P247:P282)</f>
        <v>11384.266666666674</v>
      </c>
      <c r="Q283" s="251">
        <f>SUM(Q247:Q282)</f>
        <v>0</v>
      </c>
      <c r="R283" s="263">
        <f>SUM(R247:R282)</f>
        <v>11384.266666666674</v>
      </c>
      <c r="T283" s="257">
        <f>SUM(T247:T282)</f>
        <v>11384.266666666674</v>
      </c>
      <c r="V283" s="250">
        <f>SUM(V247:V282)</f>
        <v>167698.65833333333</v>
      </c>
      <c r="W283" s="250">
        <f>SUM(W247:W282)</f>
        <v>167698.65833333333</v>
      </c>
      <c r="Y283" s="250">
        <f>SUM(Y247:Y282)</f>
        <v>167698.65833333333</v>
      </c>
      <c r="Z283" s="250">
        <f>SUM(Z247:Z282)</f>
        <v>179082.92500000002</v>
      </c>
      <c r="AA283" s="257">
        <f>SUM(AA247:AA282)</f>
        <v>69893.208333333328</v>
      </c>
      <c r="AB283" s="257">
        <f>SUM(AB247:AB282)</f>
        <v>76754.074999999997</v>
      </c>
    </row>
    <row r="284" spans="1:33" ht="16.5" thickTop="1">
      <c r="B284" s="255"/>
      <c r="I284" s="252" t="s">
        <v>832</v>
      </c>
      <c r="L284" s="256">
        <f>SUM(L247:L279)</f>
        <v>230731</v>
      </c>
      <c r="N284" s="250"/>
      <c r="R284" s="250"/>
      <c r="T284" s="263"/>
      <c r="Y284" s="250"/>
      <c r="Z284" s="250"/>
      <c r="AA284" s="263"/>
      <c r="AB284" s="263"/>
    </row>
    <row r="285" spans="1:33">
      <c r="B285" s="255"/>
      <c r="I285" s="252"/>
      <c r="L285" s="256"/>
      <c r="N285" s="250"/>
      <c r="R285" s="250"/>
      <c r="T285" s="263"/>
      <c r="Y285" s="250"/>
      <c r="Z285" s="250"/>
      <c r="AA285" s="263"/>
      <c r="AB285" s="263"/>
    </row>
    <row r="286" spans="1:33">
      <c r="B286" s="255" t="s">
        <v>841</v>
      </c>
      <c r="I286" s="252"/>
      <c r="L286" s="256"/>
      <c r="N286" s="250"/>
      <c r="R286" s="250"/>
      <c r="T286" s="263"/>
      <c r="Y286" s="250"/>
      <c r="Z286" s="250"/>
      <c r="AA286" s="263"/>
      <c r="AB286" s="263"/>
    </row>
    <row r="287" spans="1:33">
      <c r="B287" s="255" t="s">
        <v>543</v>
      </c>
      <c r="C287" s="255">
        <v>118</v>
      </c>
      <c r="D287" s="255">
        <v>3</v>
      </c>
      <c r="E287" s="498">
        <v>0</v>
      </c>
      <c r="G287" s="255" t="s">
        <v>831</v>
      </c>
      <c r="H287" s="255">
        <v>10</v>
      </c>
      <c r="I287" s="261">
        <f>+C287+H287</f>
        <v>128</v>
      </c>
      <c r="L287" s="461">
        <v>12251</v>
      </c>
      <c r="N287" s="250">
        <f>L287-L287*E287</f>
        <v>12251</v>
      </c>
      <c r="O287" s="250">
        <f>N287/H287/12</f>
        <v>102.09166666666665</v>
      </c>
      <c r="P287" s="250">
        <f>IF(M287&gt;0,0,IF(OR(AC287&gt;AD287,AE287&lt;AF287),0,IF(AND(AE287&gt;=AF287,AE287&lt;=AD287),O287*((AE287-AF287)*12),IF(AND(AF287&lt;=AC287,AD287&gt;=AC287),((AD287-AC287)*12)*O287,IF(AE287&gt;AD287,12*O287,0)))))</f>
        <v>1225.0999999999999</v>
      </c>
      <c r="Q287" s="247">
        <f>IF(M287=0,0,IF(AND(AG287&gt;=AF287,AG287&lt;=AE287),((AG287-AF287)*12)*O287,0))</f>
        <v>0</v>
      </c>
      <c r="R287" s="250">
        <f>IF(Q287&gt;0,Q287,P287)</f>
        <v>1225.0999999999999</v>
      </c>
      <c r="S287" s="294">
        <v>1</v>
      </c>
      <c r="T287" s="250">
        <f>S287*SUM(P287:Q287)</f>
        <v>1225.0999999999999</v>
      </c>
      <c r="V287" s="250">
        <f>IF(AC287&gt;AD287,0,IF(AE287&lt;AF287,N287,IF(AND(AE287&gt;=AF287,AE287&lt;=AD287),(N287-R287),IF(AND(AF287&lt;=AC287,AD287&gt;=AC287),0,IF(AE287&gt;AD287,((AF287-AC287)*12)*O287,0)))))</f>
        <v>6533.8666666666604</v>
      </c>
      <c r="W287" s="250">
        <f>V287*S287</f>
        <v>6533.8666666666604</v>
      </c>
      <c r="X287" s="260">
        <v>1</v>
      </c>
      <c r="Y287" s="250">
        <f>W287*X287</f>
        <v>6533.8666666666604</v>
      </c>
      <c r="Z287" s="250">
        <f>IF(M287&gt;0,0,Y287+T287*X287)*X287</f>
        <v>7758.9666666666599</v>
      </c>
      <c r="AA287" s="250">
        <f>IF(M287&gt;0,(L287-Y287)/2,IF(AC287&gt;=AF287,(((L287*S287)*X287)-Z287)/2,((((L287*S287)*X287)-Y287)+(((L287*S287)*X287)-Z287))/2))</f>
        <v>5104.5833333333394</v>
      </c>
      <c r="AB287" s="250">
        <f>L287-Z287</f>
        <v>4492.0333333333401</v>
      </c>
      <c r="AC287" s="259">
        <f>$C287+(($D287-1)/12)</f>
        <v>118.16666666666667</v>
      </c>
      <c r="AD287" s="247">
        <f>($N$5+1)-($N$2/12)</f>
        <v>124.5</v>
      </c>
      <c r="AE287" s="259">
        <f>$I287+(($D287-1)/12)</f>
        <v>128.16666666666666</v>
      </c>
      <c r="AF287" s="247">
        <f>$N$4+($N$3/12)</f>
        <v>123.5</v>
      </c>
      <c r="AG287" s="258">
        <f>$J287+(($K287-1)/12)</f>
        <v>-8.3333333333333329E-2</v>
      </c>
    </row>
    <row r="288" spans="1:33">
      <c r="B288" s="255" t="s">
        <v>544</v>
      </c>
      <c r="C288" s="255">
        <v>118</v>
      </c>
      <c r="D288" s="255">
        <v>6</v>
      </c>
      <c r="E288" s="498">
        <v>0</v>
      </c>
      <c r="G288" s="255" t="s">
        <v>831</v>
      </c>
      <c r="H288" s="255">
        <v>10</v>
      </c>
      <c r="I288" s="261">
        <f>+C288+H288</f>
        <v>128</v>
      </c>
      <c r="L288" s="461">
        <v>17442</v>
      </c>
      <c r="N288" s="250">
        <f>L288-L288*E288</f>
        <v>17442</v>
      </c>
      <c r="O288" s="250">
        <f>N288/H288/12</f>
        <v>145.35</v>
      </c>
      <c r="P288" s="250">
        <f>IF(M288&gt;0,0,IF(OR(AC288&gt;AD288,AE288&lt;AF288),0,IF(AND(AE288&gt;=AF288,AE288&lt;=AD288),O288*((AE288-AF288)*12),IF(AND(AF288&lt;=AC288,AD288&gt;=AC288),((AD288-AC288)*12)*O288,IF(AE288&gt;AD288,12*O288,0)))))</f>
        <v>1744.1999999999998</v>
      </c>
      <c r="Q288" s="247">
        <f>IF(M288=0,0,IF(AND(AG288&gt;=AF288,AG288&lt;=AE288),((AG288-AF288)*12)*O288,0))</f>
        <v>0</v>
      </c>
      <c r="R288" s="250">
        <f>IF(Q288&gt;0,Q288,P288)</f>
        <v>1744.1999999999998</v>
      </c>
      <c r="S288" s="294">
        <v>1</v>
      </c>
      <c r="T288" s="250">
        <f>S288*SUM(P288:Q288)</f>
        <v>1744.1999999999998</v>
      </c>
      <c r="V288" s="250">
        <f>IF(AC288&gt;AD288,0,IF(AE288&lt;AF288,N288,IF(AND(AE288&gt;=AF288,AE288&lt;=AD288),(N288-R288),IF(AND(AF288&lt;=AC288,AD288&gt;=AC288),0,IF(AE288&gt;AD288,((AF288-AC288)*12)*O288,0)))))</f>
        <v>8866.3499999999913</v>
      </c>
      <c r="W288" s="250">
        <f>V288*S288</f>
        <v>8866.3499999999913</v>
      </c>
      <c r="X288" s="260">
        <v>1</v>
      </c>
      <c r="Y288" s="250">
        <f>W288*X288</f>
        <v>8866.3499999999913</v>
      </c>
      <c r="Z288" s="250">
        <f>IF(M288&gt;0,0,Y288+T288*X288)*X288</f>
        <v>10610.549999999992</v>
      </c>
      <c r="AA288" s="250">
        <f>IF(M288&gt;0,(L288-Y288)/2,IF(AC288&gt;=AF288,(((L288*S288)*X288)-Z288)/2,((((L288*S288)*X288)-Y288)+(((L288*S288)*X288)-Z288))/2))</f>
        <v>7703.5500000000084</v>
      </c>
      <c r="AB288" s="250">
        <f>L288-Z288</f>
        <v>6831.450000000008</v>
      </c>
      <c r="AC288" s="259">
        <f>$C288+(($D288-1)/12)</f>
        <v>118.41666666666667</v>
      </c>
      <c r="AD288" s="247">
        <f>($N$5+1)-($N$2/12)</f>
        <v>124.5</v>
      </c>
      <c r="AE288" s="259">
        <f>$I288+(($D288-1)/12)</f>
        <v>128.41666666666666</v>
      </c>
      <c r="AF288" s="247">
        <f>$N$4+($N$3/12)</f>
        <v>123.5</v>
      </c>
      <c r="AG288" s="258">
        <f>$J288+(($K288-1)/12)</f>
        <v>-8.3333333333333329E-2</v>
      </c>
    </row>
    <row r="289" spans="2:33">
      <c r="I289" s="252"/>
      <c r="L289" s="250"/>
      <c r="N289" s="250"/>
      <c r="P289" s="267"/>
      <c r="Q289" s="267"/>
      <c r="R289" s="266"/>
      <c r="T289" s="263"/>
      <c r="Y289" s="250"/>
      <c r="Z289" s="250"/>
      <c r="AA289" s="263"/>
      <c r="AB289" s="263"/>
    </row>
    <row r="290" spans="2:33" ht="16.5" thickBot="1">
      <c r="B290" s="255" t="s">
        <v>842</v>
      </c>
      <c r="I290" s="252"/>
      <c r="L290" s="250">
        <f>SUM(L287:L288)</f>
        <v>29693</v>
      </c>
      <c r="N290" s="250">
        <f>SUM(N287:N288)</f>
        <v>29693</v>
      </c>
      <c r="P290" s="250">
        <f>SUM(P287:P288)</f>
        <v>2969.2999999999997</v>
      </c>
      <c r="Q290" s="250">
        <f>SUM(Q287:Q288)</f>
        <v>0</v>
      </c>
      <c r="R290" s="489">
        <f>SUM(R287:R288)</f>
        <v>2969.2999999999997</v>
      </c>
      <c r="T290" s="257">
        <f>SUM(T287:T289)</f>
        <v>2969.2999999999997</v>
      </c>
      <c r="V290" s="250">
        <f>SUM(V287:V289)</f>
        <v>15400.216666666653</v>
      </c>
      <c r="W290" s="250">
        <f>SUM(W287:W289)</f>
        <v>15400.216666666653</v>
      </c>
      <c r="Y290" s="250">
        <f>SUM(Y287:Y289)</f>
        <v>15400.216666666653</v>
      </c>
      <c r="Z290" s="250">
        <f>SUM(Z287:Z289)</f>
        <v>18369.516666666652</v>
      </c>
      <c r="AA290" s="257">
        <f>SUM(AA287:AA289)</f>
        <v>12808.133333333348</v>
      </c>
      <c r="AB290" s="257">
        <f>SUM(AB287:AB289)</f>
        <v>11323.483333333348</v>
      </c>
    </row>
    <row r="291" spans="2:33" ht="16.5" thickTop="1">
      <c r="I291" s="252" t="s">
        <v>832</v>
      </c>
      <c r="L291" s="475">
        <f>SUM(L287:L288)</f>
        <v>29693</v>
      </c>
      <c r="N291" s="250"/>
      <c r="R291" s="250"/>
      <c r="T291" s="263"/>
      <c r="Y291" s="250"/>
      <c r="Z291" s="250"/>
      <c r="AA291" s="263"/>
      <c r="AB291" s="263"/>
    </row>
    <row r="292" spans="2:33">
      <c r="I292" s="252"/>
      <c r="L292" s="256"/>
      <c r="N292" s="250"/>
      <c r="R292" s="250"/>
      <c r="T292" s="263"/>
      <c r="Y292" s="250"/>
      <c r="Z292" s="250"/>
      <c r="AA292" s="263"/>
      <c r="AB292" s="263"/>
    </row>
    <row r="293" spans="2:33">
      <c r="B293" s="255" t="s">
        <v>843</v>
      </c>
      <c r="I293" s="252"/>
      <c r="L293" s="256"/>
      <c r="N293" s="250"/>
      <c r="R293" s="250"/>
      <c r="T293" s="263"/>
      <c r="Y293" s="250"/>
      <c r="Z293" s="250"/>
      <c r="AA293" s="263"/>
      <c r="AB293" s="263"/>
    </row>
    <row r="294" spans="2:33">
      <c r="B294" s="255" t="s">
        <v>545</v>
      </c>
      <c r="C294" s="255">
        <v>117</v>
      </c>
      <c r="D294" s="255">
        <v>8</v>
      </c>
      <c r="E294" s="498">
        <v>0</v>
      </c>
      <c r="G294" s="255" t="s">
        <v>831</v>
      </c>
      <c r="H294" s="255">
        <v>7</v>
      </c>
      <c r="I294" s="261">
        <f>+C294+H294</f>
        <v>124</v>
      </c>
      <c r="L294" s="461">
        <v>3462</v>
      </c>
      <c r="N294" s="250">
        <f>L294-L294*E294</f>
        <v>3462</v>
      </c>
      <c r="O294" s="250">
        <f>N294/H294/12</f>
        <v>41.214285714285715</v>
      </c>
      <c r="P294" s="250">
        <f>IF(M294&gt;0,0,IF(OR(AC294&gt;AD294,AE294&lt;AF294),0,IF(AND(AE294&gt;=AF294,AE294&lt;=AD294),O294*((AE294-AF294)*12),IF(AND(AF294&lt;=AC294,AD294&gt;=AC294),((AD294-AC294)*12)*O294,IF(AE294&gt;AD294,12*O294,0)))))</f>
        <v>494.57142857142856</v>
      </c>
      <c r="Q294" s="247">
        <f>IF(M294=0,0,IF(AND(AG294&gt;=AF294,AG294&lt;=AE294),((AG294-AF294)*12)*O294,0))</f>
        <v>0</v>
      </c>
      <c r="R294" s="250">
        <f>IF(Q294&gt;0,Q294,P294)</f>
        <v>494.57142857142856</v>
      </c>
      <c r="S294" s="294">
        <v>1</v>
      </c>
      <c r="T294" s="250">
        <f>S294*SUM(P294:Q294)</f>
        <v>494.57142857142856</v>
      </c>
      <c r="V294" s="250">
        <f>IF(AC294&gt;AD294,0,IF(AE294&lt;AF294,N294,IF(AND(AE294&gt;=AF294,AE294&lt;=AD294),(N294-R294),IF(AND(AF294&lt;=AC294,AD294&gt;=AC294),0,IF(AE294&gt;AD294,((AF294-AC294)*12)*O294,0)))))</f>
        <v>2926.2142857142881</v>
      </c>
      <c r="W294" s="250">
        <f>V294*S294</f>
        <v>2926.2142857142881</v>
      </c>
      <c r="X294" s="260">
        <v>1</v>
      </c>
      <c r="Y294" s="250">
        <f>W294*X294</f>
        <v>2926.2142857142881</v>
      </c>
      <c r="Z294" s="250">
        <f>IF(M294&gt;0,0,Y294+T294*X294)*X294</f>
        <v>3420.7857142857165</v>
      </c>
      <c r="AA294" s="250">
        <f>IF(M294&gt;0,(L294-Y294)/2,IF(AC294&gt;=AF294,(((L294*S294)*X294)-Z294)/2,((((L294*S294)*X294)-Y294)+(((L294*S294)*X294)-Z294))/2))</f>
        <v>288.49999999999773</v>
      </c>
      <c r="AB294" s="250">
        <f>L294-Z294</f>
        <v>41.214285714283506</v>
      </c>
      <c r="AC294" s="259">
        <f>$C294+(($D294-1)/12)</f>
        <v>117.58333333333333</v>
      </c>
      <c r="AD294" s="247">
        <f>($N$5+1)-($N$2/12)</f>
        <v>124.5</v>
      </c>
      <c r="AE294" s="259">
        <f>$I294+(($D294-1)/12)</f>
        <v>124.58333333333333</v>
      </c>
      <c r="AF294" s="247">
        <f>$N$4+($N$3/12)</f>
        <v>123.5</v>
      </c>
      <c r="AG294" s="258">
        <f>$J294+(($K294-1)/12)</f>
        <v>-8.3333333333333329E-2</v>
      </c>
    </row>
    <row r="295" spans="2:33" s="472" customFormat="1">
      <c r="B295" s="513" t="s">
        <v>546</v>
      </c>
      <c r="C295" s="513">
        <v>119</v>
      </c>
      <c r="D295" s="513">
        <v>8</v>
      </c>
      <c r="E295" s="498">
        <v>0</v>
      </c>
      <c r="G295" s="513" t="s">
        <v>831</v>
      </c>
      <c r="H295" s="513">
        <v>7</v>
      </c>
      <c r="I295" s="761">
        <f>+C295+H295</f>
        <v>126</v>
      </c>
      <c r="L295" s="461">
        <v>840</v>
      </c>
      <c r="N295" s="755">
        <f>L295-L295*E295</f>
        <v>840</v>
      </c>
      <c r="O295" s="755">
        <f>N295/H295/12</f>
        <v>10</v>
      </c>
      <c r="P295" s="755">
        <f>IF(M295&gt;0,0,IF(OR(AC295&gt;AD295,AE295&lt;AF295),0,IF(AND(AE295&gt;=AF295,AE295&lt;=AD295),O295*((AE295-AF295)*12),IF(AND(AF295&lt;=AC295,AD295&gt;=AC295),((AD295-AC295)*12)*O295,IF(AE295&gt;AD295,12*O295,0)))))</f>
        <v>120</v>
      </c>
      <c r="Q295" s="472">
        <f>IF(M295=0,0,IF(AND(AG295&gt;=AF295,AG295&lt;=AE295),((AG295-AF295)*12)*O295,0))</f>
        <v>0</v>
      </c>
      <c r="R295" s="755">
        <f>IF(Q295&gt;0,Q295,P295)</f>
        <v>120</v>
      </c>
      <c r="S295" s="756">
        <v>1</v>
      </c>
      <c r="T295" s="755">
        <f>S295*SUM(P295:Q295)</f>
        <v>120</v>
      </c>
      <c r="V295" s="755">
        <f>IF(AC295&gt;AD295,0,IF(AE295&lt;AF295,N295,IF(AND(AE295&gt;=AF295,AE295&lt;=AD295),(N295-R295),IF(AND(AF295&lt;=AC295,AD295&gt;=AC295),0,IF(AE295&gt;AD295,((AF295-AC295)*12)*O295,0)))))</f>
        <v>470.00000000000057</v>
      </c>
      <c r="W295" s="755">
        <f>V295*S295</f>
        <v>470.00000000000057</v>
      </c>
      <c r="X295" s="756">
        <v>1</v>
      </c>
      <c r="Y295" s="755">
        <f>W295*X295</f>
        <v>470.00000000000057</v>
      </c>
      <c r="Z295" s="755">
        <f>IF(M295&gt;0,0,Y295+T295*X295)*X295</f>
        <v>590.00000000000057</v>
      </c>
      <c r="AA295" s="755">
        <f>IF(M295&gt;0,(L295-Y295)/2,IF(AC295&gt;=AF295,(((L295*S295)*X295)-Z295)/2,((((L295*S295)*X295)-Y295)+(((L295*S295)*X295)-Z295))/2))</f>
        <v>309.99999999999943</v>
      </c>
      <c r="AB295" s="755">
        <f>L295-Z295</f>
        <v>249.99999999999943</v>
      </c>
      <c r="AC295" s="757">
        <f>$C295+(($D295-1)/12)</f>
        <v>119.58333333333333</v>
      </c>
      <c r="AD295" s="472">
        <f>($N$5+1)-($N$2/12)</f>
        <v>124.5</v>
      </c>
      <c r="AE295" s="757">
        <f>$I295+(($D295-1)/12)</f>
        <v>126.58333333333333</v>
      </c>
      <c r="AF295" s="472">
        <f>$N$4+($N$3/12)</f>
        <v>123.5</v>
      </c>
      <c r="AG295" s="758">
        <f>$J295+(($K295-1)/12)</f>
        <v>-8.3333333333333329E-2</v>
      </c>
    </row>
    <row r="296" spans="2:33" s="472" customFormat="1">
      <c r="B296" s="513" t="s">
        <v>547</v>
      </c>
      <c r="C296" s="513">
        <v>121</v>
      </c>
      <c r="D296" s="513">
        <v>8</v>
      </c>
      <c r="E296" s="498">
        <v>0</v>
      </c>
      <c r="G296" s="513" t="s">
        <v>831</v>
      </c>
      <c r="H296" s="513">
        <v>7</v>
      </c>
      <c r="I296" s="761">
        <f>+C296+H296</f>
        <v>128</v>
      </c>
      <c r="L296" s="461">
        <v>390</v>
      </c>
      <c r="N296" s="755">
        <f>L296-L296*E296</f>
        <v>390</v>
      </c>
      <c r="O296" s="755">
        <f>N296/H296/12</f>
        <v>4.6428571428571432</v>
      </c>
      <c r="P296" s="755">
        <f>IF(M296&gt;0,0,IF(OR(AC296&gt;AD296,AE296&lt;AF296),0,IF(AND(AE296&gt;=AF296,AE296&lt;=AD296),O296*((AE296-AF296)*12),IF(AND(AF296&lt;=AC296,AD296&gt;=AC296),((AD296-AC296)*12)*O296,IF(AE296&gt;AD296,12*O296,0)))))</f>
        <v>55.714285714285722</v>
      </c>
      <c r="Q296" s="472">
        <f>IF(M296=0,0,IF(AND(AG296&gt;=AF296,AG296&lt;=AE296),((AG296-AF296)*12)*O296,0))</f>
        <v>0</v>
      </c>
      <c r="R296" s="755">
        <f>IF(Q296&gt;0,Q296,P296)</f>
        <v>55.714285714285722</v>
      </c>
      <c r="S296" s="756">
        <v>1</v>
      </c>
      <c r="T296" s="755">
        <f>S296*SUM(P296:Q296)</f>
        <v>55.714285714285722</v>
      </c>
      <c r="V296" s="755">
        <f>IF(AC296&gt;AD296,0,IF(AE296&lt;AF296,N296,IF(AND(AE296&gt;=AF296,AE296&lt;=AD296),(N296-R296),IF(AND(AF296&lt;=AC296,AD296&gt;=AC296),0,IF(AE296&gt;AD296,((AF296-AC296)*12)*O296,0)))))</f>
        <v>106.78571428571456</v>
      </c>
      <c r="W296" s="755">
        <f>V296*S296</f>
        <v>106.78571428571456</v>
      </c>
      <c r="X296" s="756">
        <v>1</v>
      </c>
      <c r="Y296" s="755">
        <f>W296*X296</f>
        <v>106.78571428571456</v>
      </c>
      <c r="Z296" s="755">
        <f>IF(M296&gt;0,0,Y296+T296*X296)*X296</f>
        <v>162.50000000000028</v>
      </c>
      <c r="AA296" s="755">
        <f>IF(M296&gt;0,(L296-Y296)/2,IF(AC296&gt;=AF296,(((L296*S296)*X296)-Z296)/2,((((L296*S296)*X296)-Y296)+(((L296*S296)*X296)-Z296))/2))</f>
        <v>255.35714285714258</v>
      </c>
      <c r="AB296" s="755">
        <f>L296-Z296</f>
        <v>227.49999999999972</v>
      </c>
      <c r="AC296" s="757">
        <f>$C296+(($D296-1)/12)</f>
        <v>121.58333333333333</v>
      </c>
      <c r="AD296" s="472">
        <f>($N$5+1)-($N$2/12)</f>
        <v>124.5</v>
      </c>
      <c r="AE296" s="757">
        <f>$I296+(($D296-1)/12)</f>
        <v>128.58333333333334</v>
      </c>
      <c r="AF296" s="472">
        <f>$N$4+($N$3/12)</f>
        <v>123.5</v>
      </c>
      <c r="AG296" s="758">
        <f>$J296+(($K296-1)/12)</f>
        <v>-8.3333333333333329E-2</v>
      </c>
    </row>
    <row r="297" spans="2:33">
      <c r="I297" s="252"/>
      <c r="L297" s="250"/>
      <c r="N297" s="250"/>
      <c r="P297" s="267"/>
      <c r="Q297" s="267"/>
      <c r="R297" s="266"/>
      <c r="T297" s="263"/>
      <c r="Y297" s="250"/>
      <c r="Z297" s="250"/>
      <c r="AA297" s="263"/>
      <c r="AB297" s="263"/>
    </row>
    <row r="298" spans="2:33" ht="16.5" thickBot="1">
      <c r="B298" s="255" t="s">
        <v>842</v>
      </c>
      <c r="I298" s="252"/>
      <c r="L298" s="250">
        <f>SUM(L294:L296)</f>
        <v>4692</v>
      </c>
      <c r="N298" s="250">
        <f>SUM(N294:N296)</f>
        <v>4692</v>
      </c>
      <c r="P298" s="251">
        <f>SUM(P294:P297)</f>
        <v>670.28571428571422</v>
      </c>
      <c r="Q298" s="251">
        <f>SUM(Q294:Q297)</f>
        <v>0</v>
      </c>
      <c r="R298" s="263">
        <f>SUM(R294:R297)</f>
        <v>670.28571428571422</v>
      </c>
      <c r="T298" s="257">
        <f>SUM(T294:T297)</f>
        <v>670.28571428571422</v>
      </c>
      <c r="V298" s="250">
        <f>SUM(V294:V297)</f>
        <v>3503.0000000000032</v>
      </c>
      <c r="W298" s="250">
        <f>SUM(W294:W297)</f>
        <v>3503.0000000000032</v>
      </c>
      <c r="Y298" s="250">
        <f>SUM(Y294:Y297)</f>
        <v>3503.0000000000032</v>
      </c>
      <c r="Z298" s="250">
        <f>SUM(Z294:Z297)</f>
        <v>4173.2857142857174</v>
      </c>
      <c r="AA298" s="257">
        <f>SUM(AA294:AA297)</f>
        <v>853.85714285713971</v>
      </c>
      <c r="AB298" s="257">
        <f>SUM(AB294:AB297)</f>
        <v>518.7142857142826</v>
      </c>
    </row>
    <row r="299" spans="2:33" ht="16.5" thickTop="1">
      <c r="I299" s="252" t="s">
        <v>832</v>
      </c>
      <c r="L299" s="256">
        <f>SUM(L294:L295)</f>
        <v>4302</v>
      </c>
      <c r="N299" s="250"/>
      <c r="R299" s="250"/>
      <c r="T299" s="263"/>
      <c r="Y299" s="250"/>
      <c r="Z299" s="250"/>
      <c r="AA299" s="263"/>
      <c r="AB299" s="263"/>
    </row>
    <row r="300" spans="2:33">
      <c r="I300" s="252"/>
      <c r="L300" s="256"/>
      <c r="N300" s="250"/>
      <c r="R300" s="250"/>
      <c r="T300" s="263"/>
      <c r="Y300" s="250"/>
      <c r="Z300" s="250"/>
      <c r="AA300" s="263"/>
      <c r="AB300" s="263" t="s">
        <v>14</v>
      </c>
    </row>
    <row r="301" spans="2:33">
      <c r="B301" s="255" t="s">
        <v>844</v>
      </c>
      <c r="I301" s="252"/>
      <c r="L301" s="250"/>
      <c r="N301" s="250"/>
      <c r="R301" s="250"/>
      <c r="T301" s="263"/>
      <c r="Y301" s="250"/>
      <c r="Z301" s="250"/>
      <c r="AA301" s="263"/>
      <c r="AB301" s="263"/>
    </row>
    <row r="302" spans="2:33">
      <c r="B302" s="255" t="s">
        <v>548</v>
      </c>
      <c r="C302" s="255">
        <v>87</v>
      </c>
      <c r="D302" s="255">
        <v>11</v>
      </c>
      <c r="E302" s="262">
        <v>0</v>
      </c>
      <c r="G302" s="255" t="s">
        <v>831</v>
      </c>
      <c r="H302" s="255">
        <v>10</v>
      </c>
      <c r="I302" s="261">
        <f t="shared" ref="I302:I327" si="208">+C302+H302</f>
        <v>97</v>
      </c>
      <c r="L302" s="253">
        <v>975</v>
      </c>
      <c r="N302" s="250">
        <f t="shared" ref="N302:N327" si="209">L302-L302*E302</f>
        <v>975</v>
      </c>
      <c r="O302" s="250">
        <f t="shared" ref="O302:O327" si="210">N302/H302/12</f>
        <v>8.125</v>
      </c>
      <c r="P302" s="250">
        <f t="shared" ref="P302:P327" si="211">IF(M302&gt;0,0,IF(OR(AC302&gt;AD302,AE302&lt;AF302),0,IF(AND(AE302&gt;=AF302,AE302&lt;=AD302),O302*((AE302-AF302)*12),IF(AND(AF302&lt;=AC302,AD302&gt;=AC302),((AD302-AC302)*12)*O302,IF(AE302&gt;AD302,12*O302,0)))))</f>
        <v>0</v>
      </c>
      <c r="Q302" s="247">
        <f t="shared" ref="Q302:Q327" si="212">IF(M302=0,0,IF(AND(AG302&gt;=AF302,AG302&lt;=AE302),((AG302-AF302)*12)*O302,0))</f>
        <v>0</v>
      </c>
      <c r="R302" s="250">
        <f t="shared" ref="R302:R327" si="213">IF(Q302&gt;0,Q302,P302)</f>
        <v>0</v>
      </c>
      <c r="S302" s="260">
        <v>1</v>
      </c>
      <c r="T302" s="250">
        <f t="shared" ref="T302:T327" si="214">S302*SUM(P302:Q302)</f>
        <v>0</v>
      </c>
      <c r="V302" s="250">
        <f t="shared" ref="V302:V327" si="215">IF(AC302&gt;AD302,0,IF(AE302&lt;AF302,N302,IF(AND(AE302&gt;=AF302,AE302&lt;=AD302),(N302-R302),IF(AND(AF302&lt;=AC302,AD302&gt;=AC302),0,IF(AE302&gt;AD302,((AF302-AC302)*12)*O302,0)))))</f>
        <v>975</v>
      </c>
      <c r="W302" s="250">
        <f t="shared" ref="W302:W327" si="216">V302*S302</f>
        <v>975</v>
      </c>
      <c r="X302" s="260">
        <v>1</v>
      </c>
      <c r="Y302" s="250">
        <f t="shared" ref="Y302:Y327" si="217">W302*X302</f>
        <v>975</v>
      </c>
      <c r="Z302" s="250">
        <f t="shared" ref="Z302:Z327" si="218">IF(M302&gt;0,0,Y302+T302*X302)*X302</f>
        <v>975</v>
      </c>
      <c r="AA302" s="250">
        <f t="shared" ref="AA302:AA327" si="219">IF(M302&gt;0,(L302-Y302)/2,IF(AC302&gt;=AF302,(((L302*S302)*X302)-Z302)/2,((((L302*S302)*X302)-Y302)+(((L302*S302)*X302)-Z302))/2))</f>
        <v>0</v>
      </c>
      <c r="AB302" s="250">
        <f>L302-Z302</f>
        <v>0</v>
      </c>
      <c r="AC302" s="259">
        <f t="shared" ref="AC302:AC327" si="220">$C302+(($D302-1)/12)</f>
        <v>87.833333333333329</v>
      </c>
      <c r="AD302" s="247">
        <f t="shared" ref="AD302:AD327" si="221">($N$5+1)-($N$2/12)</f>
        <v>124.5</v>
      </c>
      <c r="AE302" s="259">
        <f t="shared" ref="AE302:AE327" si="222">$I302+(($D302-1)/12)</f>
        <v>97.833333333333329</v>
      </c>
      <c r="AF302" s="247">
        <f t="shared" ref="AF302:AF327" si="223">$N$4+($N$3/12)</f>
        <v>123.5</v>
      </c>
      <c r="AG302" s="258">
        <f t="shared" ref="AG302:AG327" si="224">$J302+(($K302-1)/12)</f>
        <v>-8.3333333333333329E-2</v>
      </c>
    </row>
    <row r="303" spans="2:33">
      <c r="B303" s="255" t="s">
        <v>549</v>
      </c>
      <c r="C303" s="255">
        <v>93</v>
      </c>
      <c r="D303" s="255">
        <v>4</v>
      </c>
      <c r="E303" s="262">
        <v>0</v>
      </c>
      <c r="G303" s="255" t="s">
        <v>831</v>
      </c>
      <c r="H303" s="255">
        <v>10</v>
      </c>
      <c r="I303" s="261">
        <f t="shared" si="208"/>
        <v>103</v>
      </c>
      <c r="L303" s="253">
        <v>1000</v>
      </c>
      <c r="N303" s="250">
        <f t="shared" si="209"/>
        <v>1000</v>
      </c>
      <c r="O303" s="250">
        <f t="shared" si="210"/>
        <v>8.3333333333333339</v>
      </c>
      <c r="P303" s="250">
        <f t="shared" si="211"/>
        <v>0</v>
      </c>
      <c r="Q303" s="247">
        <f t="shared" si="212"/>
        <v>0</v>
      </c>
      <c r="R303" s="250">
        <f t="shared" si="213"/>
        <v>0</v>
      </c>
      <c r="S303" s="260">
        <v>1</v>
      </c>
      <c r="T303" s="250">
        <f t="shared" si="214"/>
        <v>0</v>
      </c>
      <c r="V303" s="250">
        <f t="shared" si="215"/>
        <v>1000</v>
      </c>
      <c r="W303" s="250">
        <f t="shared" si="216"/>
        <v>1000</v>
      </c>
      <c r="X303" s="260">
        <v>1</v>
      </c>
      <c r="Y303" s="250">
        <f t="shared" si="217"/>
        <v>1000</v>
      </c>
      <c r="Z303" s="250">
        <f t="shared" si="218"/>
        <v>1000</v>
      </c>
      <c r="AA303" s="250">
        <f t="shared" si="219"/>
        <v>0</v>
      </c>
      <c r="AB303" s="250">
        <f t="shared" ref="AB303:AB327" si="225">L303-Z303</f>
        <v>0</v>
      </c>
      <c r="AC303" s="259">
        <f t="shared" si="220"/>
        <v>93.25</v>
      </c>
      <c r="AD303" s="247">
        <f t="shared" si="221"/>
        <v>124.5</v>
      </c>
      <c r="AE303" s="259">
        <f t="shared" si="222"/>
        <v>103.25</v>
      </c>
      <c r="AF303" s="247">
        <f t="shared" si="223"/>
        <v>123.5</v>
      </c>
      <c r="AG303" s="258">
        <f t="shared" si="224"/>
        <v>-8.3333333333333329E-2</v>
      </c>
    </row>
    <row r="304" spans="2:33">
      <c r="B304" s="255" t="s">
        <v>550</v>
      </c>
      <c r="C304" s="255">
        <v>104</v>
      </c>
      <c r="D304" s="255">
        <v>10</v>
      </c>
      <c r="E304" s="262">
        <v>0</v>
      </c>
      <c r="G304" s="255" t="s">
        <v>831</v>
      </c>
      <c r="H304" s="255">
        <v>10</v>
      </c>
      <c r="I304" s="261">
        <f t="shared" si="208"/>
        <v>114</v>
      </c>
      <c r="L304" s="253">
        <v>2592</v>
      </c>
      <c r="N304" s="250">
        <f t="shared" si="209"/>
        <v>2592</v>
      </c>
      <c r="O304" s="250">
        <f t="shared" si="210"/>
        <v>21.599999999999998</v>
      </c>
      <c r="P304" s="250">
        <f t="shared" si="211"/>
        <v>0</v>
      </c>
      <c r="Q304" s="247">
        <f t="shared" si="212"/>
        <v>0</v>
      </c>
      <c r="R304" s="250">
        <f t="shared" si="213"/>
        <v>0</v>
      </c>
      <c r="S304" s="260">
        <v>1</v>
      </c>
      <c r="T304" s="250">
        <f t="shared" si="214"/>
        <v>0</v>
      </c>
      <c r="V304" s="250">
        <f t="shared" si="215"/>
        <v>2592</v>
      </c>
      <c r="W304" s="250">
        <f t="shared" si="216"/>
        <v>2592</v>
      </c>
      <c r="X304" s="260">
        <v>1</v>
      </c>
      <c r="Y304" s="250">
        <f t="shared" si="217"/>
        <v>2592</v>
      </c>
      <c r="Z304" s="250">
        <f t="shared" si="218"/>
        <v>2592</v>
      </c>
      <c r="AA304" s="250">
        <f t="shared" si="219"/>
        <v>0</v>
      </c>
      <c r="AB304" s="250">
        <f t="shared" si="225"/>
        <v>0</v>
      </c>
      <c r="AC304" s="259">
        <f t="shared" si="220"/>
        <v>104.75</v>
      </c>
      <c r="AD304" s="247">
        <f t="shared" si="221"/>
        <v>124.5</v>
      </c>
      <c r="AE304" s="259">
        <f t="shared" si="222"/>
        <v>114.75</v>
      </c>
      <c r="AF304" s="247">
        <f t="shared" si="223"/>
        <v>123.5</v>
      </c>
      <c r="AG304" s="258">
        <f t="shared" si="224"/>
        <v>-8.3333333333333329E-2</v>
      </c>
    </row>
    <row r="305" spans="1:33">
      <c r="B305" s="255" t="s">
        <v>551</v>
      </c>
      <c r="C305" s="255">
        <v>104</v>
      </c>
      <c r="D305" s="255">
        <v>11</v>
      </c>
      <c r="E305" s="262">
        <v>0</v>
      </c>
      <c r="G305" s="255" t="s">
        <v>831</v>
      </c>
      <c r="H305" s="255">
        <v>10</v>
      </c>
      <c r="I305" s="261">
        <f t="shared" si="208"/>
        <v>114</v>
      </c>
      <c r="L305" s="253">
        <v>4320</v>
      </c>
      <c r="N305" s="250">
        <f t="shared" si="209"/>
        <v>4320</v>
      </c>
      <c r="O305" s="250">
        <f t="shared" si="210"/>
        <v>36</v>
      </c>
      <c r="P305" s="250">
        <f t="shared" si="211"/>
        <v>0</v>
      </c>
      <c r="Q305" s="247">
        <f t="shared" si="212"/>
        <v>0</v>
      </c>
      <c r="R305" s="250">
        <f t="shared" si="213"/>
        <v>0</v>
      </c>
      <c r="S305" s="260">
        <v>1</v>
      </c>
      <c r="T305" s="250">
        <f t="shared" si="214"/>
        <v>0</v>
      </c>
      <c r="V305" s="250">
        <f t="shared" si="215"/>
        <v>4320</v>
      </c>
      <c r="W305" s="250">
        <f t="shared" si="216"/>
        <v>4320</v>
      </c>
      <c r="X305" s="260">
        <v>1</v>
      </c>
      <c r="Y305" s="250">
        <f t="shared" si="217"/>
        <v>4320</v>
      </c>
      <c r="Z305" s="250">
        <f t="shared" si="218"/>
        <v>4320</v>
      </c>
      <c r="AA305" s="250">
        <f t="shared" si="219"/>
        <v>0</v>
      </c>
      <c r="AB305" s="250">
        <f t="shared" si="225"/>
        <v>0</v>
      </c>
      <c r="AC305" s="259">
        <f t="shared" si="220"/>
        <v>104.83333333333333</v>
      </c>
      <c r="AD305" s="247">
        <f t="shared" si="221"/>
        <v>124.5</v>
      </c>
      <c r="AE305" s="259">
        <f t="shared" si="222"/>
        <v>114.83333333333333</v>
      </c>
      <c r="AF305" s="247">
        <f t="shared" si="223"/>
        <v>123.5</v>
      </c>
      <c r="AG305" s="258">
        <f t="shared" si="224"/>
        <v>-8.3333333333333329E-2</v>
      </c>
    </row>
    <row r="306" spans="1:33">
      <c r="B306" s="255" t="s">
        <v>549</v>
      </c>
      <c r="C306" s="255">
        <v>104</v>
      </c>
      <c r="D306" s="255">
        <v>12</v>
      </c>
      <c r="E306" s="262">
        <v>0</v>
      </c>
      <c r="G306" s="255" t="s">
        <v>831</v>
      </c>
      <c r="H306" s="255">
        <v>10</v>
      </c>
      <c r="I306" s="261">
        <f t="shared" si="208"/>
        <v>114</v>
      </c>
      <c r="L306" s="253">
        <v>991</v>
      </c>
      <c r="N306" s="250">
        <f t="shared" si="209"/>
        <v>991</v>
      </c>
      <c r="O306" s="250">
        <f t="shared" si="210"/>
        <v>8.2583333333333329</v>
      </c>
      <c r="P306" s="250">
        <f t="shared" si="211"/>
        <v>0</v>
      </c>
      <c r="Q306" s="247">
        <f t="shared" si="212"/>
        <v>0</v>
      </c>
      <c r="R306" s="250">
        <f t="shared" si="213"/>
        <v>0</v>
      </c>
      <c r="S306" s="260">
        <v>1</v>
      </c>
      <c r="T306" s="250">
        <f t="shared" si="214"/>
        <v>0</v>
      </c>
      <c r="V306" s="250">
        <f t="shared" si="215"/>
        <v>991</v>
      </c>
      <c r="W306" s="250">
        <f t="shared" si="216"/>
        <v>991</v>
      </c>
      <c r="X306" s="260">
        <v>1</v>
      </c>
      <c r="Y306" s="250">
        <f t="shared" si="217"/>
        <v>991</v>
      </c>
      <c r="Z306" s="250">
        <f t="shared" si="218"/>
        <v>991</v>
      </c>
      <c r="AA306" s="250">
        <f t="shared" si="219"/>
        <v>0</v>
      </c>
      <c r="AB306" s="250">
        <f t="shared" si="225"/>
        <v>0</v>
      </c>
      <c r="AC306" s="259">
        <f t="shared" si="220"/>
        <v>104.91666666666667</v>
      </c>
      <c r="AD306" s="247">
        <f t="shared" si="221"/>
        <v>124.5</v>
      </c>
      <c r="AE306" s="259">
        <f t="shared" si="222"/>
        <v>114.91666666666667</v>
      </c>
      <c r="AF306" s="247">
        <f t="shared" si="223"/>
        <v>123.5</v>
      </c>
      <c r="AG306" s="258">
        <f t="shared" si="224"/>
        <v>-8.3333333333333329E-2</v>
      </c>
    </row>
    <row r="307" spans="1:33">
      <c r="B307" s="255" t="s">
        <v>552</v>
      </c>
      <c r="C307" s="255">
        <v>105</v>
      </c>
      <c r="D307" s="255">
        <v>1</v>
      </c>
      <c r="E307" s="262">
        <v>0</v>
      </c>
      <c r="G307" s="255" t="s">
        <v>831</v>
      </c>
      <c r="H307" s="255">
        <v>10</v>
      </c>
      <c r="I307" s="261">
        <f t="shared" si="208"/>
        <v>115</v>
      </c>
      <c r="L307" s="253">
        <v>536</v>
      </c>
      <c r="N307" s="250">
        <f t="shared" si="209"/>
        <v>536</v>
      </c>
      <c r="O307" s="250">
        <f t="shared" si="210"/>
        <v>4.4666666666666668</v>
      </c>
      <c r="P307" s="250">
        <f t="shared" si="211"/>
        <v>0</v>
      </c>
      <c r="Q307" s="247">
        <f t="shared" si="212"/>
        <v>0</v>
      </c>
      <c r="R307" s="250">
        <f t="shared" si="213"/>
        <v>0</v>
      </c>
      <c r="S307" s="260">
        <v>1</v>
      </c>
      <c r="T307" s="250">
        <f t="shared" si="214"/>
        <v>0</v>
      </c>
      <c r="V307" s="250">
        <f t="shared" si="215"/>
        <v>536</v>
      </c>
      <c r="W307" s="250">
        <f t="shared" si="216"/>
        <v>536</v>
      </c>
      <c r="X307" s="260">
        <v>1</v>
      </c>
      <c r="Y307" s="250">
        <f t="shared" si="217"/>
        <v>536</v>
      </c>
      <c r="Z307" s="250">
        <f t="shared" si="218"/>
        <v>536</v>
      </c>
      <c r="AA307" s="250">
        <f t="shared" si="219"/>
        <v>0</v>
      </c>
      <c r="AB307" s="250">
        <f t="shared" si="225"/>
        <v>0</v>
      </c>
      <c r="AC307" s="259">
        <f t="shared" si="220"/>
        <v>105</v>
      </c>
      <c r="AD307" s="247">
        <f t="shared" si="221"/>
        <v>124.5</v>
      </c>
      <c r="AE307" s="259">
        <f t="shared" si="222"/>
        <v>115</v>
      </c>
      <c r="AF307" s="247">
        <f t="shared" si="223"/>
        <v>123.5</v>
      </c>
      <c r="AG307" s="258">
        <f t="shared" si="224"/>
        <v>-8.3333333333333329E-2</v>
      </c>
    </row>
    <row r="308" spans="1:33">
      <c r="B308" s="255" t="s">
        <v>553</v>
      </c>
      <c r="C308" s="255">
        <v>105</v>
      </c>
      <c r="D308" s="255">
        <v>3</v>
      </c>
      <c r="E308" s="262">
        <v>0</v>
      </c>
      <c r="G308" s="255" t="s">
        <v>831</v>
      </c>
      <c r="H308" s="255">
        <v>10</v>
      </c>
      <c r="I308" s="261">
        <f t="shared" si="208"/>
        <v>115</v>
      </c>
      <c r="L308" s="253">
        <v>518</v>
      </c>
      <c r="N308" s="250">
        <f t="shared" si="209"/>
        <v>518</v>
      </c>
      <c r="O308" s="250">
        <f t="shared" si="210"/>
        <v>4.3166666666666664</v>
      </c>
      <c r="P308" s="250">
        <f t="shared" si="211"/>
        <v>0</v>
      </c>
      <c r="Q308" s="247">
        <f t="shared" si="212"/>
        <v>0</v>
      </c>
      <c r="R308" s="250">
        <f t="shared" si="213"/>
        <v>0</v>
      </c>
      <c r="S308" s="260">
        <v>1</v>
      </c>
      <c r="T308" s="250">
        <f t="shared" si="214"/>
        <v>0</v>
      </c>
      <c r="V308" s="250">
        <f t="shared" si="215"/>
        <v>518</v>
      </c>
      <c r="W308" s="250">
        <f t="shared" si="216"/>
        <v>518</v>
      </c>
      <c r="X308" s="260">
        <v>1</v>
      </c>
      <c r="Y308" s="250">
        <f t="shared" si="217"/>
        <v>518</v>
      </c>
      <c r="Z308" s="250">
        <f t="shared" si="218"/>
        <v>518</v>
      </c>
      <c r="AA308" s="250">
        <f t="shared" si="219"/>
        <v>0</v>
      </c>
      <c r="AB308" s="250">
        <f t="shared" si="225"/>
        <v>0</v>
      </c>
      <c r="AC308" s="259">
        <f t="shared" si="220"/>
        <v>105.16666666666667</v>
      </c>
      <c r="AD308" s="247">
        <f t="shared" si="221"/>
        <v>124.5</v>
      </c>
      <c r="AE308" s="259">
        <f t="shared" si="222"/>
        <v>115.16666666666667</v>
      </c>
      <c r="AF308" s="247">
        <f t="shared" si="223"/>
        <v>123.5</v>
      </c>
      <c r="AG308" s="258">
        <f t="shared" si="224"/>
        <v>-8.3333333333333329E-2</v>
      </c>
    </row>
    <row r="309" spans="1:33">
      <c r="B309" s="255" t="s">
        <v>554</v>
      </c>
      <c r="C309" s="255">
        <v>106</v>
      </c>
      <c r="D309" s="255">
        <v>8</v>
      </c>
      <c r="E309" s="262">
        <v>0</v>
      </c>
      <c r="G309" s="255" t="s">
        <v>831</v>
      </c>
      <c r="H309" s="255">
        <v>10</v>
      </c>
      <c r="I309" s="261">
        <f t="shared" si="208"/>
        <v>116</v>
      </c>
      <c r="L309" s="253">
        <v>23400.799999999999</v>
      </c>
      <c r="N309" s="250">
        <f t="shared" si="209"/>
        <v>23400.799999999999</v>
      </c>
      <c r="O309" s="250">
        <f t="shared" si="210"/>
        <v>195.00666666666666</v>
      </c>
      <c r="P309" s="250">
        <f t="shared" si="211"/>
        <v>0</v>
      </c>
      <c r="Q309" s="247">
        <f t="shared" si="212"/>
        <v>0</v>
      </c>
      <c r="R309" s="250">
        <f t="shared" si="213"/>
        <v>0</v>
      </c>
      <c r="S309" s="260">
        <v>1</v>
      </c>
      <c r="T309" s="250">
        <f t="shared" si="214"/>
        <v>0</v>
      </c>
      <c r="V309" s="250">
        <f t="shared" si="215"/>
        <v>23400.799999999999</v>
      </c>
      <c r="W309" s="250">
        <f t="shared" si="216"/>
        <v>23400.799999999999</v>
      </c>
      <c r="X309" s="260">
        <v>1</v>
      </c>
      <c r="Y309" s="250">
        <f t="shared" si="217"/>
        <v>23400.799999999999</v>
      </c>
      <c r="Z309" s="250">
        <f t="shared" si="218"/>
        <v>23400.799999999999</v>
      </c>
      <c r="AA309" s="250">
        <f t="shared" si="219"/>
        <v>0</v>
      </c>
      <c r="AB309" s="250">
        <f t="shared" si="225"/>
        <v>0</v>
      </c>
      <c r="AC309" s="259">
        <f t="shared" si="220"/>
        <v>106.58333333333333</v>
      </c>
      <c r="AD309" s="247">
        <f t="shared" si="221"/>
        <v>124.5</v>
      </c>
      <c r="AE309" s="259">
        <f t="shared" si="222"/>
        <v>116.58333333333333</v>
      </c>
      <c r="AF309" s="247">
        <f t="shared" si="223"/>
        <v>123.5</v>
      </c>
      <c r="AG309" s="258">
        <f t="shared" si="224"/>
        <v>-8.3333333333333329E-2</v>
      </c>
    </row>
    <row r="310" spans="1:33">
      <c r="B310" s="289" t="s">
        <v>555</v>
      </c>
      <c r="C310" s="255">
        <v>118</v>
      </c>
      <c r="D310" s="255">
        <v>1</v>
      </c>
      <c r="E310" s="262">
        <v>0</v>
      </c>
      <c r="G310" s="255" t="s">
        <v>831</v>
      </c>
      <c r="H310" s="255">
        <v>3</v>
      </c>
      <c r="I310" s="261">
        <f t="shared" si="208"/>
        <v>121</v>
      </c>
      <c r="L310" s="253">
        <v>5850.2000000000007</v>
      </c>
      <c r="N310" s="250">
        <f t="shared" si="209"/>
        <v>5850.2000000000007</v>
      </c>
      <c r="O310" s="250">
        <f t="shared" si="210"/>
        <v>162.50555555555556</v>
      </c>
      <c r="P310" s="250">
        <f t="shared" ref="P310:P316" si="226">IF(M310&gt;0,0,IF(OR(AC310&gt;AD310,AE310&lt;AF310),0,IF(AND(AE310&gt;=AF310,AE310&lt;=AD310),O310*((AE310-AF310)*12),IF(AND(AF310&lt;=AC310,AD310&gt;=AC310),((AD310-AC310)*12)*O310,IF(AE310&gt;AD310,12*O310,0)))))</f>
        <v>0</v>
      </c>
      <c r="Q310" s="247">
        <f t="shared" ref="Q310:Q316" si="227">IF(M310=0,0,IF(AND(AG310&gt;=AF310,AG310&lt;=AE310),((AG310-AF310)*12)*O310,0))</f>
        <v>0</v>
      </c>
      <c r="R310" s="250">
        <f t="shared" ref="R310:R316" si="228">IF(Q310&gt;0,Q310,P310)</f>
        <v>0</v>
      </c>
      <c r="S310" s="260">
        <v>1</v>
      </c>
      <c r="T310" s="250">
        <f t="shared" si="214"/>
        <v>0</v>
      </c>
      <c r="V310" s="250">
        <f t="shared" ref="V310:V316" si="229">IF(AC310&gt;AD310,0,IF(AE310&lt;AF310,N310,IF(AND(AE310&gt;=AF310,AE310&lt;=AD310),(N310-R310),IF(AND(AF310&lt;=AC310,AD310&gt;=AC310),0,IF(AE310&gt;AD310,((AF310-AC310)*12)*O310,0)))))</f>
        <v>5850.2000000000007</v>
      </c>
      <c r="W310" s="250">
        <f t="shared" ref="W310:W316" si="230">V310*S310</f>
        <v>5850.2000000000007</v>
      </c>
      <c r="X310" s="260">
        <v>1</v>
      </c>
      <c r="Y310" s="250">
        <f t="shared" ref="Y310:Y316" si="231">W310*X310</f>
        <v>5850.2000000000007</v>
      </c>
      <c r="Z310" s="250">
        <f t="shared" ref="Z310:Z316" si="232">IF(M310&gt;0,0,Y310+T310*X310)*X310</f>
        <v>5850.2000000000007</v>
      </c>
      <c r="AA310" s="250">
        <f t="shared" si="219"/>
        <v>0</v>
      </c>
      <c r="AB310" s="250">
        <f t="shared" si="225"/>
        <v>0</v>
      </c>
      <c r="AC310" s="259">
        <f t="shared" si="220"/>
        <v>118</v>
      </c>
      <c r="AD310" s="247">
        <f t="shared" si="221"/>
        <v>124.5</v>
      </c>
      <c r="AE310" s="259">
        <f t="shared" si="222"/>
        <v>121</v>
      </c>
      <c r="AF310" s="247">
        <f t="shared" si="223"/>
        <v>123.5</v>
      </c>
      <c r="AG310" s="258">
        <f t="shared" si="224"/>
        <v>-8.3333333333333329E-2</v>
      </c>
    </row>
    <row r="311" spans="1:33">
      <c r="B311" s="255" t="s">
        <v>556</v>
      </c>
      <c r="C311" s="255">
        <v>107</v>
      </c>
      <c r="D311" s="255">
        <v>2</v>
      </c>
      <c r="E311" s="262">
        <v>0</v>
      </c>
      <c r="G311" s="255" t="s">
        <v>831</v>
      </c>
      <c r="H311" s="255">
        <v>10</v>
      </c>
      <c r="I311" s="261">
        <f t="shared" si="208"/>
        <v>117</v>
      </c>
      <c r="L311" s="253">
        <v>1702.4</v>
      </c>
      <c r="N311" s="250">
        <f t="shared" si="209"/>
        <v>1702.4</v>
      </c>
      <c r="O311" s="250">
        <f t="shared" si="210"/>
        <v>14.186666666666667</v>
      </c>
      <c r="P311" s="250">
        <f t="shared" si="226"/>
        <v>0</v>
      </c>
      <c r="Q311" s="247">
        <f t="shared" si="227"/>
        <v>0</v>
      </c>
      <c r="R311" s="250">
        <f t="shared" si="228"/>
        <v>0</v>
      </c>
      <c r="S311" s="260">
        <v>1</v>
      </c>
      <c r="T311" s="250">
        <f t="shared" si="214"/>
        <v>0</v>
      </c>
      <c r="V311" s="250">
        <f t="shared" si="229"/>
        <v>1702.4</v>
      </c>
      <c r="W311" s="250">
        <f t="shared" si="230"/>
        <v>1702.4</v>
      </c>
      <c r="X311" s="260">
        <v>1</v>
      </c>
      <c r="Y311" s="250">
        <f t="shared" si="231"/>
        <v>1702.4</v>
      </c>
      <c r="Z311" s="250">
        <f t="shared" si="232"/>
        <v>1702.4</v>
      </c>
      <c r="AA311" s="250">
        <f t="shared" si="219"/>
        <v>0</v>
      </c>
      <c r="AB311" s="250">
        <f t="shared" si="225"/>
        <v>0</v>
      </c>
      <c r="AC311" s="259">
        <f t="shared" si="220"/>
        <v>107.08333333333333</v>
      </c>
      <c r="AD311" s="247">
        <f t="shared" si="221"/>
        <v>124.5</v>
      </c>
      <c r="AE311" s="259">
        <f t="shared" si="222"/>
        <v>117.08333333333333</v>
      </c>
      <c r="AF311" s="247">
        <f t="shared" si="223"/>
        <v>123.5</v>
      </c>
      <c r="AG311" s="258">
        <f t="shared" si="224"/>
        <v>-8.3333333333333329E-2</v>
      </c>
    </row>
    <row r="312" spans="1:33">
      <c r="B312" s="289" t="s">
        <v>557</v>
      </c>
      <c r="C312" s="255">
        <v>118</v>
      </c>
      <c r="D312" s="255">
        <v>1</v>
      </c>
      <c r="E312" s="262">
        <v>0</v>
      </c>
      <c r="G312" s="255" t="s">
        <v>831</v>
      </c>
      <c r="H312" s="255">
        <v>3</v>
      </c>
      <c r="I312" s="261">
        <f t="shared" si="208"/>
        <v>121</v>
      </c>
      <c r="L312" s="253">
        <v>425.59999999999991</v>
      </c>
      <c r="N312" s="250">
        <f t="shared" si="209"/>
        <v>425.59999999999991</v>
      </c>
      <c r="O312" s="250">
        <f t="shared" si="210"/>
        <v>11.822222222222221</v>
      </c>
      <c r="P312" s="250">
        <f t="shared" si="226"/>
        <v>0</v>
      </c>
      <c r="Q312" s="247">
        <f t="shared" si="227"/>
        <v>0</v>
      </c>
      <c r="R312" s="250">
        <f t="shared" si="228"/>
        <v>0</v>
      </c>
      <c r="S312" s="260">
        <v>1</v>
      </c>
      <c r="T312" s="250">
        <f t="shared" si="214"/>
        <v>0</v>
      </c>
      <c r="V312" s="250">
        <f t="shared" si="229"/>
        <v>425.59999999999991</v>
      </c>
      <c r="W312" s="250">
        <f t="shared" si="230"/>
        <v>425.59999999999991</v>
      </c>
      <c r="X312" s="260">
        <v>1</v>
      </c>
      <c r="Y312" s="250">
        <f t="shared" si="231"/>
        <v>425.59999999999991</v>
      </c>
      <c r="Z312" s="250">
        <f t="shared" si="232"/>
        <v>425.59999999999991</v>
      </c>
      <c r="AA312" s="250">
        <f t="shared" si="219"/>
        <v>0</v>
      </c>
      <c r="AB312" s="250">
        <f t="shared" si="225"/>
        <v>0</v>
      </c>
      <c r="AC312" s="259">
        <f t="shared" si="220"/>
        <v>118</v>
      </c>
      <c r="AD312" s="247">
        <f t="shared" si="221"/>
        <v>124.5</v>
      </c>
      <c r="AE312" s="259">
        <f t="shared" si="222"/>
        <v>121</v>
      </c>
      <c r="AF312" s="247">
        <f t="shared" si="223"/>
        <v>123.5</v>
      </c>
      <c r="AG312" s="258">
        <f t="shared" si="224"/>
        <v>-8.3333333333333329E-2</v>
      </c>
    </row>
    <row r="313" spans="1:33">
      <c r="B313" s="255" t="s">
        <v>558</v>
      </c>
      <c r="C313" s="255">
        <v>107</v>
      </c>
      <c r="D313" s="255">
        <v>2</v>
      </c>
      <c r="E313" s="262">
        <v>0</v>
      </c>
      <c r="G313" s="255" t="s">
        <v>831</v>
      </c>
      <c r="H313" s="255">
        <v>10</v>
      </c>
      <c r="I313" s="261">
        <f t="shared" si="208"/>
        <v>117</v>
      </c>
      <c r="L313" s="253">
        <v>914.4</v>
      </c>
      <c r="N313" s="250">
        <f t="shared" si="209"/>
        <v>914.4</v>
      </c>
      <c r="O313" s="250">
        <f t="shared" si="210"/>
        <v>7.62</v>
      </c>
      <c r="P313" s="250">
        <f t="shared" si="226"/>
        <v>0</v>
      </c>
      <c r="Q313" s="247">
        <f t="shared" si="227"/>
        <v>0</v>
      </c>
      <c r="R313" s="250">
        <f t="shared" si="228"/>
        <v>0</v>
      </c>
      <c r="S313" s="260">
        <v>1</v>
      </c>
      <c r="T313" s="250">
        <f t="shared" si="214"/>
        <v>0</v>
      </c>
      <c r="V313" s="250">
        <f t="shared" si="229"/>
        <v>914.4</v>
      </c>
      <c r="W313" s="250">
        <f t="shared" si="230"/>
        <v>914.4</v>
      </c>
      <c r="X313" s="260">
        <v>1</v>
      </c>
      <c r="Y313" s="250">
        <f t="shared" si="231"/>
        <v>914.4</v>
      </c>
      <c r="Z313" s="250">
        <f t="shared" si="232"/>
        <v>914.4</v>
      </c>
      <c r="AA313" s="250">
        <f t="shared" si="219"/>
        <v>0</v>
      </c>
      <c r="AB313" s="250">
        <f t="shared" si="225"/>
        <v>0</v>
      </c>
      <c r="AC313" s="259">
        <f t="shared" si="220"/>
        <v>107.08333333333333</v>
      </c>
      <c r="AD313" s="247">
        <f t="shared" si="221"/>
        <v>124.5</v>
      </c>
      <c r="AE313" s="259">
        <f t="shared" si="222"/>
        <v>117.08333333333333</v>
      </c>
      <c r="AF313" s="247">
        <f t="shared" si="223"/>
        <v>123.5</v>
      </c>
      <c r="AG313" s="258">
        <f t="shared" si="224"/>
        <v>-8.3333333333333329E-2</v>
      </c>
    </row>
    <row r="314" spans="1:33">
      <c r="B314" s="289" t="s">
        <v>559</v>
      </c>
      <c r="C314" s="255">
        <v>118</v>
      </c>
      <c r="D314" s="255">
        <v>1</v>
      </c>
      <c r="E314" s="262">
        <v>0</v>
      </c>
      <c r="G314" s="255" t="s">
        <v>831</v>
      </c>
      <c r="H314" s="255">
        <v>3</v>
      </c>
      <c r="I314" s="261">
        <f t="shared" si="208"/>
        <v>121</v>
      </c>
      <c r="L314" s="253">
        <v>228.60000000000002</v>
      </c>
      <c r="N314" s="250">
        <f t="shared" si="209"/>
        <v>228.60000000000002</v>
      </c>
      <c r="O314" s="250">
        <f t="shared" si="210"/>
        <v>6.3500000000000005</v>
      </c>
      <c r="P314" s="250">
        <f t="shared" si="226"/>
        <v>0</v>
      </c>
      <c r="Q314" s="247">
        <f t="shared" si="227"/>
        <v>0</v>
      </c>
      <c r="R314" s="250">
        <f t="shared" si="228"/>
        <v>0</v>
      </c>
      <c r="S314" s="260">
        <v>1</v>
      </c>
      <c r="T314" s="250">
        <f t="shared" si="214"/>
        <v>0</v>
      </c>
      <c r="V314" s="250">
        <f t="shared" si="229"/>
        <v>228.60000000000002</v>
      </c>
      <c r="W314" s="250">
        <f t="shared" si="230"/>
        <v>228.60000000000002</v>
      </c>
      <c r="X314" s="260">
        <v>1</v>
      </c>
      <c r="Y314" s="250">
        <f t="shared" si="231"/>
        <v>228.60000000000002</v>
      </c>
      <c r="Z314" s="250">
        <f t="shared" si="232"/>
        <v>228.60000000000002</v>
      </c>
      <c r="AA314" s="250">
        <f t="shared" si="219"/>
        <v>0</v>
      </c>
      <c r="AB314" s="250">
        <f t="shared" si="225"/>
        <v>0</v>
      </c>
      <c r="AC314" s="259">
        <f t="shared" si="220"/>
        <v>118</v>
      </c>
      <c r="AD314" s="247">
        <f t="shared" si="221"/>
        <v>124.5</v>
      </c>
      <c r="AE314" s="259">
        <f t="shared" si="222"/>
        <v>121</v>
      </c>
      <c r="AF314" s="247">
        <f t="shared" si="223"/>
        <v>123.5</v>
      </c>
      <c r="AG314" s="258">
        <f t="shared" si="224"/>
        <v>-8.3333333333333329E-2</v>
      </c>
    </row>
    <row r="315" spans="1:33">
      <c r="B315" s="255" t="s">
        <v>560</v>
      </c>
      <c r="C315" s="255">
        <v>107</v>
      </c>
      <c r="D315" s="255">
        <v>11</v>
      </c>
      <c r="E315" s="262">
        <v>0</v>
      </c>
      <c r="G315" s="255" t="s">
        <v>831</v>
      </c>
      <c r="H315" s="255">
        <v>10</v>
      </c>
      <c r="I315" s="261">
        <f t="shared" si="208"/>
        <v>117</v>
      </c>
      <c r="L315" s="253">
        <v>1123.2</v>
      </c>
      <c r="N315" s="250">
        <f t="shared" si="209"/>
        <v>1123.2</v>
      </c>
      <c r="O315" s="250">
        <f t="shared" si="210"/>
        <v>9.3600000000000012</v>
      </c>
      <c r="P315" s="250">
        <f t="shared" si="226"/>
        <v>0</v>
      </c>
      <c r="Q315" s="247">
        <f t="shared" si="227"/>
        <v>0</v>
      </c>
      <c r="R315" s="250">
        <f t="shared" si="228"/>
        <v>0</v>
      </c>
      <c r="S315" s="260">
        <v>1</v>
      </c>
      <c r="T315" s="250">
        <f t="shared" si="214"/>
        <v>0</v>
      </c>
      <c r="V315" s="250">
        <f t="shared" si="229"/>
        <v>1123.2</v>
      </c>
      <c r="W315" s="250">
        <f t="shared" si="230"/>
        <v>1123.2</v>
      </c>
      <c r="X315" s="260">
        <v>1</v>
      </c>
      <c r="Y315" s="250">
        <f t="shared" si="231"/>
        <v>1123.2</v>
      </c>
      <c r="Z315" s="250">
        <f t="shared" si="232"/>
        <v>1123.2</v>
      </c>
      <c r="AA315" s="250">
        <f t="shared" si="219"/>
        <v>0</v>
      </c>
      <c r="AB315" s="250">
        <f t="shared" si="225"/>
        <v>0</v>
      </c>
      <c r="AC315" s="259">
        <f t="shared" si="220"/>
        <v>107.83333333333333</v>
      </c>
      <c r="AD315" s="247">
        <f t="shared" si="221"/>
        <v>124.5</v>
      </c>
      <c r="AE315" s="259">
        <f t="shared" si="222"/>
        <v>117.83333333333333</v>
      </c>
      <c r="AF315" s="247">
        <f t="shared" si="223"/>
        <v>123.5</v>
      </c>
      <c r="AG315" s="258">
        <f t="shared" si="224"/>
        <v>-8.3333333333333329E-2</v>
      </c>
    </row>
    <row r="316" spans="1:33">
      <c r="B316" s="289" t="s">
        <v>561</v>
      </c>
      <c r="C316" s="255">
        <v>118</v>
      </c>
      <c r="D316" s="255">
        <v>1</v>
      </c>
      <c r="E316" s="262">
        <v>0</v>
      </c>
      <c r="G316" s="255" t="s">
        <v>831</v>
      </c>
      <c r="H316" s="255">
        <v>3</v>
      </c>
      <c r="I316" s="261">
        <f t="shared" si="208"/>
        <v>121</v>
      </c>
      <c r="L316" s="253">
        <v>280.79999999999995</v>
      </c>
      <c r="N316" s="250">
        <f t="shared" si="209"/>
        <v>280.79999999999995</v>
      </c>
      <c r="O316" s="250">
        <f t="shared" si="210"/>
        <v>7.799999999999998</v>
      </c>
      <c r="P316" s="250">
        <f t="shared" si="226"/>
        <v>0</v>
      </c>
      <c r="Q316" s="247">
        <f t="shared" si="227"/>
        <v>0</v>
      </c>
      <c r="R316" s="250">
        <f t="shared" si="228"/>
        <v>0</v>
      </c>
      <c r="S316" s="260">
        <v>1</v>
      </c>
      <c r="T316" s="250">
        <f t="shared" si="214"/>
        <v>0</v>
      </c>
      <c r="V316" s="250">
        <f t="shared" si="229"/>
        <v>280.79999999999995</v>
      </c>
      <c r="W316" s="250">
        <f t="shared" si="230"/>
        <v>280.79999999999995</v>
      </c>
      <c r="X316" s="260">
        <v>1</v>
      </c>
      <c r="Y316" s="250">
        <f t="shared" si="231"/>
        <v>280.79999999999995</v>
      </c>
      <c r="Z316" s="250">
        <f t="shared" si="232"/>
        <v>280.79999999999995</v>
      </c>
      <c r="AA316" s="250">
        <f t="shared" si="219"/>
        <v>0</v>
      </c>
      <c r="AB316" s="250">
        <f t="shared" si="225"/>
        <v>0</v>
      </c>
      <c r="AC316" s="259">
        <f t="shared" si="220"/>
        <v>118</v>
      </c>
      <c r="AD316" s="247">
        <f t="shared" si="221"/>
        <v>124.5</v>
      </c>
      <c r="AE316" s="259">
        <f t="shared" si="222"/>
        <v>121</v>
      </c>
      <c r="AF316" s="247">
        <f t="shared" si="223"/>
        <v>123.5</v>
      </c>
      <c r="AG316" s="258">
        <f t="shared" si="224"/>
        <v>-8.3333333333333329E-2</v>
      </c>
    </row>
    <row r="317" spans="1:33">
      <c r="B317" s="255" t="s">
        <v>562</v>
      </c>
      <c r="C317" s="255">
        <v>109</v>
      </c>
      <c r="D317" s="255">
        <v>7</v>
      </c>
      <c r="E317" s="262">
        <v>0</v>
      </c>
      <c r="G317" s="255" t="s">
        <v>831</v>
      </c>
      <c r="H317" s="255">
        <v>10</v>
      </c>
      <c r="I317" s="261">
        <f t="shared" si="208"/>
        <v>119</v>
      </c>
      <c r="L317" s="253">
        <v>795</v>
      </c>
      <c r="N317" s="250">
        <f t="shared" si="209"/>
        <v>795</v>
      </c>
      <c r="O317" s="250">
        <f t="shared" si="210"/>
        <v>6.625</v>
      </c>
      <c r="P317" s="250">
        <f t="shared" si="211"/>
        <v>0</v>
      </c>
      <c r="Q317" s="247">
        <f t="shared" si="212"/>
        <v>0</v>
      </c>
      <c r="R317" s="250">
        <f t="shared" si="213"/>
        <v>0</v>
      </c>
      <c r="S317" s="260">
        <v>1</v>
      </c>
      <c r="T317" s="250">
        <f t="shared" si="214"/>
        <v>0</v>
      </c>
      <c r="V317" s="250">
        <f t="shared" si="215"/>
        <v>795</v>
      </c>
      <c r="W317" s="250">
        <f t="shared" si="216"/>
        <v>795</v>
      </c>
      <c r="X317" s="260">
        <v>1</v>
      </c>
      <c r="Y317" s="250">
        <f t="shared" si="217"/>
        <v>795</v>
      </c>
      <c r="Z317" s="250">
        <f t="shared" si="218"/>
        <v>795</v>
      </c>
      <c r="AA317" s="250">
        <f t="shared" si="219"/>
        <v>0</v>
      </c>
      <c r="AB317" s="250">
        <f t="shared" si="225"/>
        <v>0</v>
      </c>
      <c r="AC317" s="259">
        <f t="shared" si="220"/>
        <v>109.5</v>
      </c>
      <c r="AD317" s="247">
        <f t="shared" si="221"/>
        <v>124.5</v>
      </c>
      <c r="AE317" s="259">
        <f t="shared" si="222"/>
        <v>119.5</v>
      </c>
      <c r="AF317" s="247">
        <f t="shared" si="223"/>
        <v>123.5</v>
      </c>
      <c r="AG317" s="258">
        <f t="shared" si="224"/>
        <v>-8.3333333333333329E-2</v>
      </c>
    </row>
    <row r="318" spans="1:33">
      <c r="B318" s="255" t="s">
        <v>550</v>
      </c>
      <c r="C318" s="255">
        <v>108</v>
      </c>
      <c r="D318" s="255">
        <v>12</v>
      </c>
      <c r="E318" s="262">
        <v>0</v>
      </c>
      <c r="G318" s="255" t="s">
        <v>831</v>
      </c>
      <c r="H318" s="255">
        <v>10</v>
      </c>
      <c r="I318" s="261">
        <f t="shared" si="208"/>
        <v>118</v>
      </c>
      <c r="L318" s="253">
        <v>2646</v>
      </c>
      <c r="N318" s="250">
        <f t="shared" si="209"/>
        <v>2646</v>
      </c>
      <c r="O318" s="250">
        <f t="shared" si="210"/>
        <v>22.05</v>
      </c>
      <c r="P318" s="293">
        <v>0</v>
      </c>
      <c r="Q318" s="247">
        <f t="shared" si="212"/>
        <v>0</v>
      </c>
      <c r="R318" s="250">
        <f t="shared" si="213"/>
        <v>0</v>
      </c>
      <c r="S318" s="260">
        <v>1</v>
      </c>
      <c r="T318" s="250">
        <f t="shared" si="214"/>
        <v>0</v>
      </c>
      <c r="V318" s="250">
        <f t="shared" si="215"/>
        <v>2646</v>
      </c>
      <c r="W318" s="250">
        <f t="shared" si="216"/>
        <v>2646</v>
      </c>
      <c r="X318" s="260">
        <v>1</v>
      </c>
      <c r="Y318" s="250">
        <f t="shared" si="217"/>
        <v>2646</v>
      </c>
      <c r="Z318" s="250">
        <f t="shared" si="218"/>
        <v>2646</v>
      </c>
      <c r="AA318" s="250">
        <f t="shared" si="219"/>
        <v>0</v>
      </c>
      <c r="AB318" s="250">
        <f t="shared" si="225"/>
        <v>0</v>
      </c>
      <c r="AC318" s="259">
        <f t="shared" si="220"/>
        <v>108.91666666666667</v>
      </c>
      <c r="AD318" s="247">
        <f t="shared" si="221"/>
        <v>124.5</v>
      </c>
      <c r="AE318" s="259">
        <f t="shared" si="222"/>
        <v>118.91666666666667</v>
      </c>
      <c r="AF318" s="247">
        <f t="shared" si="223"/>
        <v>123.5</v>
      </c>
      <c r="AG318" s="258">
        <f t="shared" si="224"/>
        <v>-8.3333333333333329E-2</v>
      </c>
    </row>
    <row r="319" spans="1:33">
      <c r="A319" s="472"/>
      <c r="B319" s="255" t="s">
        <v>563</v>
      </c>
      <c r="C319" s="255">
        <v>112</v>
      </c>
      <c r="D319" s="255">
        <v>12</v>
      </c>
      <c r="E319" s="498">
        <v>0</v>
      </c>
      <c r="G319" s="255" t="s">
        <v>831</v>
      </c>
      <c r="H319" s="255">
        <v>10</v>
      </c>
      <c r="I319" s="261">
        <f t="shared" si="208"/>
        <v>122</v>
      </c>
      <c r="L319" s="253">
        <v>10063</v>
      </c>
      <c r="N319" s="250">
        <f t="shared" si="209"/>
        <v>10063</v>
      </c>
      <c r="O319" s="250">
        <f t="shared" si="210"/>
        <v>83.858333333333334</v>
      </c>
      <c r="P319" s="250">
        <f t="shared" si="211"/>
        <v>0</v>
      </c>
      <c r="Q319" s="247">
        <f t="shared" si="212"/>
        <v>0</v>
      </c>
      <c r="R319" s="250">
        <f t="shared" si="213"/>
        <v>0</v>
      </c>
      <c r="S319" s="260">
        <v>1</v>
      </c>
      <c r="T319" s="250">
        <f>S319*SUM(P319:Q319)</f>
        <v>0</v>
      </c>
      <c r="V319" s="250">
        <f t="shared" si="215"/>
        <v>10063</v>
      </c>
      <c r="W319" s="250">
        <f t="shared" si="216"/>
        <v>10063</v>
      </c>
      <c r="X319" s="260">
        <v>1</v>
      </c>
      <c r="Y319" s="250">
        <f t="shared" si="217"/>
        <v>10063</v>
      </c>
      <c r="Z319" s="250">
        <f t="shared" si="218"/>
        <v>10063</v>
      </c>
      <c r="AA319" s="250">
        <f t="shared" si="219"/>
        <v>0</v>
      </c>
      <c r="AB319" s="250">
        <f t="shared" si="225"/>
        <v>0</v>
      </c>
      <c r="AC319" s="259">
        <f t="shared" si="220"/>
        <v>112.91666666666667</v>
      </c>
      <c r="AD319" s="247">
        <f t="shared" si="221"/>
        <v>124.5</v>
      </c>
      <c r="AE319" s="259">
        <f t="shared" si="222"/>
        <v>122.91666666666667</v>
      </c>
      <c r="AF319" s="247">
        <f t="shared" si="223"/>
        <v>123.5</v>
      </c>
      <c r="AG319" s="258">
        <f t="shared" si="224"/>
        <v>-8.3333333333333329E-2</v>
      </c>
    </row>
    <row r="320" spans="1:33">
      <c r="A320" s="472"/>
      <c r="B320" s="255" t="s">
        <v>564</v>
      </c>
      <c r="C320" s="255">
        <v>116</v>
      </c>
      <c r="D320" s="255">
        <v>8</v>
      </c>
      <c r="E320" s="498">
        <v>0</v>
      </c>
      <c r="G320" s="255" t="s">
        <v>831</v>
      </c>
      <c r="H320" s="255">
        <v>10</v>
      </c>
      <c r="I320" s="261">
        <f t="shared" si="208"/>
        <v>126</v>
      </c>
      <c r="L320" s="253">
        <v>3040</v>
      </c>
      <c r="N320" s="250">
        <f t="shared" si="209"/>
        <v>3040</v>
      </c>
      <c r="O320" s="250">
        <f t="shared" si="210"/>
        <v>25.333333333333332</v>
      </c>
      <c r="P320" s="250">
        <f t="shared" si="211"/>
        <v>304</v>
      </c>
      <c r="Q320" s="247">
        <f t="shared" si="212"/>
        <v>0</v>
      </c>
      <c r="R320" s="250">
        <f t="shared" si="213"/>
        <v>304</v>
      </c>
      <c r="S320" s="260">
        <v>1</v>
      </c>
      <c r="T320" s="250">
        <f t="shared" si="214"/>
        <v>304</v>
      </c>
      <c r="V320" s="250">
        <f t="shared" si="215"/>
        <v>2102.6666666666679</v>
      </c>
      <c r="W320" s="250">
        <f t="shared" si="216"/>
        <v>2102.6666666666679</v>
      </c>
      <c r="X320" s="260">
        <v>1</v>
      </c>
      <c r="Y320" s="250">
        <f t="shared" si="217"/>
        <v>2102.6666666666679</v>
      </c>
      <c r="Z320" s="250">
        <f t="shared" si="218"/>
        <v>2406.6666666666679</v>
      </c>
      <c r="AA320" s="250">
        <f t="shared" si="219"/>
        <v>785.33333333333212</v>
      </c>
      <c r="AB320" s="250">
        <f t="shared" si="225"/>
        <v>633.33333333333212</v>
      </c>
      <c r="AC320" s="259">
        <f t="shared" si="220"/>
        <v>116.58333333333333</v>
      </c>
      <c r="AD320" s="247">
        <f t="shared" si="221"/>
        <v>124.5</v>
      </c>
      <c r="AE320" s="259">
        <f t="shared" si="222"/>
        <v>126.58333333333333</v>
      </c>
      <c r="AF320" s="247">
        <f t="shared" si="223"/>
        <v>123.5</v>
      </c>
      <c r="AG320" s="258">
        <f t="shared" si="224"/>
        <v>-8.3333333333333329E-2</v>
      </c>
    </row>
    <row r="321" spans="1:33">
      <c r="A321" s="472"/>
      <c r="B321" s="255" t="s">
        <v>565</v>
      </c>
      <c r="C321" s="255">
        <v>118</v>
      </c>
      <c r="D321" s="255">
        <v>8</v>
      </c>
      <c r="E321" s="498">
        <v>0</v>
      </c>
      <c r="G321" s="255" t="s">
        <v>831</v>
      </c>
      <c r="H321" s="255">
        <v>10</v>
      </c>
      <c r="I321" s="261">
        <f t="shared" ref="I321:I326" si="233">+C321+H321</f>
        <v>128</v>
      </c>
      <c r="L321" s="461">
        <v>3084</v>
      </c>
      <c r="N321" s="250">
        <f t="shared" ref="N321:N326" si="234">L321-L321*E321</f>
        <v>3084</v>
      </c>
      <c r="O321" s="250">
        <f t="shared" ref="O321:O326" si="235">N321/H321/12</f>
        <v>25.7</v>
      </c>
      <c r="P321" s="250">
        <f t="shared" si="211"/>
        <v>308.39999999999998</v>
      </c>
      <c r="Q321" s="247">
        <f t="shared" ref="Q321:Q326" si="236">IF(M321=0,0,IF(AND(AG321&gt;=AF321,AG321&lt;=AE321),((AG321-AF321)*12)*O321,0))</f>
        <v>0</v>
      </c>
      <c r="R321" s="250">
        <f t="shared" ref="R321:R326" si="237">IF(Q321&gt;0,Q321,P321)</f>
        <v>308.39999999999998</v>
      </c>
      <c r="S321" s="260">
        <v>1</v>
      </c>
      <c r="T321" s="250">
        <f t="shared" ref="T321:T326" si="238">S321*SUM(P321:Q321)</f>
        <v>308.39999999999998</v>
      </c>
      <c r="V321" s="250">
        <f t="shared" ref="V321:V326" si="239">IF(AC321&gt;AD321,0,IF(AE321&lt;AF321,N321,IF(AND(AE321&gt;=AF321,AE321&lt;=AD321),(N321-R321),IF(AND(AF321&lt;=AC321,AD321&gt;=AC321),0,IF(AE321&gt;AD321,((AF321-AC321)*12)*O321,0)))))</f>
        <v>1516.3000000000013</v>
      </c>
      <c r="W321" s="250">
        <f t="shared" ref="W321:W326" si="240">V321*S321</f>
        <v>1516.3000000000013</v>
      </c>
      <c r="X321" s="260">
        <v>1</v>
      </c>
      <c r="Y321" s="250">
        <f t="shared" ref="Y321:Y326" si="241">W321*X321</f>
        <v>1516.3000000000013</v>
      </c>
      <c r="Z321" s="250">
        <f t="shared" ref="Z321:Z326" si="242">IF(M321&gt;0,0,Y321+T321*X321)*X321</f>
        <v>1824.7000000000012</v>
      </c>
      <c r="AA321" s="250">
        <f t="shared" si="219"/>
        <v>1413.4999999999986</v>
      </c>
      <c r="AB321" s="250">
        <f t="shared" ref="AB321:AB326" si="243">L321-Z321</f>
        <v>1259.2999999999988</v>
      </c>
      <c r="AC321" s="259">
        <f t="shared" si="220"/>
        <v>118.58333333333333</v>
      </c>
      <c r="AD321" s="247">
        <f t="shared" si="221"/>
        <v>124.5</v>
      </c>
      <c r="AE321" s="259">
        <f t="shared" si="222"/>
        <v>128.58333333333334</v>
      </c>
      <c r="AF321" s="247">
        <f t="shared" si="223"/>
        <v>123.5</v>
      </c>
      <c r="AG321" s="258">
        <f t="shared" si="224"/>
        <v>-8.3333333333333329E-2</v>
      </c>
    </row>
    <row r="322" spans="1:33" s="472" customFormat="1">
      <c r="B322" s="513" t="s">
        <v>566</v>
      </c>
      <c r="C322" s="513">
        <v>119</v>
      </c>
      <c r="D322" s="513">
        <v>3</v>
      </c>
      <c r="E322" s="498">
        <v>0</v>
      </c>
      <c r="G322" s="513" t="s">
        <v>831</v>
      </c>
      <c r="H322" s="513">
        <v>10</v>
      </c>
      <c r="I322" s="761">
        <f t="shared" si="233"/>
        <v>129</v>
      </c>
      <c r="L322" s="461">
        <v>550</v>
      </c>
      <c r="N322" s="755">
        <f t="shared" si="234"/>
        <v>550</v>
      </c>
      <c r="O322" s="755">
        <f t="shared" si="235"/>
        <v>4.583333333333333</v>
      </c>
      <c r="P322" s="755">
        <f t="shared" si="211"/>
        <v>55</v>
      </c>
      <c r="Q322" s="472">
        <f t="shared" si="236"/>
        <v>0</v>
      </c>
      <c r="R322" s="755">
        <f t="shared" si="237"/>
        <v>55</v>
      </c>
      <c r="S322" s="756">
        <v>1</v>
      </c>
      <c r="T322" s="755">
        <f t="shared" si="238"/>
        <v>55</v>
      </c>
      <c r="V322" s="755">
        <f t="shared" si="239"/>
        <v>238.33333333333306</v>
      </c>
      <c r="W322" s="755">
        <f t="shared" si="240"/>
        <v>238.33333333333306</v>
      </c>
      <c r="X322" s="756">
        <v>1</v>
      </c>
      <c r="Y322" s="755">
        <f t="shared" si="241"/>
        <v>238.33333333333306</v>
      </c>
      <c r="Z322" s="755">
        <f t="shared" si="242"/>
        <v>293.33333333333303</v>
      </c>
      <c r="AA322" s="755">
        <f t="shared" si="219"/>
        <v>284.16666666666697</v>
      </c>
      <c r="AB322" s="755">
        <f t="shared" si="243"/>
        <v>256.66666666666697</v>
      </c>
      <c r="AC322" s="757">
        <f t="shared" si="220"/>
        <v>119.16666666666667</v>
      </c>
      <c r="AD322" s="472">
        <f t="shared" si="221"/>
        <v>124.5</v>
      </c>
      <c r="AE322" s="757">
        <f t="shared" si="222"/>
        <v>129.16666666666666</v>
      </c>
      <c r="AF322" s="472">
        <f t="shared" si="223"/>
        <v>123.5</v>
      </c>
      <c r="AG322" s="758">
        <f t="shared" si="224"/>
        <v>-8.3333333333333329E-2</v>
      </c>
    </row>
    <row r="323" spans="1:33" s="472" customFormat="1">
      <c r="B323" s="513" t="s">
        <v>567</v>
      </c>
      <c r="C323" s="513">
        <v>119</v>
      </c>
      <c r="D323" s="513">
        <v>8</v>
      </c>
      <c r="E323" s="498">
        <v>0</v>
      </c>
      <c r="G323" s="513" t="s">
        <v>831</v>
      </c>
      <c r="H323" s="513">
        <v>10</v>
      </c>
      <c r="I323" s="761">
        <f t="shared" si="233"/>
        <v>129</v>
      </c>
      <c r="L323" s="461">
        <v>9738</v>
      </c>
      <c r="N323" s="755">
        <f t="shared" si="234"/>
        <v>9738</v>
      </c>
      <c r="O323" s="755">
        <f t="shared" si="235"/>
        <v>81.149999999999991</v>
      </c>
      <c r="P323" s="755">
        <f>IF(M323&gt;0,0,IF(OR(AC323&gt;AD323,AE323&lt;AF323),0,IF(AND(AE323&gt;=AF323,AE323&lt;=AD323),O323*((AE323-AF323)*12),IF(AND(AF323&lt;=AC323,AD323&gt;=AC323),((AD323-AC323)*12)*O323,IF(AE323&gt;AD323,12*O323,0)))))</f>
        <v>973.8</v>
      </c>
      <c r="Q323" s="472">
        <f t="shared" si="236"/>
        <v>0</v>
      </c>
      <c r="R323" s="755">
        <f t="shared" si="237"/>
        <v>973.8</v>
      </c>
      <c r="S323" s="756">
        <v>1</v>
      </c>
      <c r="T323" s="755">
        <f t="shared" si="238"/>
        <v>973.8</v>
      </c>
      <c r="V323" s="755">
        <f t="shared" si="239"/>
        <v>3814.0500000000043</v>
      </c>
      <c r="W323" s="755">
        <f t="shared" si="240"/>
        <v>3814.0500000000043</v>
      </c>
      <c r="X323" s="756">
        <v>1</v>
      </c>
      <c r="Y323" s="755">
        <f t="shared" si="241"/>
        <v>3814.0500000000043</v>
      </c>
      <c r="Z323" s="755">
        <f t="shared" si="242"/>
        <v>4787.850000000004</v>
      </c>
      <c r="AA323" s="755">
        <f t="shared" si="219"/>
        <v>5437.0499999999956</v>
      </c>
      <c r="AB323" s="755">
        <f t="shared" si="243"/>
        <v>4950.149999999996</v>
      </c>
      <c r="AC323" s="757">
        <f t="shared" si="220"/>
        <v>119.58333333333333</v>
      </c>
      <c r="AD323" s="472">
        <f t="shared" si="221"/>
        <v>124.5</v>
      </c>
      <c r="AE323" s="757">
        <f t="shared" si="222"/>
        <v>129.58333333333334</v>
      </c>
      <c r="AF323" s="472">
        <f t="shared" si="223"/>
        <v>123.5</v>
      </c>
      <c r="AG323" s="758">
        <f t="shared" si="224"/>
        <v>-8.3333333333333329E-2</v>
      </c>
    </row>
    <row r="324" spans="1:33" s="472" customFormat="1">
      <c r="B324" s="513" t="s">
        <v>568</v>
      </c>
      <c r="C324" s="513">
        <v>120</v>
      </c>
      <c r="D324" s="513">
        <v>8</v>
      </c>
      <c r="E324" s="498">
        <v>0</v>
      </c>
      <c r="G324" s="513" t="s">
        <v>831</v>
      </c>
      <c r="H324" s="513">
        <v>10</v>
      </c>
      <c r="I324" s="761">
        <f t="shared" si="233"/>
        <v>130</v>
      </c>
      <c r="L324" s="461">
        <v>2166</v>
      </c>
      <c r="N324" s="755">
        <f t="shared" si="234"/>
        <v>2166</v>
      </c>
      <c r="O324" s="755">
        <f t="shared" si="235"/>
        <v>18.05</v>
      </c>
      <c r="P324" s="755">
        <f>IF(M324&gt;0,0,IF(OR(AC324&gt;AD324,AE324&lt;AF324),0,IF(AND(AE324&gt;=AF324,AE324&lt;=AD324),O324*((AE324-AF324)*12),IF(AND(AF324&lt;=AC324,AD324&gt;=AC324),((AD324-AC324)*12)*O324,IF(AE324&gt;AD324,12*O324,0)))))</f>
        <v>216.60000000000002</v>
      </c>
      <c r="Q324" s="472">
        <f t="shared" si="236"/>
        <v>0</v>
      </c>
      <c r="R324" s="755">
        <f t="shared" si="237"/>
        <v>216.60000000000002</v>
      </c>
      <c r="S324" s="756">
        <v>1</v>
      </c>
      <c r="T324" s="755">
        <f t="shared" si="238"/>
        <v>216.60000000000002</v>
      </c>
      <c r="V324" s="755">
        <f t="shared" si="239"/>
        <v>631.75000000000102</v>
      </c>
      <c r="W324" s="755">
        <f t="shared" si="240"/>
        <v>631.75000000000102</v>
      </c>
      <c r="X324" s="756">
        <v>1</v>
      </c>
      <c r="Y324" s="755">
        <f t="shared" si="241"/>
        <v>631.75000000000102</v>
      </c>
      <c r="Z324" s="755">
        <f t="shared" si="242"/>
        <v>848.35000000000105</v>
      </c>
      <c r="AA324" s="755">
        <f t="shared" si="219"/>
        <v>1425.9499999999989</v>
      </c>
      <c r="AB324" s="755">
        <f t="shared" si="243"/>
        <v>1317.649999999999</v>
      </c>
      <c r="AC324" s="757">
        <f t="shared" si="220"/>
        <v>120.58333333333333</v>
      </c>
      <c r="AD324" s="472">
        <f t="shared" si="221"/>
        <v>124.5</v>
      </c>
      <c r="AE324" s="757">
        <f t="shared" si="222"/>
        <v>130.58333333333334</v>
      </c>
      <c r="AF324" s="472">
        <f t="shared" si="223"/>
        <v>123.5</v>
      </c>
      <c r="AG324" s="758">
        <f t="shared" si="224"/>
        <v>-8.3333333333333329E-2</v>
      </c>
    </row>
    <row r="325" spans="1:33" s="472" customFormat="1">
      <c r="B325" s="513" t="s">
        <v>569</v>
      </c>
      <c r="C325" s="513">
        <v>121</v>
      </c>
      <c r="D325" s="513">
        <v>10</v>
      </c>
      <c r="E325" s="498">
        <v>0</v>
      </c>
      <c r="G325" s="513" t="s">
        <v>831</v>
      </c>
      <c r="H325" s="513">
        <v>10</v>
      </c>
      <c r="I325" s="761">
        <f t="shared" si="233"/>
        <v>131</v>
      </c>
      <c r="L325" s="461">
        <v>6931</v>
      </c>
      <c r="N325" s="755">
        <f t="shared" si="234"/>
        <v>6931</v>
      </c>
      <c r="O325" s="755">
        <f t="shared" si="235"/>
        <v>57.758333333333333</v>
      </c>
      <c r="P325" s="755">
        <f>IF(M325&gt;0,0,IF(OR(AC325&gt;AD325,AE325&lt;AF325),0,IF(AND(AE325&gt;=AF325,AE325&lt;=AD325),O325*((AE325-AF325)*12),IF(AND(AF325&lt;=AC325,AD325&gt;=AC325),((AD325-AC325)*12)*O325,IF(AE325&gt;AD325,12*O325,0)))))</f>
        <v>693.1</v>
      </c>
      <c r="Q325" s="472">
        <f t="shared" si="236"/>
        <v>0</v>
      </c>
      <c r="R325" s="755">
        <f t="shared" si="237"/>
        <v>693.1</v>
      </c>
      <c r="S325" s="756">
        <v>1</v>
      </c>
      <c r="T325" s="755">
        <f t="shared" si="238"/>
        <v>693.1</v>
      </c>
      <c r="V325" s="755">
        <f t="shared" si="239"/>
        <v>1212.925</v>
      </c>
      <c r="W325" s="755">
        <f t="shared" si="240"/>
        <v>1212.925</v>
      </c>
      <c r="X325" s="756">
        <v>1</v>
      </c>
      <c r="Y325" s="755">
        <f t="shared" si="241"/>
        <v>1212.925</v>
      </c>
      <c r="Z325" s="755">
        <f t="shared" si="242"/>
        <v>1906.0250000000001</v>
      </c>
      <c r="AA325" s="755">
        <f t="shared" si="219"/>
        <v>5371.5249999999996</v>
      </c>
      <c r="AB325" s="755">
        <f t="shared" si="243"/>
        <v>5024.9750000000004</v>
      </c>
      <c r="AC325" s="757">
        <f t="shared" si="220"/>
        <v>121.75</v>
      </c>
      <c r="AD325" s="472">
        <f t="shared" si="221"/>
        <v>124.5</v>
      </c>
      <c r="AE325" s="757">
        <f t="shared" si="222"/>
        <v>131.75</v>
      </c>
      <c r="AF325" s="472">
        <f t="shared" si="223"/>
        <v>123.5</v>
      </c>
      <c r="AG325" s="758">
        <f t="shared" si="224"/>
        <v>-8.3333333333333329E-2</v>
      </c>
    </row>
    <row r="326" spans="1:33" s="472" customFormat="1">
      <c r="B326" s="513" t="s">
        <v>570</v>
      </c>
      <c r="C326" s="513">
        <v>122</v>
      </c>
      <c r="D326" s="513">
        <v>9</v>
      </c>
      <c r="E326" s="498">
        <v>0</v>
      </c>
      <c r="G326" s="513" t="s">
        <v>831</v>
      </c>
      <c r="H326" s="513">
        <v>10</v>
      </c>
      <c r="I326" s="761">
        <f t="shared" si="233"/>
        <v>132</v>
      </c>
      <c r="L326" s="461">
        <v>8108</v>
      </c>
      <c r="N326" s="755">
        <f t="shared" si="234"/>
        <v>8108</v>
      </c>
      <c r="O326" s="755">
        <f t="shared" si="235"/>
        <v>67.566666666666663</v>
      </c>
      <c r="P326" s="755">
        <f>IF(M326&gt;0,0,IF(OR(AC326&gt;AD326,AE326&lt;AF326),0,IF(AND(AE326&gt;=AF326,AE326&lt;=AD326),O326*((AE326-AF326)*12),IF(AND(AF326&lt;=AC326,AD326&gt;=AC326),((AD326-AC326)*12)*O326,IF(AE326&gt;AD326,12*O326,0)))))</f>
        <v>810.8</v>
      </c>
      <c r="Q326" s="472">
        <f t="shared" si="236"/>
        <v>0</v>
      </c>
      <c r="R326" s="755">
        <f t="shared" si="237"/>
        <v>810.8</v>
      </c>
      <c r="S326" s="756">
        <v>1</v>
      </c>
      <c r="T326" s="755">
        <f t="shared" si="238"/>
        <v>810.8</v>
      </c>
      <c r="V326" s="755">
        <f t="shared" si="239"/>
        <v>675.66666666666276</v>
      </c>
      <c r="W326" s="755">
        <f t="shared" si="240"/>
        <v>675.66666666666276</v>
      </c>
      <c r="X326" s="756">
        <v>1</v>
      </c>
      <c r="Y326" s="755">
        <f t="shared" si="241"/>
        <v>675.66666666666276</v>
      </c>
      <c r="Z326" s="755">
        <f t="shared" si="242"/>
        <v>1486.4666666666626</v>
      </c>
      <c r="AA326" s="755">
        <f>IF(M326&gt;0,(L326-Y326)/2,IF(AC326&gt;=AF326,(((L326*S326)*X326)-Z326)/2,((((L326*S326)*X326)-Y326)+(((L326*S326)*X326)-Z326))/2))</f>
        <v>7026.9333333333379</v>
      </c>
      <c r="AB326" s="755">
        <f t="shared" si="243"/>
        <v>6621.5333333333374</v>
      </c>
      <c r="AC326" s="757">
        <f t="shared" si="220"/>
        <v>122.66666666666667</v>
      </c>
      <c r="AD326" s="472">
        <f t="shared" si="221"/>
        <v>124.5</v>
      </c>
      <c r="AE326" s="757">
        <f t="shared" si="222"/>
        <v>132.66666666666666</v>
      </c>
      <c r="AF326" s="472">
        <f t="shared" si="223"/>
        <v>123.5</v>
      </c>
      <c r="AG326" s="758">
        <f t="shared" si="224"/>
        <v>-8.3333333333333329E-2</v>
      </c>
    </row>
    <row r="327" spans="1:33" s="472" customFormat="1">
      <c r="B327" s="513" t="s">
        <v>1386</v>
      </c>
      <c r="C327" s="513">
        <v>122</v>
      </c>
      <c r="D327" s="513">
        <v>12</v>
      </c>
      <c r="E327" s="498">
        <v>0</v>
      </c>
      <c r="G327" s="513" t="s">
        <v>831</v>
      </c>
      <c r="H327" s="513">
        <v>10</v>
      </c>
      <c r="I327" s="761">
        <f t="shared" si="208"/>
        <v>132</v>
      </c>
      <c r="L327" s="461">
        <v>12996</v>
      </c>
      <c r="N327" s="755">
        <f t="shared" si="209"/>
        <v>12996</v>
      </c>
      <c r="O327" s="755">
        <f t="shared" si="210"/>
        <v>108.3</v>
      </c>
      <c r="P327" s="755">
        <f t="shared" si="211"/>
        <v>1299.5999999999999</v>
      </c>
      <c r="Q327" s="472">
        <f t="shared" si="212"/>
        <v>0</v>
      </c>
      <c r="R327" s="755">
        <f t="shared" si="213"/>
        <v>1299.5999999999999</v>
      </c>
      <c r="S327" s="756">
        <v>1</v>
      </c>
      <c r="T327" s="755">
        <f t="shared" si="214"/>
        <v>1299.5999999999999</v>
      </c>
      <c r="V327" s="755">
        <f t="shared" si="215"/>
        <v>758.09999999999377</v>
      </c>
      <c r="W327" s="755">
        <f t="shared" si="216"/>
        <v>758.09999999999377</v>
      </c>
      <c r="X327" s="756">
        <v>1</v>
      </c>
      <c r="Y327" s="755">
        <f t="shared" si="217"/>
        <v>758.09999999999377</v>
      </c>
      <c r="Z327" s="755">
        <f t="shared" si="218"/>
        <v>2057.6999999999935</v>
      </c>
      <c r="AA327" s="755">
        <f t="shared" si="219"/>
        <v>11588.100000000006</v>
      </c>
      <c r="AB327" s="755">
        <f t="shared" si="225"/>
        <v>10938.300000000007</v>
      </c>
      <c r="AC327" s="757">
        <f t="shared" si="220"/>
        <v>122.91666666666667</v>
      </c>
      <c r="AD327" s="472">
        <f t="shared" si="221"/>
        <v>124.5</v>
      </c>
      <c r="AE327" s="757">
        <f t="shared" si="222"/>
        <v>132.91666666666666</v>
      </c>
      <c r="AF327" s="472">
        <f t="shared" si="223"/>
        <v>123.5</v>
      </c>
      <c r="AG327" s="758">
        <f t="shared" si="224"/>
        <v>-8.3333333333333329E-2</v>
      </c>
    </row>
    <row r="328" spans="1:33">
      <c r="I328" s="252"/>
      <c r="L328" s="250"/>
      <c r="N328" s="250"/>
      <c r="R328" s="250"/>
      <c r="T328" s="263"/>
      <c r="Y328" s="250"/>
      <c r="Z328" s="250"/>
      <c r="AA328" s="263"/>
      <c r="AB328" s="263"/>
    </row>
    <row r="329" spans="1:33" ht="16.5" thickBot="1">
      <c r="B329" s="255" t="s">
        <v>845</v>
      </c>
      <c r="I329" s="252"/>
      <c r="L329" s="250">
        <f>SUM(L302:L328)</f>
        <v>104975</v>
      </c>
      <c r="N329" s="250">
        <f>SUM(N302:N328)</f>
        <v>104975</v>
      </c>
      <c r="P329" s="269">
        <f>SUM(P302:P328)</f>
        <v>4661.2999999999993</v>
      </c>
      <c r="Q329" s="269">
        <f>SUM(Q302:Q328)</f>
        <v>0</v>
      </c>
      <c r="R329" s="490">
        <f>SUM(R302:R328)</f>
        <v>4661.2999999999993</v>
      </c>
      <c r="T329" s="257">
        <f>SUM(T302:T328)</f>
        <v>4661.2999999999993</v>
      </c>
      <c r="V329" s="250">
        <f>SUM(V302:V328)</f>
        <v>69311.791666666672</v>
      </c>
      <c r="W329" s="250">
        <f>SUM(W302:W328)</f>
        <v>69311.791666666672</v>
      </c>
      <c r="Y329" s="250">
        <f>SUM(Y302:Y328)</f>
        <v>69311.791666666672</v>
      </c>
      <c r="Z329" s="250">
        <f>SUM(Z302:Z328)</f>
        <v>73973.091666666674</v>
      </c>
      <c r="AA329" s="257">
        <f>SUM(AA302:AA328)</f>
        <v>33332.558333333334</v>
      </c>
      <c r="AB329" s="257">
        <f>SUM(AB302:AB328)</f>
        <v>31001.908333333336</v>
      </c>
    </row>
    <row r="330" spans="1:33" ht="16.5" thickTop="1">
      <c r="I330" s="252" t="s">
        <v>832</v>
      </c>
      <c r="L330" s="256">
        <f>SUM(L302:L327)</f>
        <v>104975</v>
      </c>
      <c r="N330" s="250"/>
      <c r="R330" s="250"/>
      <c r="T330" s="263"/>
      <c r="Y330" s="250"/>
      <c r="Z330" s="250"/>
      <c r="AA330" s="263"/>
      <c r="AB330" s="263"/>
    </row>
    <row r="331" spans="1:33">
      <c r="I331" s="252"/>
      <c r="L331" s="250"/>
      <c r="N331" s="250"/>
      <c r="R331" s="250"/>
      <c r="T331" s="263"/>
      <c r="Y331" s="250"/>
      <c r="Z331" s="250"/>
      <c r="AA331" s="263"/>
      <c r="AB331" s="263"/>
    </row>
    <row r="332" spans="1:33">
      <c r="B332" s="255" t="s">
        <v>571</v>
      </c>
      <c r="C332" s="255">
        <v>90</v>
      </c>
      <c r="D332" s="255">
        <v>5</v>
      </c>
      <c r="E332" s="262">
        <v>0</v>
      </c>
      <c r="G332" s="255" t="s">
        <v>831</v>
      </c>
      <c r="H332" s="255">
        <v>10</v>
      </c>
      <c r="I332" s="261">
        <f>+C332+H332</f>
        <v>100</v>
      </c>
      <c r="L332" s="253">
        <v>2500</v>
      </c>
      <c r="N332" s="250">
        <f>L332-L332*E332</f>
        <v>2500</v>
      </c>
      <c r="O332" s="250">
        <f>N332/H332/12</f>
        <v>20.833333333333332</v>
      </c>
      <c r="P332" s="250">
        <f>IF(M332&gt;0,0,IF(OR(AC332&gt;AD332,AE332&lt;AF332),0,IF(AND(AE332&gt;=AF332,AE332&lt;=AD332),O332*((AE332-AF332)*12),IF(AND(AF332&lt;=AC332,AD332&gt;=AC332),((AD332-AC332)*12)*O332,IF(AE332&gt;AD332,12*O332,0)))))</f>
        <v>0</v>
      </c>
      <c r="Q332" s="247">
        <f>IF(M332=0,0,IF(AND(AG332&gt;=AF332,AG332&lt;=AE332),((AG332-AF332)*12)*O332,0))</f>
        <v>0</v>
      </c>
      <c r="R332" s="250">
        <f>IF(Q332&gt;0,Q332,P332)</f>
        <v>0</v>
      </c>
      <c r="S332" s="260">
        <v>0</v>
      </c>
      <c r="T332" s="250">
        <f>S332*SUM(P332:Q332)</f>
        <v>0</v>
      </c>
      <c r="V332" s="250">
        <f>IF(AC332&gt;AD332,0,IF(AE332&lt;AF332,N332,IF(AND(AE332&gt;=AF332,AE332&lt;=AD332),(N332-R332),IF(AND(AF332&lt;=AC332,AD332&gt;=AC332),0,IF(AE332&gt;AD332,((AF332-AC332)*12)*O332,0)))))</f>
        <v>2500</v>
      </c>
      <c r="W332" s="250">
        <f>V332*S332</f>
        <v>0</v>
      </c>
      <c r="X332" s="260">
        <v>1</v>
      </c>
      <c r="Y332" s="250">
        <f>W332*X332</f>
        <v>0</v>
      </c>
      <c r="Z332" s="250">
        <f>IF(M332&gt;0,0,Y332+T332*X332)*X332</f>
        <v>0</v>
      </c>
      <c r="AA332" s="250">
        <f>IF(M332&gt;0,(L332-Y332)/2,IF(AC332&gt;=AF332,(((L332*S332)*X332)-Z332)/2,((((L332*S332)*X332)-Y332)+(((L332*S332)*X332)-Z332))/2))</f>
        <v>0</v>
      </c>
      <c r="AB332" s="250">
        <v>0</v>
      </c>
      <c r="AC332" s="259">
        <f>$C332+(($D332-1)/12)</f>
        <v>90.333333333333329</v>
      </c>
      <c r="AD332" s="247">
        <f>($N$5+1)-($N$2/12)</f>
        <v>124.5</v>
      </c>
      <c r="AE332" s="259">
        <f>$I332+(($D332-1)/12)</f>
        <v>100.33333333333333</v>
      </c>
      <c r="AF332" s="247">
        <f>$N$4+($N$3/12)</f>
        <v>123.5</v>
      </c>
      <c r="AG332" s="258">
        <f>$J332+(($K332-1)/12)</f>
        <v>-8.3333333333333329E-2</v>
      </c>
    </row>
    <row r="333" spans="1:33">
      <c r="B333" s="255" t="s">
        <v>572</v>
      </c>
      <c r="C333" s="255">
        <v>90</v>
      </c>
      <c r="D333" s="255">
        <v>7</v>
      </c>
      <c r="E333" s="262">
        <v>0</v>
      </c>
      <c r="G333" s="255" t="s">
        <v>831</v>
      </c>
      <c r="H333" s="255">
        <v>10</v>
      </c>
      <c r="I333" s="261">
        <f>+C333+H333</f>
        <v>100</v>
      </c>
      <c r="L333" s="253">
        <v>600</v>
      </c>
      <c r="N333" s="250">
        <f>L333-L333*E333</f>
        <v>600</v>
      </c>
      <c r="O333" s="250">
        <f>N333/H333/12</f>
        <v>5</v>
      </c>
      <c r="P333" s="250">
        <f>IF(M333&gt;0,0,IF(OR(AC333&gt;AD333,AE333&lt;AF333),0,IF(AND(AE333&gt;=AF333,AE333&lt;=AD333),O333*((AE333-AF333)*12),IF(AND(AF333&lt;=AC333,AD333&gt;=AC333),((AD333-AC333)*12)*O333,IF(AE333&gt;AD333,12*O333,0)))))</f>
        <v>0</v>
      </c>
      <c r="Q333" s="247">
        <f>IF(M333=0,0,IF(AND(AG333&gt;=AF333,AG333&lt;=AE333),((AG333-AF333)*12)*O333,0))</f>
        <v>0</v>
      </c>
      <c r="R333" s="250">
        <f>IF(Q333&gt;0,Q333,P333)</f>
        <v>0</v>
      </c>
      <c r="S333" s="260">
        <v>0</v>
      </c>
      <c r="T333" s="250">
        <f>S333*SUM(P333:Q333)</f>
        <v>0</v>
      </c>
      <c r="V333" s="250">
        <f>IF(AC333&gt;AD333,0,IF(AE333&lt;AF333,N333,IF(AND(AE333&gt;=AF333,AE333&lt;=AD333),(N333-R333),IF(AND(AF333&lt;=AC333,AD333&gt;=AC333),0,IF(AE333&gt;AD333,((AF333-AC333)*12)*O333,0)))))</f>
        <v>600</v>
      </c>
      <c r="W333" s="250">
        <f>V333*S333</f>
        <v>0</v>
      </c>
      <c r="X333" s="260">
        <v>1</v>
      </c>
      <c r="Y333" s="250">
        <f>W333*X333</f>
        <v>0</v>
      </c>
      <c r="Z333" s="250">
        <f>IF(M333&gt;0,0,Y333+T333*X333)*X333</f>
        <v>0</v>
      </c>
      <c r="AA333" s="250">
        <f>IF(M333&gt;0,(L333-Y333)/2,IF(AC333&gt;=AF333,(((L333*S333)*X333)-Z333)/2,((((L333*S333)*X333)-Y333)+(((L333*S333)*X333)-Z333))/2))</f>
        <v>0</v>
      </c>
      <c r="AB333" s="250">
        <v>0</v>
      </c>
      <c r="AC333" s="259">
        <f>$C333+(($D333-1)/12)</f>
        <v>90.5</v>
      </c>
      <c r="AD333" s="247">
        <f>($N$5+1)-($N$2/12)</f>
        <v>124.5</v>
      </c>
      <c r="AE333" s="259">
        <f>$I333+(($D333-1)/12)</f>
        <v>100.5</v>
      </c>
      <c r="AF333" s="247">
        <f>$N$4+($N$3/12)</f>
        <v>123.5</v>
      </c>
      <c r="AG333" s="258">
        <f>$J333+(($K333-1)/12)</f>
        <v>-8.3333333333333329E-2</v>
      </c>
    </row>
    <row r="334" spans="1:33">
      <c r="B334" s="255" t="s">
        <v>573</v>
      </c>
      <c r="C334" s="255">
        <v>100</v>
      </c>
      <c r="D334" s="255">
        <v>4</v>
      </c>
      <c r="E334" s="262">
        <v>0</v>
      </c>
      <c r="G334" s="255" t="s">
        <v>831</v>
      </c>
      <c r="H334" s="255">
        <v>10</v>
      </c>
      <c r="I334" s="261">
        <f>+C334+H334</f>
        <v>110</v>
      </c>
      <c r="L334" s="253">
        <v>1076</v>
      </c>
      <c r="N334" s="250">
        <f>L334-L334*E334</f>
        <v>1076</v>
      </c>
      <c r="O334" s="250">
        <f>N334/H334/12</f>
        <v>8.9666666666666668</v>
      </c>
      <c r="P334" s="250">
        <f>IF(M334&gt;0,0,IF(OR(AC334&gt;AD334,AE334&lt;AF334),0,IF(AND(AE334&gt;=AF334,AE334&lt;=AD334),O334*((AE334-AF334)*12),IF(AND(AF334&lt;=AC334,AD334&gt;=AC334),((AD334-AC334)*12)*O334,IF(AE334&gt;AD334,12*O334,0)))))</f>
        <v>0</v>
      </c>
      <c r="Q334" s="247">
        <f>IF(M334=0,0,IF(AND(AG334&gt;=AF334,AG334&lt;=AE334),((AG334-AF334)*12)*O334,0))</f>
        <v>0</v>
      </c>
      <c r="R334" s="250">
        <f>IF(Q334&gt;0,Q334,P334)</f>
        <v>0</v>
      </c>
      <c r="S334" s="260">
        <v>0</v>
      </c>
      <c r="T334" s="250">
        <f>S334*SUM(P334:Q334)</f>
        <v>0</v>
      </c>
      <c r="V334" s="250">
        <f>IF(AC334&gt;AD334,0,IF(AE334&lt;AF334,N334,IF(AND(AE334&gt;=AF334,AE334&lt;=AD334),(N334-R334),IF(AND(AF334&lt;=AC334,AD334&gt;=AC334),0,IF(AE334&gt;AD334,((AF334-AC334)*12)*O334,0)))))</f>
        <v>1076</v>
      </c>
      <c r="W334" s="250">
        <f>V334*S334</f>
        <v>0</v>
      </c>
      <c r="X334" s="260">
        <v>1</v>
      </c>
      <c r="Y334" s="250">
        <f>W334*X334</f>
        <v>0</v>
      </c>
      <c r="Z334" s="250">
        <f>IF(M334&gt;0,0,Y334+T334*X334)*X334</f>
        <v>0</v>
      </c>
      <c r="AA334" s="250">
        <f>IF(M334&gt;0,(L334-Y334)/2,IF(AC334&gt;=AF334,(((L334*S334)*X334)-Z334)/2,((((L334*S334)*X334)-Y334)+(((L334*S334)*X334)-Z334))/2))</f>
        <v>0</v>
      </c>
      <c r="AB334" s="250">
        <v>0</v>
      </c>
      <c r="AC334" s="259">
        <f>$C334+(($D334-1)/12)</f>
        <v>100.25</v>
      </c>
      <c r="AD334" s="247">
        <f>($N$5+1)-($N$2/12)</f>
        <v>124.5</v>
      </c>
      <c r="AE334" s="259">
        <f>$I334+(($D334-1)/12)</f>
        <v>110.25</v>
      </c>
      <c r="AF334" s="247">
        <f>$N$4+($N$3/12)</f>
        <v>123.5</v>
      </c>
      <c r="AG334" s="258">
        <f>$J334+(($K334-1)/12)</f>
        <v>-8.3333333333333329E-2</v>
      </c>
    </row>
    <row r="335" spans="1:33">
      <c r="B335" s="255" t="s">
        <v>574</v>
      </c>
      <c r="C335" s="255">
        <v>116</v>
      </c>
      <c r="D335" s="255">
        <v>10</v>
      </c>
      <c r="E335" s="262">
        <v>0.2</v>
      </c>
      <c r="G335" s="255" t="s">
        <v>831</v>
      </c>
      <c r="H335" s="255">
        <v>10</v>
      </c>
      <c r="I335" s="261">
        <f>+C335+H335</f>
        <v>126</v>
      </c>
      <c r="L335" s="253">
        <v>44977</v>
      </c>
      <c r="N335" s="250">
        <f>L335-L335*E335</f>
        <v>35981.599999999999</v>
      </c>
      <c r="O335" s="250">
        <f>N335/H335/12</f>
        <v>299.84666666666664</v>
      </c>
      <c r="P335" s="250">
        <f>IF(M335&gt;0,0,IF(OR(AC335&gt;AD335,AE335&lt;AF335),0,IF(AND(AE335&gt;=AF335,AE335&lt;=AD335),O335*((AE335-AF335)*12),IF(AND(AF335&lt;=AC335,AD335&gt;=AC335),((AD335-AC335)*12)*O335,IF(AE335&gt;AD335,12*O335,0)))))</f>
        <v>3598.16</v>
      </c>
      <c r="Q335" s="247">
        <f>IF(M335=0,0,IF(AND(AG335&gt;=AF335,AG335&lt;=AE335),((AG335-AF335)*12)*O335,0))</f>
        <v>0</v>
      </c>
      <c r="R335" s="250">
        <f>IF(Q335&gt;0,Q335,P335)</f>
        <v>3598.16</v>
      </c>
      <c r="S335" s="260">
        <v>0</v>
      </c>
      <c r="T335" s="250">
        <f>S335*SUM(P335:Q335)</f>
        <v>0</v>
      </c>
      <c r="V335" s="250">
        <f>IF(AC335&gt;AD335,0,IF(AE335&lt;AF335,N335,IF(AND(AE335&gt;=AF335,AE335&lt;=AD335),(N335-R335),IF(AND(AF335&lt;=AC335,AD335&gt;=AC335),0,IF(AE335&gt;AD335,((AF335-AC335)*12)*O335,0)))))</f>
        <v>24287.579999999998</v>
      </c>
      <c r="W335" s="250">
        <f>V335*S335</f>
        <v>0</v>
      </c>
      <c r="X335" s="260">
        <v>1</v>
      </c>
      <c r="Y335" s="250">
        <f>W335*X335</f>
        <v>0</v>
      </c>
      <c r="Z335" s="250">
        <f>IF(M335&gt;0,0,Y335+T335*X335)*X335</f>
        <v>0</v>
      </c>
      <c r="AA335" s="250">
        <f>IF(M335&gt;0,(L335-Y335)/2,IF(AC335&gt;=AF335,(((L335*S335)*X335)-Z335)/2,((((L335*S335)*X335)-Y335)+(((L335*S335)*X335)-Z335))/2))</f>
        <v>0</v>
      </c>
      <c r="AB335" s="250">
        <v>0</v>
      </c>
      <c r="AC335" s="259">
        <f>$C335+(($D335-1)/12)</f>
        <v>116.75</v>
      </c>
      <c r="AD335" s="247">
        <f>($N$5+1)-($N$2/12)</f>
        <v>124.5</v>
      </c>
      <c r="AE335" s="259">
        <f>$I335+(($D335-1)/12)</f>
        <v>126.75</v>
      </c>
      <c r="AF335" s="247">
        <f>$N$4+($N$3/12)</f>
        <v>123.5</v>
      </c>
      <c r="AG335" s="258">
        <f>$J335+(($K335-1)/12)</f>
        <v>-8.3333333333333329E-2</v>
      </c>
    </row>
    <row r="336" spans="1:33">
      <c r="I336" s="252"/>
      <c r="L336" s="250"/>
      <c r="N336" s="250"/>
      <c r="P336" s="267"/>
      <c r="Q336" s="267"/>
      <c r="R336" s="266"/>
      <c r="T336" s="251"/>
      <c r="Y336" s="250"/>
      <c r="Z336" s="250"/>
      <c r="AA336" s="251"/>
      <c r="AB336" s="269">
        <v>0</v>
      </c>
    </row>
    <row r="337" spans="1:33" ht="16.5" thickBot="1">
      <c r="B337" s="255" t="s">
        <v>846</v>
      </c>
      <c r="I337" s="252"/>
      <c r="L337" s="250">
        <f>SUM(L332:L335)</f>
        <v>49153</v>
      </c>
      <c r="N337" s="250">
        <f>SUM(N332:N336)</f>
        <v>40157.599999999999</v>
      </c>
      <c r="P337" s="251">
        <f>SUM(P332:P336)</f>
        <v>3598.16</v>
      </c>
      <c r="Q337" s="251">
        <f>SUM(Q332:Q336)</f>
        <v>0</v>
      </c>
      <c r="R337" s="263">
        <f>SUM(R332:R336)</f>
        <v>3598.16</v>
      </c>
      <c r="T337" s="257">
        <f>SUM(T332:T336)</f>
        <v>0</v>
      </c>
      <c r="V337" s="250">
        <f>SUM(V332:V336)</f>
        <v>28463.579999999998</v>
      </c>
      <c r="W337" s="250">
        <f>SUM(W332:W336)</f>
        <v>0</v>
      </c>
      <c r="Y337" s="250">
        <f>SUM(Y332:Y336)</f>
        <v>0</v>
      </c>
      <c r="Z337" s="250">
        <f>SUM(Z332:Z336)</f>
        <v>0</v>
      </c>
      <c r="AA337" s="257">
        <f>SUM(AA332:AA336)</f>
        <v>0</v>
      </c>
      <c r="AB337" s="263"/>
    </row>
    <row r="338" spans="1:33" ht="16.5" thickTop="1">
      <c r="I338" s="252" t="s">
        <v>832</v>
      </c>
      <c r="L338" s="256">
        <f>SUM(L332:L336)</f>
        <v>49153</v>
      </c>
      <c r="N338" s="250"/>
      <c r="R338" s="250"/>
      <c r="T338" s="251"/>
      <c r="Y338" s="250"/>
      <c r="Z338" s="250"/>
      <c r="AA338" s="251"/>
      <c r="AB338" s="251"/>
    </row>
    <row r="339" spans="1:33">
      <c r="B339" s="255" t="s">
        <v>847</v>
      </c>
      <c r="I339" s="252"/>
      <c r="L339" s="250"/>
      <c r="N339" s="250"/>
      <c r="R339" s="250"/>
      <c r="T339" s="251"/>
      <c r="Y339" s="250"/>
      <c r="Z339" s="250"/>
      <c r="AA339" s="251"/>
      <c r="AB339" s="251"/>
    </row>
    <row r="340" spans="1:33">
      <c r="B340" s="255" t="s">
        <v>575</v>
      </c>
      <c r="C340" s="255">
        <v>87</v>
      </c>
      <c r="D340" s="255">
        <v>11</v>
      </c>
      <c r="E340" s="262">
        <v>0</v>
      </c>
      <c r="G340" s="255" t="s">
        <v>831</v>
      </c>
      <c r="H340" s="255">
        <v>10</v>
      </c>
      <c r="I340" s="261">
        <f t="shared" ref="I340:I352" si="244">+C340+H340</f>
        <v>97</v>
      </c>
      <c r="L340" s="253">
        <v>600</v>
      </c>
      <c r="N340" s="250">
        <f t="shared" ref="N340:N352" si="245">L340-L340*E340</f>
        <v>600</v>
      </c>
      <c r="O340" s="250">
        <f t="shared" ref="O340:O352" si="246">N340/H340/12</f>
        <v>5</v>
      </c>
      <c r="P340" s="250">
        <f t="shared" ref="P340:P352" si="247">IF(M340&gt;0,0,IF(OR(AC340&gt;AD340,AE340&lt;AF340),0,IF(AND(AE340&gt;=AF340,AE340&lt;=AD340),O340*((AE340-AF340)*12),IF(AND(AF340&lt;=AC340,AD340&gt;=AC340),((AD340-AC340)*12)*O340,IF(AE340&gt;AD340,12*O340,0)))))</f>
        <v>0</v>
      </c>
      <c r="Q340" s="247">
        <f t="shared" ref="Q340:Q352" si="248">IF(M340=0,0,IF(AND(AG340&gt;=AF340,AG340&lt;=AE340),((AG340-AF340)*12)*O340,0))</f>
        <v>0</v>
      </c>
      <c r="R340" s="250">
        <f t="shared" ref="R340:R352" si="249">IF(Q340&gt;0,Q340,P340)</f>
        <v>0</v>
      </c>
      <c r="S340" s="260">
        <v>1</v>
      </c>
      <c r="T340" s="250">
        <f>S340*SUM(P340:Q340)</f>
        <v>0</v>
      </c>
      <c r="V340" s="250">
        <f t="shared" ref="V340:V352" si="250">IF(AC340&gt;AD340,0,IF(AE340&lt;AF340,N340,IF(AND(AE340&gt;=AF340,AE340&lt;=AD340),(N340-R340),IF(AND(AF340&lt;=AC340,AD340&gt;=AC340),0,IF(AE340&gt;AD340,((AF340-AC340)*12)*O340,0)))))</f>
        <v>600</v>
      </c>
      <c r="W340" s="250">
        <f t="shared" ref="W340:W352" si="251">V340*S340</f>
        <v>600</v>
      </c>
      <c r="X340" s="260">
        <v>1</v>
      </c>
      <c r="Y340" s="250">
        <f t="shared" ref="Y340:Y352" si="252">W340*X340</f>
        <v>600</v>
      </c>
      <c r="Z340" s="250">
        <f t="shared" ref="Z340:Z352" si="253">IF(M340&gt;0,0,Y340+T340*X340)*X340</f>
        <v>600</v>
      </c>
      <c r="AA340" s="250">
        <f t="shared" ref="AA340:AA352" si="254">IF(M340&gt;0,(L340-Y340)/2,IF(AC340&gt;=AF340,(((L340*S340)*X340)-Z340)/2,((((L340*S340)*X340)-Y340)+(((L340*S340)*X340)-Z340))/2))</f>
        <v>0</v>
      </c>
      <c r="AB340" s="250">
        <f>L340-Z340</f>
        <v>0</v>
      </c>
      <c r="AC340" s="259">
        <f t="shared" ref="AC340:AC352" si="255">$C340+(($D340-1)/12)</f>
        <v>87.833333333333329</v>
      </c>
      <c r="AD340" s="247">
        <f t="shared" ref="AD340:AD352" si="256">($N$5+1)-($N$2/12)</f>
        <v>124.5</v>
      </c>
      <c r="AE340" s="259">
        <f t="shared" ref="AE340:AE352" si="257">$I340+(($D340-1)/12)</f>
        <v>97.833333333333329</v>
      </c>
      <c r="AF340" s="247">
        <f t="shared" ref="AF340:AF352" si="258">$N$4+($N$3/12)</f>
        <v>123.5</v>
      </c>
      <c r="AG340" s="258">
        <f t="shared" ref="AG340:AG352" si="259">$J340+(($K340-1)/12)</f>
        <v>-8.3333333333333329E-2</v>
      </c>
    </row>
    <row r="341" spans="1:33">
      <c r="B341" s="255" t="s">
        <v>576</v>
      </c>
      <c r="C341" s="255">
        <v>104</v>
      </c>
      <c r="D341" s="255">
        <v>12</v>
      </c>
      <c r="E341" s="262">
        <v>0</v>
      </c>
      <c r="G341" s="255" t="s">
        <v>831</v>
      </c>
      <c r="H341" s="255">
        <v>10</v>
      </c>
      <c r="I341" s="261">
        <f t="shared" si="244"/>
        <v>114</v>
      </c>
      <c r="L341" s="253">
        <v>3009</v>
      </c>
      <c r="N341" s="250">
        <f t="shared" si="245"/>
        <v>3009</v>
      </c>
      <c r="O341" s="250">
        <f t="shared" si="246"/>
        <v>25.074999999999999</v>
      </c>
      <c r="P341" s="250">
        <f t="shared" si="247"/>
        <v>0</v>
      </c>
      <c r="Q341" s="247">
        <f t="shared" si="248"/>
        <v>0</v>
      </c>
      <c r="R341" s="250">
        <f t="shared" si="249"/>
        <v>0</v>
      </c>
      <c r="S341" s="260">
        <v>1</v>
      </c>
      <c r="T341" s="250">
        <f t="shared" ref="T341:T352" si="260">S341*SUM(P341:Q341)</f>
        <v>0</v>
      </c>
      <c r="V341" s="250">
        <f t="shared" si="250"/>
        <v>3009</v>
      </c>
      <c r="W341" s="250">
        <f t="shared" si="251"/>
        <v>3009</v>
      </c>
      <c r="X341" s="260">
        <v>1</v>
      </c>
      <c r="Y341" s="250">
        <f t="shared" si="252"/>
        <v>3009</v>
      </c>
      <c r="Z341" s="250">
        <f t="shared" si="253"/>
        <v>3009</v>
      </c>
      <c r="AA341" s="250">
        <f t="shared" si="254"/>
        <v>0</v>
      </c>
      <c r="AB341" s="250">
        <f t="shared" ref="AB341:AB352" si="261">L341-Z341</f>
        <v>0</v>
      </c>
      <c r="AC341" s="259">
        <f t="shared" si="255"/>
        <v>104.91666666666667</v>
      </c>
      <c r="AD341" s="247">
        <f t="shared" si="256"/>
        <v>124.5</v>
      </c>
      <c r="AE341" s="259">
        <f t="shared" si="257"/>
        <v>114.91666666666667</v>
      </c>
      <c r="AF341" s="247">
        <f t="shared" si="258"/>
        <v>123.5</v>
      </c>
      <c r="AG341" s="258">
        <f t="shared" si="259"/>
        <v>-8.3333333333333329E-2</v>
      </c>
    </row>
    <row r="342" spans="1:33">
      <c r="B342" s="255" t="s">
        <v>577</v>
      </c>
      <c r="C342" s="255">
        <v>104</v>
      </c>
      <c r="D342" s="255">
        <v>12</v>
      </c>
      <c r="E342" s="262">
        <v>0</v>
      </c>
      <c r="G342" s="255" t="s">
        <v>831</v>
      </c>
      <c r="H342" s="255">
        <v>10</v>
      </c>
      <c r="I342" s="261">
        <f t="shared" si="244"/>
        <v>114</v>
      </c>
      <c r="L342" s="253">
        <v>3586</v>
      </c>
      <c r="N342" s="250">
        <f t="shared" si="245"/>
        <v>3586</v>
      </c>
      <c r="O342" s="250">
        <f t="shared" si="246"/>
        <v>29.883333333333336</v>
      </c>
      <c r="P342" s="250">
        <f t="shared" si="247"/>
        <v>0</v>
      </c>
      <c r="Q342" s="247">
        <f t="shared" si="248"/>
        <v>0</v>
      </c>
      <c r="R342" s="250">
        <f t="shared" si="249"/>
        <v>0</v>
      </c>
      <c r="S342" s="260">
        <v>1</v>
      </c>
      <c r="T342" s="250">
        <f t="shared" si="260"/>
        <v>0</v>
      </c>
      <c r="V342" s="250">
        <f t="shared" si="250"/>
        <v>3586</v>
      </c>
      <c r="W342" s="250">
        <f t="shared" si="251"/>
        <v>3586</v>
      </c>
      <c r="X342" s="260">
        <v>1</v>
      </c>
      <c r="Y342" s="250">
        <f t="shared" si="252"/>
        <v>3586</v>
      </c>
      <c r="Z342" s="250">
        <f t="shared" si="253"/>
        <v>3586</v>
      </c>
      <c r="AA342" s="250">
        <f t="shared" si="254"/>
        <v>0</v>
      </c>
      <c r="AB342" s="250">
        <f t="shared" si="261"/>
        <v>0</v>
      </c>
      <c r="AC342" s="259">
        <f t="shared" si="255"/>
        <v>104.91666666666667</v>
      </c>
      <c r="AD342" s="247">
        <f t="shared" si="256"/>
        <v>124.5</v>
      </c>
      <c r="AE342" s="259">
        <f t="shared" si="257"/>
        <v>114.91666666666667</v>
      </c>
      <c r="AF342" s="247">
        <f t="shared" si="258"/>
        <v>123.5</v>
      </c>
      <c r="AG342" s="258">
        <f t="shared" si="259"/>
        <v>-8.3333333333333329E-2</v>
      </c>
    </row>
    <row r="343" spans="1:33">
      <c r="B343" s="255" t="s">
        <v>578</v>
      </c>
      <c r="C343" s="255">
        <v>105</v>
      </c>
      <c r="D343" s="255">
        <v>1</v>
      </c>
      <c r="E343" s="262">
        <v>0</v>
      </c>
      <c r="G343" s="255" t="s">
        <v>831</v>
      </c>
      <c r="H343" s="255">
        <v>10</v>
      </c>
      <c r="I343" s="261">
        <f t="shared" si="244"/>
        <v>115</v>
      </c>
      <c r="L343" s="253">
        <v>1077</v>
      </c>
      <c r="N343" s="250">
        <f t="shared" si="245"/>
        <v>1077</v>
      </c>
      <c r="O343" s="250">
        <f t="shared" si="246"/>
        <v>8.9749999999999996</v>
      </c>
      <c r="P343" s="250">
        <f t="shared" si="247"/>
        <v>0</v>
      </c>
      <c r="Q343" s="247">
        <f t="shared" si="248"/>
        <v>0</v>
      </c>
      <c r="R343" s="250">
        <f t="shared" si="249"/>
        <v>0</v>
      </c>
      <c r="S343" s="260">
        <v>1</v>
      </c>
      <c r="T343" s="250">
        <f t="shared" si="260"/>
        <v>0</v>
      </c>
      <c r="V343" s="250">
        <f t="shared" si="250"/>
        <v>1077</v>
      </c>
      <c r="W343" s="250">
        <f t="shared" si="251"/>
        <v>1077</v>
      </c>
      <c r="X343" s="260">
        <v>1</v>
      </c>
      <c r="Y343" s="250">
        <f t="shared" si="252"/>
        <v>1077</v>
      </c>
      <c r="Z343" s="250">
        <f t="shared" si="253"/>
        <v>1077</v>
      </c>
      <c r="AA343" s="250">
        <f t="shared" si="254"/>
        <v>0</v>
      </c>
      <c r="AB343" s="250">
        <f t="shared" si="261"/>
        <v>0</v>
      </c>
      <c r="AC343" s="259">
        <f t="shared" si="255"/>
        <v>105</v>
      </c>
      <c r="AD343" s="247">
        <f t="shared" si="256"/>
        <v>124.5</v>
      </c>
      <c r="AE343" s="259">
        <f t="shared" si="257"/>
        <v>115</v>
      </c>
      <c r="AF343" s="247">
        <f t="shared" si="258"/>
        <v>123.5</v>
      </c>
      <c r="AG343" s="258">
        <f t="shared" si="259"/>
        <v>-8.3333333333333329E-2</v>
      </c>
    </row>
    <row r="344" spans="1:33">
      <c r="B344" s="255" t="s">
        <v>579</v>
      </c>
      <c r="C344" s="255">
        <v>105</v>
      </c>
      <c r="D344" s="255">
        <v>3</v>
      </c>
      <c r="E344" s="262">
        <v>0</v>
      </c>
      <c r="G344" s="255" t="s">
        <v>831</v>
      </c>
      <c r="H344" s="255">
        <v>10</v>
      </c>
      <c r="I344" s="261">
        <f t="shared" si="244"/>
        <v>115</v>
      </c>
      <c r="L344" s="253">
        <v>660</v>
      </c>
      <c r="N344" s="250">
        <f t="shared" si="245"/>
        <v>660</v>
      </c>
      <c r="O344" s="250">
        <f t="shared" si="246"/>
        <v>5.5</v>
      </c>
      <c r="P344" s="250">
        <f t="shared" si="247"/>
        <v>0</v>
      </c>
      <c r="Q344" s="247">
        <f t="shared" si="248"/>
        <v>0</v>
      </c>
      <c r="R344" s="250">
        <f t="shared" si="249"/>
        <v>0</v>
      </c>
      <c r="S344" s="260">
        <v>1</v>
      </c>
      <c r="T344" s="250">
        <f t="shared" si="260"/>
        <v>0</v>
      </c>
      <c r="V344" s="250">
        <f t="shared" si="250"/>
        <v>660</v>
      </c>
      <c r="W344" s="250">
        <f t="shared" si="251"/>
        <v>660</v>
      </c>
      <c r="X344" s="260">
        <v>1</v>
      </c>
      <c r="Y344" s="250">
        <f t="shared" si="252"/>
        <v>660</v>
      </c>
      <c r="Z344" s="250">
        <f t="shared" si="253"/>
        <v>660</v>
      </c>
      <c r="AA344" s="250">
        <f t="shared" si="254"/>
        <v>0</v>
      </c>
      <c r="AB344" s="250">
        <f t="shared" si="261"/>
        <v>0</v>
      </c>
      <c r="AC344" s="259">
        <f t="shared" si="255"/>
        <v>105.16666666666667</v>
      </c>
      <c r="AD344" s="247">
        <f t="shared" si="256"/>
        <v>124.5</v>
      </c>
      <c r="AE344" s="259">
        <f t="shared" si="257"/>
        <v>115.16666666666667</v>
      </c>
      <c r="AF344" s="247">
        <f t="shared" si="258"/>
        <v>123.5</v>
      </c>
      <c r="AG344" s="258">
        <f t="shared" si="259"/>
        <v>-8.3333333333333329E-2</v>
      </c>
    </row>
    <row r="345" spans="1:33">
      <c r="B345" s="255" t="s">
        <v>581</v>
      </c>
      <c r="C345" s="255">
        <v>107</v>
      </c>
      <c r="D345" s="255">
        <v>9</v>
      </c>
      <c r="E345" s="262">
        <v>0</v>
      </c>
      <c r="G345" s="255" t="s">
        <v>831</v>
      </c>
      <c r="H345" s="255">
        <v>5</v>
      </c>
      <c r="I345" s="261">
        <f t="shared" si="244"/>
        <v>112</v>
      </c>
      <c r="L345" s="253">
        <v>2201</v>
      </c>
      <c r="N345" s="250">
        <f t="shared" si="245"/>
        <v>2201</v>
      </c>
      <c r="O345" s="250">
        <f t="shared" si="246"/>
        <v>36.68333333333333</v>
      </c>
      <c r="P345" s="250">
        <f t="shared" si="247"/>
        <v>0</v>
      </c>
      <c r="Q345" s="247">
        <f t="shared" si="248"/>
        <v>0</v>
      </c>
      <c r="R345" s="250">
        <f t="shared" si="249"/>
        <v>0</v>
      </c>
      <c r="S345" s="260">
        <v>1</v>
      </c>
      <c r="T345" s="250">
        <f t="shared" si="260"/>
        <v>0</v>
      </c>
      <c r="V345" s="250">
        <f t="shared" si="250"/>
        <v>2201</v>
      </c>
      <c r="W345" s="250">
        <f t="shared" si="251"/>
        <v>2201</v>
      </c>
      <c r="X345" s="260">
        <v>1</v>
      </c>
      <c r="Y345" s="250">
        <f t="shared" si="252"/>
        <v>2201</v>
      </c>
      <c r="Z345" s="250">
        <f t="shared" si="253"/>
        <v>2201</v>
      </c>
      <c r="AA345" s="250">
        <f t="shared" si="254"/>
        <v>0</v>
      </c>
      <c r="AB345" s="250">
        <f t="shared" si="261"/>
        <v>0</v>
      </c>
      <c r="AC345" s="259">
        <f t="shared" si="255"/>
        <v>107.66666666666667</v>
      </c>
      <c r="AD345" s="247">
        <f t="shared" si="256"/>
        <v>124.5</v>
      </c>
      <c r="AE345" s="259">
        <f t="shared" si="257"/>
        <v>112.66666666666667</v>
      </c>
      <c r="AF345" s="247">
        <f t="shared" si="258"/>
        <v>123.5</v>
      </c>
      <c r="AG345" s="258">
        <f t="shared" si="259"/>
        <v>-8.3333333333333329E-2</v>
      </c>
    </row>
    <row r="346" spans="1:33" ht="16.5" customHeight="1">
      <c r="B346" s="255" t="s">
        <v>582</v>
      </c>
      <c r="C346" s="255">
        <v>107</v>
      </c>
      <c r="D346" s="255">
        <v>11</v>
      </c>
      <c r="E346" s="262">
        <v>0</v>
      </c>
      <c r="G346" s="255" t="s">
        <v>831</v>
      </c>
      <c r="H346" s="255">
        <v>5</v>
      </c>
      <c r="I346" s="261">
        <f t="shared" si="244"/>
        <v>112</v>
      </c>
      <c r="L346" s="253">
        <v>235</v>
      </c>
      <c r="N346" s="250">
        <f t="shared" si="245"/>
        <v>235</v>
      </c>
      <c r="O346" s="250">
        <f t="shared" si="246"/>
        <v>3.9166666666666665</v>
      </c>
      <c r="P346" s="250">
        <f t="shared" si="247"/>
        <v>0</v>
      </c>
      <c r="Q346" s="247">
        <f t="shared" si="248"/>
        <v>0</v>
      </c>
      <c r="R346" s="250">
        <f t="shared" si="249"/>
        <v>0</v>
      </c>
      <c r="S346" s="260">
        <v>1</v>
      </c>
      <c r="T346" s="250">
        <f t="shared" si="260"/>
        <v>0</v>
      </c>
      <c r="V346" s="250">
        <f t="shared" si="250"/>
        <v>235</v>
      </c>
      <c r="W346" s="250">
        <f t="shared" si="251"/>
        <v>235</v>
      </c>
      <c r="X346" s="260">
        <v>1</v>
      </c>
      <c r="Y346" s="250">
        <f t="shared" si="252"/>
        <v>235</v>
      </c>
      <c r="Z346" s="250">
        <f t="shared" si="253"/>
        <v>235</v>
      </c>
      <c r="AA346" s="250">
        <f t="shared" si="254"/>
        <v>0</v>
      </c>
      <c r="AB346" s="250">
        <f t="shared" si="261"/>
        <v>0</v>
      </c>
      <c r="AC346" s="259">
        <f t="shared" si="255"/>
        <v>107.83333333333333</v>
      </c>
      <c r="AD346" s="247">
        <f t="shared" si="256"/>
        <v>124.5</v>
      </c>
      <c r="AE346" s="259">
        <f t="shared" si="257"/>
        <v>112.83333333333333</v>
      </c>
      <c r="AF346" s="247">
        <f t="shared" si="258"/>
        <v>123.5</v>
      </c>
      <c r="AG346" s="258">
        <f t="shared" si="259"/>
        <v>-8.3333333333333329E-2</v>
      </c>
    </row>
    <row r="347" spans="1:33" ht="16.5" customHeight="1">
      <c r="B347" s="255" t="s">
        <v>583</v>
      </c>
      <c r="C347" s="255">
        <v>108</v>
      </c>
      <c r="D347" s="255">
        <v>7</v>
      </c>
      <c r="E347" s="262">
        <v>0</v>
      </c>
      <c r="G347" s="255" t="s">
        <v>831</v>
      </c>
      <c r="H347" s="255">
        <v>5</v>
      </c>
      <c r="I347" s="261">
        <f t="shared" si="244"/>
        <v>113</v>
      </c>
      <c r="L347" s="253">
        <v>987</v>
      </c>
      <c r="N347" s="250">
        <f t="shared" si="245"/>
        <v>987</v>
      </c>
      <c r="O347" s="250">
        <f t="shared" si="246"/>
        <v>16.45</v>
      </c>
      <c r="P347" s="250">
        <f t="shared" si="247"/>
        <v>0</v>
      </c>
      <c r="Q347" s="247">
        <f t="shared" si="248"/>
        <v>0</v>
      </c>
      <c r="R347" s="250">
        <f t="shared" si="249"/>
        <v>0</v>
      </c>
      <c r="S347" s="260">
        <v>1</v>
      </c>
      <c r="T347" s="250">
        <f t="shared" si="260"/>
        <v>0</v>
      </c>
      <c r="V347" s="250">
        <f t="shared" si="250"/>
        <v>987</v>
      </c>
      <c r="W347" s="250">
        <f t="shared" si="251"/>
        <v>987</v>
      </c>
      <c r="X347" s="260">
        <v>1</v>
      </c>
      <c r="Y347" s="250">
        <f t="shared" si="252"/>
        <v>987</v>
      </c>
      <c r="Z347" s="250">
        <f t="shared" si="253"/>
        <v>987</v>
      </c>
      <c r="AA347" s="250">
        <f t="shared" si="254"/>
        <v>0</v>
      </c>
      <c r="AB347" s="250">
        <f t="shared" si="261"/>
        <v>0</v>
      </c>
      <c r="AC347" s="259">
        <f t="shared" si="255"/>
        <v>108.5</v>
      </c>
      <c r="AD347" s="247">
        <f t="shared" si="256"/>
        <v>124.5</v>
      </c>
      <c r="AE347" s="259">
        <f t="shared" si="257"/>
        <v>113.5</v>
      </c>
      <c r="AF347" s="247">
        <f t="shared" si="258"/>
        <v>123.5</v>
      </c>
      <c r="AG347" s="258">
        <f t="shared" si="259"/>
        <v>-8.3333333333333329E-2</v>
      </c>
    </row>
    <row r="348" spans="1:33">
      <c r="B348" s="255" t="s">
        <v>584</v>
      </c>
      <c r="C348" s="255">
        <v>111</v>
      </c>
      <c r="D348" s="255">
        <v>10</v>
      </c>
      <c r="E348" s="262">
        <v>0</v>
      </c>
      <c r="G348" s="255" t="s">
        <v>831</v>
      </c>
      <c r="H348" s="255">
        <v>10</v>
      </c>
      <c r="I348" s="261">
        <f t="shared" si="244"/>
        <v>121</v>
      </c>
      <c r="L348" s="253">
        <v>2580</v>
      </c>
      <c r="N348" s="250">
        <f t="shared" si="245"/>
        <v>2580</v>
      </c>
      <c r="O348" s="250">
        <f t="shared" si="246"/>
        <v>21.5</v>
      </c>
      <c r="P348" s="250">
        <f t="shared" si="247"/>
        <v>0</v>
      </c>
      <c r="Q348" s="247">
        <f t="shared" si="248"/>
        <v>0</v>
      </c>
      <c r="R348" s="250">
        <f t="shared" si="249"/>
        <v>0</v>
      </c>
      <c r="S348" s="260">
        <v>1</v>
      </c>
      <c r="T348" s="250">
        <f t="shared" si="260"/>
        <v>0</v>
      </c>
      <c r="V348" s="250">
        <f t="shared" si="250"/>
        <v>2580</v>
      </c>
      <c r="W348" s="250">
        <f t="shared" si="251"/>
        <v>2580</v>
      </c>
      <c r="X348" s="260">
        <v>1</v>
      </c>
      <c r="Y348" s="250">
        <f t="shared" si="252"/>
        <v>2580</v>
      </c>
      <c r="Z348" s="250">
        <f t="shared" si="253"/>
        <v>2580</v>
      </c>
      <c r="AA348" s="250">
        <f t="shared" si="254"/>
        <v>0</v>
      </c>
      <c r="AB348" s="250">
        <f t="shared" si="261"/>
        <v>0</v>
      </c>
      <c r="AC348" s="259">
        <f t="shared" si="255"/>
        <v>111.75</v>
      </c>
      <c r="AD348" s="247">
        <f t="shared" si="256"/>
        <v>124.5</v>
      </c>
      <c r="AE348" s="259">
        <f t="shared" si="257"/>
        <v>121.75</v>
      </c>
      <c r="AF348" s="247">
        <f t="shared" si="258"/>
        <v>123.5</v>
      </c>
      <c r="AG348" s="258">
        <f t="shared" si="259"/>
        <v>-8.3333333333333329E-2</v>
      </c>
    </row>
    <row r="349" spans="1:33">
      <c r="A349" s="472"/>
      <c r="B349" s="255" t="s">
        <v>585</v>
      </c>
      <c r="C349" s="255">
        <v>114</v>
      </c>
      <c r="D349" s="255">
        <v>11</v>
      </c>
      <c r="E349" s="262">
        <v>0</v>
      </c>
      <c r="G349" s="255" t="s">
        <v>831</v>
      </c>
      <c r="H349" s="255">
        <v>5</v>
      </c>
      <c r="I349" s="261">
        <f>+C349+H349</f>
        <v>119</v>
      </c>
      <c r="L349" s="253">
        <v>1331</v>
      </c>
      <c r="N349" s="250">
        <f>L349-L349*E349</f>
        <v>1331</v>
      </c>
      <c r="O349" s="250">
        <f>N349/H349/12</f>
        <v>22.183333333333334</v>
      </c>
      <c r="P349" s="250">
        <f>IF(M349&gt;0,0,IF(OR(AC349&gt;AD349,AE349&lt;AF349),0,IF(AND(AE349&gt;=AF349,AE349&lt;=AD349),O349*((AE349-AF349)*12),IF(AND(AF349&lt;=AC349,AD349&gt;=AC349),((AD349-AC349)*12)*O349,IF(AE349&gt;AD349,12*O349,0)))))</f>
        <v>0</v>
      </c>
      <c r="Q349" s="247">
        <f>IF(M349=0,0,IF(AND(AG349&gt;=AF349,AG349&lt;=AE349),((AG349-AF349)*12)*O349,0))</f>
        <v>0</v>
      </c>
      <c r="R349" s="250">
        <f>IF(Q349&gt;0,Q349,P349)</f>
        <v>0</v>
      </c>
      <c r="S349" s="260">
        <v>1</v>
      </c>
      <c r="T349" s="250">
        <f>S349*SUM(P349:Q349)</f>
        <v>0</v>
      </c>
      <c r="V349" s="250">
        <f>IF(AC349&gt;AD349,0,IF(AE349&lt;AF349,N349,IF(AND(AE349&gt;=AF349,AE349&lt;=AD349),(N349-R349),IF(AND(AF349&lt;=AC349,AD349&gt;=AC349),0,IF(AE349&gt;AD349,((AF349-AC349)*12)*O349,0)))))</f>
        <v>1331</v>
      </c>
      <c r="W349" s="250">
        <f>V349*S349</f>
        <v>1331</v>
      </c>
      <c r="X349" s="260">
        <v>1</v>
      </c>
      <c r="Y349" s="250">
        <f>W349*X349</f>
        <v>1331</v>
      </c>
      <c r="Z349" s="250">
        <f>IF(M349&gt;0,0,Y349+T349*X349)*X349</f>
        <v>1331</v>
      </c>
      <c r="AA349" s="250">
        <f t="shared" si="254"/>
        <v>0</v>
      </c>
      <c r="AB349" s="250">
        <f>L349-Z349</f>
        <v>0</v>
      </c>
      <c r="AC349" s="259">
        <f t="shared" si="255"/>
        <v>114.83333333333333</v>
      </c>
      <c r="AD349" s="247">
        <f t="shared" si="256"/>
        <v>124.5</v>
      </c>
      <c r="AE349" s="259">
        <f t="shared" si="257"/>
        <v>119.83333333333333</v>
      </c>
      <c r="AF349" s="247">
        <f t="shared" si="258"/>
        <v>123.5</v>
      </c>
      <c r="AG349" s="258">
        <f t="shared" si="259"/>
        <v>-8.3333333333333329E-2</v>
      </c>
    </row>
    <row r="350" spans="1:33" s="472" customFormat="1">
      <c r="B350" s="513" t="s">
        <v>580</v>
      </c>
      <c r="C350" s="513">
        <v>120</v>
      </c>
      <c r="D350" s="513">
        <v>5</v>
      </c>
      <c r="E350" s="498">
        <v>0</v>
      </c>
      <c r="G350" s="513" t="s">
        <v>831</v>
      </c>
      <c r="H350" s="513">
        <v>5</v>
      </c>
      <c r="I350" s="761">
        <f>+C350+H350</f>
        <v>125</v>
      </c>
      <c r="L350" s="461">
        <v>1383</v>
      </c>
      <c r="N350" s="755">
        <f>L350-L350*E350</f>
        <v>1383</v>
      </c>
      <c r="O350" s="755">
        <f>N350/H350/12</f>
        <v>23.05</v>
      </c>
      <c r="P350" s="755">
        <f>IF(M350&gt;0,0,IF(OR(AC350&gt;AD350,AE350&lt;AF350),0,IF(AND(AE350&gt;=AF350,AE350&lt;=AD350),O350*((AE350-AF350)*12),IF(AND(AF350&lt;=AC350,AD350&gt;=AC350),((AD350-AC350)*12)*O350,IF(AE350&gt;AD350,12*O350,0)))))</f>
        <v>276.60000000000002</v>
      </c>
      <c r="Q350" s="472">
        <f>IF(M350=0,0,IF(AND(AG350&gt;=AF350,AG350&lt;=AE350),((AG350-AF350)*12)*O350,0))</f>
        <v>0</v>
      </c>
      <c r="R350" s="755">
        <f>IF(Q350&gt;0,Q350,P350)</f>
        <v>276.60000000000002</v>
      </c>
      <c r="S350" s="756">
        <v>1</v>
      </c>
      <c r="T350" s="755">
        <f>S350*SUM(P350:Q350)</f>
        <v>276.60000000000002</v>
      </c>
      <c r="V350" s="755">
        <f>IF(AC350&gt;AD350,0,IF(AE350&lt;AF350,N350,IF(AND(AE350&gt;=AF350,AE350&lt;=AD350),(N350-R350),IF(AND(AF350&lt;=AC350,AD350&gt;=AC350),0,IF(AE350&gt;AD350,((AF350-AC350)*12)*O350,0)))))</f>
        <v>875.90000000000134</v>
      </c>
      <c r="W350" s="755">
        <f>V350*S350</f>
        <v>875.90000000000134</v>
      </c>
      <c r="X350" s="756">
        <v>1</v>
      </c>
      <c r="Y350" s="755">
        <f>W350*X350</f>
        <v>875.90000000000134</v>
      </c>
      <c r="Z350" s="755">
        <f>IF(M350&gt;0,0,Y350+T350*X350)*X350</f>
        <v>1152.5000000000014</v>
      </c>
      <c r="AA350" s="755">
        <f t="shared" si="254"/>
        <v>368.79999999999865</v>
      </c>
      <c r="AB350" s="755">
        <f>L350-Z350</f>
        <v>230.49999999999864</v>
      </c>
      <c r="AC350" s="757">
        <f t="shared" si="255"/>
        <v>120.33333333333333</v>
      </c>
      <c r="AD350" s="472">
        <f t="shared" si="256"/>
        <v>124.5</v>
      </c>
      <c r="AE350" s="757">
        <f t="shared" si="257"/>
        <v>125.33333333333333</v>
      </c>
      <c r="AF350" s="472">
        <f t="shared" si="258"/>
        <v>123.5</v>
      </c>
      <c r="AG350" s="758">
        <f t="shared" si="259"/>
        <v>-8.3333333333333329E-2</v>
      </c>
    </row>
    <row r="351" spans="1:33" s="472" customFormat="1">
      <c r="B351" s="513" t="s">
        <v>586</v>
      </c>
      <c r="C351" s="513">
        <v>121</v>
      </c>
      <c r="D351" s="513">
        <v>9</v>
      </c>
      <c r="E351" s="498">
        <v>0</v>
      </c>
      <c r="G351" s="513" t="s">
        <v>831</v>
      </c>
      <c r="H351" s="513">
        <v>5</v>
      </c>
      <c r="I351" s="761">
        <f>+C351+H351</f>
        <v>126</v>
      </c>
      <c r="L351" s="461">
        <v>921</v>
      </c>
      <c r="N351" s="755">
        <f>L351-L351*E351</f>
        <v>921</v>
      </c>
      <c r="O351" s="755">
        <f>N351/H351/12</f>
        <v>15.35</v>
      </c>
      <c r="P351" s="755">
        <f>IF(M351&gt;0,0,IF(OR(AC351&gt;AD351,AE351&lt;AF351),0,IF(AND(AE351&gt;=AF351,AE351&lt;=AD351),O351*((AE351-AF351)*12),IF(AND(AF351&lt;=AC351,AD351&gt;=AC351),((AD351-AC351)*12)*O351,IF(AE351&gt;AD351,12*O351,0)))))</f>
        <v>184.2</v>
      </c>
      <c r="Q351" s="472">
        <f>IF(M351=0,0,IF(AND(AG351&gt;=AF351,AG351&lt;=AE351),((AG351-AF351)*12)*O351,0))</f>
        <v>0</v>
      </c>
      <c r="R351" s="755">
        <f>IF(Q351&gt;0,Q351,P351)</f>
        <v>184.2</v>
      </c>
      <c r="S351" s="756">
        <v>1</v>
      </c>
      <c r="T351" s="755">
        <f>S351*SUM(P351:Q351)</f>
        <v>184.2</v>
      </c>
      <c r="V351" s="755">
        <f>IF(AC351&gt;AD351,0,IF(AE351&lt;AF351,N351,IF(AND(AE351&gt;=AF351,AE351&lt;=AD351),(N351-R351),IF(AND(AF351&lt;=AC351,AD351&gt;=AC351),0,IF(AE351&gt;AD351,((AF351-AC351)*12)*O351,0)))))</f>
        <v>337.69999999999914</v>
      </c>
      <c r="W351" s="755">
        <f>V351*S351</f>
        <v>337.69999999999914</v>
      </c>
      <c r="X351" s="756">
        <v>1</v>
      </c>
      <c r="Y351" s="755">
        <f>W351*X351</f>
        <v>337.69999999999914</v>
      </c>
      <c r="Z351" s="755">
        <f>IF(M351&gt;0,0,Y351+T351*X351)*X351</f>
        <v>521.89999999999918</v>
      </c>
      <c r="AA351" s="755">
        <f t="shared" si="254"/>
        <v>491.20000000000084</v>
      </c>
      <c r="AB351" s="755">
        <f>L351-Z351</f>
        <v>399.10000000000082</v>
      </c>
      <c r="AC351" s="757">
        <f t="shared" si="255"/>
        <v>121.66666666666667</v>
      </c>
      <c r="AD351" s="472">
        <f t="shared" si="256"/>
        <v>124.5</v>
      </c>
      <c r="AE351" s="757">
        <f t="shared" si="257"/>
        <v>126.66666666666667</v>
      </c>
      <c r="AF351" s="472">
        <f t="shared" si="258"/>
        <v>123.5</v>
      </c>
      <c r="AG351" s="758">
        <f t="shared" si="259"/>
        <v>-8.3333333333333329E-2</v>
      </c>
    </row>
    <row r="352" spans="1:33" s="472" customFormat="1">
      <c r="B352" s="513" t="s">
        <v>587</v>
      </c>
      <c r="C352" s="513">
        <v>121</v>
      </c>
      <c r="D352" s="513">
        <v>9</v>
      </c>
      <c r="E352" s="498">
        <v>0</v>
      </c>
      <c r="G352" s="513" t="s">
        <v>831</v>
      </c>
      <c r="H352" s="513">
        <v>5</v>
      </c>
      <c r="I352" s="761">
        <f t="shared" si="244"/>
        <v>126</v>
      </c>
      <c r="L352" s="461">
        <v>931</v>
      </c>
      <c r="N352" s="755">
        <f t="shared" si="245"/>
        <v>931</v>
      </c>
      <c r="O352" s="755">
        <f t="shared" si="246"/>
        <v>15.516666666666666</v>
      </c>
      <c r="P352" s="755">
        <f t="shared" si="247"/>
        <v>186.2</v>
      </c>
      <c r="Q352" s="472">
        <f t="shared" si="248"/>
        <v>0</v>
      </c>
      <c r="R352" s="755">
        <f t="shared" si="249"/>
        <v>186.2</v>
      </c>
      <c r="S352" s="756">
        <v>1</v>
      </c>
      <c r="T352" s="755">
        <f t="shared" si="260"/>
        <v>186.2</v>
      </c>
      <c r="V352" s="755">
        <f t="shared" si="250"/>
        <v>341.36666666666576</v>
      </c>
      <c r="W352" s="755">
        <f t="shared" si="251"/>
        <v>341.36666666666576</v>
      </c>
      <c r="X352" s="756">
        <v>1</v>
      </c>
      <c r="Y352" s="755">
        <f t="shared" si="252"/>
        <v>341.36666666666576</v>
      </c>
      <c r="Z352" s="755">
        <f t="shared" si="253"/>
        <v>527.5666666666657</v>
      </c>
      <c r="AA352" s="755">
        <f t="shared" si="254"/>
        <v>496.53333333333427</v>
      </c>
      <c r="AB352" s="755">
        <f t="shared" si="261"/>
        <v>403.4333333333343</v>
      </c>
      <c r="AC352" s="757">
        <f t="shared" si="255"/>
        <v>121.66666666666667</v>
      </c>
      <c r="AD352" s="472">
        <f t="shared" si="256"/>
        <v>124.5</v>
      </c>
      <c r="AE352" s="757">
        <f t="shared" si="257"/>
        <v>126.66666666666667</v>
      </c>
      <c r="AF352" s="472">
        <f t="shared" si="258"/>
        <v>123.5</v>
      </c>
      <c r="AG352" s="758">
        <f t="shared" si="259"/>
        <v>-8.3333333333333329E-2</v>
      </c>
    </row>
    <row r="353" spans="2:56">
      <c r="I353" s="252"/>
      <c r="L353" s="250"/>
      <c r="N353" s="250"/>
      <c r="P353" s="267"/>
      <c r="Q353" s="267"/>
      <c r="R353" s="266"/>
      <c r="T353" s="251"/>
      <c r="Y353" s="250"/>
      <c r="Z353" s="250"/>
      <c r="AA353" s="251"/>
      <c r="AB353" s="251"/>
    </row>
    <row r="354" spans="2:56" ht="16.5" thickBot="1">
      <c r="B354" s="255" t="s">
        <v>848</v>
      </c>
      <c r="I354" s="252"/>
      <c r="L354" s="250">
        <f>SUM(L340:L353)</f>
        <v>19501</v>
      </c>
      <c r="M354" s="250">
        <f>SUM(M340:M353)</f>
        <v>0</v>
      </c>
      <c r="N354" s="250">
        <f>SUM(N340:N353)</f>
        <v>19501</v>
      </c>
      <c r="P354" s="251">
        <f>SUM(P340:P353)</f>
        <v>647</v>
      </c>
      <c r="Q354" s="251">
        <f>SUM(Q340:Q353)</f>
        <v>0</v>
      </c>
      <c r="R354" s="263">
        <f>SUM(R340:R353)</f>
        <v>647</v>
      </c>
      <c r="T354" s="257">
        <f>SUM(T340:T353)</f>
        <v>647</v>
      </c>
      <c r="V354" s="250">
        <f>SUM(V340:V353)</f>
        <v>17820.966666666667</v>
      </c>
      <c r="W354" s="250">
        <f>SUM(W340:W353)</f>
        <v>17820.966666666667</v>
      </c>
      <c r="Y354" s="250">
        <f>SUM(Y340:Y353)</f>
        <v>17820.966666666667</v>
      </c>
      <c r="Z354" s="250">
        <f>SUM(Z340:Z353)</f>
        <v>18467.966666666664</v>
      </c>
      <c r="AA354" s="257">
        <f>SUM(AA340:AA353)</f>
        <v>1356.5333333333338</v>
      </c>
      <c r="AB354" s="257">
        <f>SUM(AB340:AB353)</f>
        <v>1033.0333333333338</v>
      </c>
    </row>
    <row r="355" spans="2:56" ht="16.5" thickTop="1">
      <c r="I355" s="252" t="s">
        <v>832</v>
      </c>
      <c r="L355" s="256">
        <f>SUM(L340:L352)</f>
        <v>19501</v>
      </c>
      <c r="N355" s="250"/>
      <c r="P355" s="527"/>
      <c r="R355" s="250"/>
      <c r="T355" s="251"/>
      <c r="Y355" s="250"/>
      <c r="Z355" s="250"/>
      <c r="AA355" s="251"/>
      <c r="AB355" s="251"/>
    </row>
    <row r="356" spans="2:56">
      <c r="I356" s="252"/>
      <c r="L356" s="250"/>
      <c r="N356" s="250"/>
      <c r="R356" s="250"/>
      <c r="T356" s="251"/>
      <c r="Y356" s="250"/>
      <c r="Z356" s="250"/>
      <c r="AA356" s="251"/>
      <c r="AB356" s="251"/>
    </row>
    <row r="357" spans="2:56" ht="16.5" thickBot="1">
      <c r="B357" s="255" t="s">
        <v>849</v>
      </c>
      <c r="I357" s="252" t="s">
        <v>850</v>
      </c>
      <c r="L357" s="253">
        <f>+L38+L63+L73+L214+L244+L283+L290+L298+L329+L337+L354</f>
        <v>4033029.125</v>
      </c>
      <c r="M357" s="253"/>
      <c r="N357" s="253">
        <f>+N38+N63+N73+N214+N244+N283+N290+N298+N329+N337+N354</f>
        <v>4024033.7250000001</v>
      </c>
      <c r="P357" s="491">
        <f>ROUND(+P38+P63+P73+P214+P244+P283+P290+P298+P329+P337+P354,0)</f>
        <v>290765</v>
      </c>
      <c r="Q357" s="491">
        <f>ROUND(+Q38+Q63+Q73+Q214+Q244+Q283+Q290+Q298+Q329+Q337+Q354,0)</f>
        <v>0</v>
      </c>
      <c r="R357" s="254">
        <f>ROUND(+R38+R63+R73+R214+R244+R283+R290+R298+R329+R337+R354,0)</f>
        <v>290765</v>
      </c>
      <c r="T357" s="254">
        <f>ROUND(+T38+T63+T73+T214+T244+T283+T290+T298+T329+T337+T354,0)</f>
        <v>287167</v>
      </c>
      <c r="V357" s="253">
        <f>+V38+V63+V73+V214+V244+V283+V290+V298+V329+V337+V354</f>
        <v>2551962.5781428572</v>
      </c>
      <c r="W357" s="253">
        <f>+W38+W63+W73+W214+W244+W283+W290+W298+W329+W337+W354</f>
        <v>2308193.2076666672</v>
      </c>
      <c r="Y357" s="253">
        <f>+Y38+Y63+Y73+Y214+Y244+Y283+Y290+Y298+Y329+Y337+Y354</f>
        <v>2384624.2076666672</v>
      </c>
      <c r="Z357" s="253">
        <f>+Z38+Z63+Z73+Z214+Z244+Z283+Z290+Z298+Z329+Z337+Z354</f>
        <v>2583448.3544761911</v>
      </c>
      <c r="AA357" s="254">
        <f>+AA38+AA63+AA73+AA214+AA244+AA283+AA290+AA298+AA329+AA337+AA354</f>
        <v>1381924.743928571</v>
      </c>
      <c r="AB357" s="254">
        <f>+AB38+AB63+AB73+AB214+AB244+AB283+AB290+AB298+AB329+AB337+AB354</f>
        <v>1583082.1705238093</v>
      </c>
      <c r="AI357" s="247">
        <f>SUM(AI13:AI354)</f>
        <v>178861.71</v>
      </c>
      <c r="AJ357" s="247">
        <f>SUM(AJ13:AJ354)</f>
        <v>453510.6</v>
      </c>
      <c r="AK357" s="247">
        <f>SUM(AK13:AK354)</f>
        <v>403916</v>
      </c>
      <c r="AL357" s="247">
        <f>SUM(AL13:AL354)</f>
        <v>129267.10999999999</v>
      </c>
      <c r="AY357" s="736">
        <f t="shared" ref="AY357:BD357" si="262">SUM(AY13:AY354)</f>
        <v>11868.396825396827</v>
      </c>
      <c r="AZ357" s="736">
        <f t="shared" si="262"/>
        <v>110493.84174603174</v>
      </c>
      <c r="BA357" s="736">
        <f t="shared" si="262"/>
        <v>24176.428571428572</v>
      </c>
      <c r="BB357" s="736">
        <f t="shared" si="262"/>
        <v>121317.41317460316</v>
      </c>
      <c r="BC357" s="772">
        <f t="shared" si="262"/>
        <v>21515.515873015873</v>
      </c>
      <c r="BD357" s="772">
        <f t="shared" si="262"/>
        <v>132989.29412698414</v>
      </c>
    </row>
    <row r="358" spans="2:56" ht="16.5" thickTop="1">
      <c r="I358" s="252" t="s">
        <v>851</v>
      </c>
      <c r="L358" s="253">
        <f>+L39+L74+L64+L215+L245+L284+L291+L299+L330+L338+L355</f>
        <v>3675853.125</v>
      </c>
      <c r="N358" s="250"/>
      <c r="R358" s="250"/>
      <c r="T358" s="251" t="s">
        <v>14</v>
      </c>
      <c r="Y358" s="250"/>
      <c r="Z358" s="250"/>
      <c r="AA358" s="251" t="s">
        <v>1465</v>
      </c>
      <c r="AB358" s="251" t="s">
        <v>828</v>
      </c>
      <c r="AI358" s="247" t="s">
        <v>14</v>
      </c>
    </row>
    <row r="359" spans="2:56">
      <c r="I359" s="252"/>
      <c r="L359" s="250"/>
      <c r="N359" s="250"/>
      <c r="P359" s="247" t="s">
        <v>852</v>
      </c>
      <c r="R359" s="492">
        <f>-R337</f>
        <v>-3598.16</v>
      </c>
      <c r="T359" s="251"/>
      <c r="Y359" s="250"/>
      <c r="Z359" s="250"/>
      <c r="AA359" s="251"/>
      <c r="AB359" s="251"/>
    </row>
    <row r="360" spans="2:56" ht="16.5" thickBot="1">
      <c r="I360" s="252"/>
      <c r="P360" s="493" t="s">
        <v>853</v>
      </c>
      <c r="R360" s="494">
        <f>R357+R359</f>
        <v>287166.84000000003</v>
      </c>
      <c r="T360" s="251"/>
      <c r="Y360" s="250"/>
      <c r="Z360" s="250"/>
      <c r="AA360" s="251"/>
      <c r="AB360" s="251"/>
    </row>
    <row r="361" spans="2:56" ht="16.5" thickTop="1">
      <c r="I361" s="252"/>
      <c r="R361" s="250"/>
      <c r="T361" s="251"/>
      <c r="Y361" s="250"/>
      <c r="Z361" s="250"/>
      <c r="AA361" s="251"/>
      <c r="AB361" s="251"/>
    </row>
    <row r="362" spans="2:56">
      <c r="R362" s="250"/>
      <c r="T362" s="251"/>
      <c r="Y362" s="250"/>
      <c r="Z362" s="250"/>
      <c r="AA362" s="251"/>
      <c r="AB362" s="251"/>
    </row>
    <row r="363" spans="2:56">
      <c r="R363" s="250"/>
      <c r="T363" s="251"/>
      <c r="Y363" s="250"/>
      <c r="Z363" s="250"/>
      <c r="AA363" s="251"/>
      <c r="AB363" s="251"/>
    </row>
    <row r="364" spans="2:56">
      <c r="R364" s="250"/>
      <c r="T364" s="251"/>
      <c r="Y364" s="250"/>
      <c r="Z364" s="250"/>
      <c r="AA364" s="251"/>
      <c r="AB364" s="251"/>
    </row>
    <row r="365" spans="2:56">
      <c r="I365" s="252"/>
      <c r="R365" s="250"/>
      <c r="T365" s="251"/>
      <c r="Y365" s="250"/>
      <c r="Z365" s="250"/>
      <c r="AA365" s="251"/>
      <c r="AB365" s="251"/>
    </row>
    <row r="366" spans="2:56">
      <c r="I366" s="252"/>
      <c r="R366" s="250"/>
      <c r="T366" s="251"/>
      <c r="Y366" s="250"/>
      <c r="Z366" s="250"/>
      <c r="AA366" s="251"/>
      <c r="AB366" s="251"/>
    </row>
    <row r="367" spans="2:56">
      <c r="I367" s="252"/>
      <c r="R367" s="250"/>
      <c r="T367" s="251"/>
      <c r="Y367" s="250"/>
      <c r="Z367" s="250"/>
      <c r="AA367" s="251"/>
      <c r="AB367" s="251"/>
    </row>
    <row r="368" spans="2:56">
      <c r="I368" s="252"/>
      <c r="R368" s="250"/>
      <c r="T368" s="251"/>
      <c r="Y368" s="250"/>
      <c r="Z368" s="250"/>
      <c r="AA368" s="251"/>
      <c r="AB368" s="251"/>
    </row>
    <row r="369" spans="9:28">
      <c r="I369" s="252"/>
      <c r="L369" s="247" t="s">
        <v>14</v>
      </c>
      <c r="R369" s="250"/>
      <c r="T369" s="251"/>
      <c r="Y369" s="250"/>
      <c r="Z369" s="250"/>
      <c r="AA369" s="251"/>
      <c r="AB369" s="251"/>
    </row>
    <row r="370" spans="9:28">
      <c r="I370" s="252"/>
      <c r="R370" s="250"/>
      <c r="T370" s="251"/>
      <c r="Y370" s="250"/>
      <c r="Z370" s="250"/>
      <c r="AA370" s="251"/>
      <c r="AB370" s="251"/>
    </row>
    <row r="371" spans="9:28">
      <c r="I371" s="252"/>
      <c r="R371" s="250"/>
      <c r="T371" s="251"/>
      <c r="Y371" s="250"/>
      <c r="Z371" s="250"/>
      <c r="AA371" s="251"/>
      <c r="AB371" s="251"/>
    </row>
    <row r="372" spans="9:28">
      <c r="I372" s="252"/>
      <c r="R372" s="250"/>
      <c r="T372" s="251"/>
      <c r="Y372" s="250"/>
      <c r="Z372" s="250"/>
      <c r="AA372" s="251"/>
      <c r="AB372" s="251"/>
    </row>
    <row r="373" spans="9:28">
      <c r="I373" s="252"/>
      <c r="L373" s="250"/>
      <c r="N373" s="250"/>
      <c r="R373" s="250"/>
      <c r="T373" s="251"/>
      <c r="Y373" s="250"/>
      <c r="Z373" s="250"/>
      <c r="AA373" s="251"/>
      <c r="AB373" s="251"/>
    </row>
    <row r="374" spans="9:28">
      <c r="I374" s="252"/>
      <c r="L374" s="250"/>
      <c r="N374" s="250"/>
      <c r="R374" s="250"/>
      <c r="T374" s="251"/>
      <c r="Y374" s="250"/>
      <c r="Z374" s="250"/>
      <c r="AA374" s="251"/>
      <c r="AB374" s="251"/>
    </row>
    <row r="375" spans="9:28">
      <c r="I375" s="252"/>
      <c r="L375" s="250"/>
      <c r="N375" s="250"/>
      <c r="R375" s="250"/>
      <c r="T375" s="251"/>
      <c r="Y375" s="250"/>
      <c r="Z375" s="250"/>
      <c r="AA375" s="251"/>
      <c r="AB375" s="251"/>
    </row>
    <row r="376" spans="9:28">
      <c r="I376" s="252"/>
      <c r="L376" s="250"/>
      <c r="N376" s="250"/>
      <c r="R376" s="250"/>
      <c r="T376" s="251"/>
      <c r="Y376" s="250"/>
      <c r="Z376" s="250"/>
      <c r="AA376" s="251"/>
      <c r="AB376" s="251"/>
    </row>
    <row r="377" spans="9:28">
      <c r="I377" s="252"/>
      <c r="L377" s="250"/>
      <c r="N377" s="250"/>
      <c r="R377" s="250"/>
      <c r="T377" s="251"/>
      <c r="Y377" s="250"/>
      <c r="Z377" s="250"/>
      <c r="AA377" s="251"/>
      <c r="AB377" s="251"/>
    </row>
    <row r="378" spans="9:28">
      <c r="I378" s="252"/>
      <c r="L378" s="250"/>
      <c r="N378" s="250"/>
      <c r="R378" s="250"/>
      <c r="T378" s="251"/>
      <c r="Y378" s="250"/>
      <c r="Z378" s="250"/>
      <c r="AA378" s="251"/>
      <c r="AB378" s="251"/>
    </row>
    <row r="379" spans="9:28">
      <c r="I379" s="252"/>
      <c r="L379" s="250"/>
      <c r="N379" s="250"/>
      <c r="R379" s="250"/>
      <c r="T379" s="251"/>
      <c r="Y379" s="250"/>
      <c r="Z379" s="250"/>
      <c r="AA379" s="251"/>
      <c r="AB379" s="251"/>
    </row>
    <row r="380" spans="9:28">
      <c r="I380" s="252"/>
      <c r="L380" s="250"/>
      <c r="N380" s="250"/>
      <c r="R380" s="250"/>
      <c r="T380" s="251"/>
      <c r="Y380" s="250"/>
      <c r="Z380" s="250"/>
      <c r="AA380" s="251"/>
      <c r="AB380" s="251"/>
    </row>
    <row r="381" spans="9:28">
      <c r="I381" s="252"/>
      <c r="L381" s="250"/>
      <c r="N381" s="250"/>
      <c r="R381" s="250"/>
      <c r="T381" s="251"/>
      <c r="Y381" s="250"/>
      <c r="Z381" s="250"/>
      <c r="AA381" s="251"/>
      <c r="AB381" s="251"/>
    </row>
    <row r="382" spans="9:28">
      <c r="I382" s="252"/>
      <c r="L382" s="250"/>
      <c r="N382" s="250"/>
      <c r="R382" s="250"/>
      <c r="T382" s="251"/>
      <c r="Y382" s="250"/>
      <c r="Z382" s="250"/>
      <c r="AA382" s="251"/>
      <c r="AB382" s="251"/>
    </row>
    <row r="383" spans="9:28">
      <c r="I383" s="252"/>
      <c r="L383" s="250"/>
      <c r="N383" s="250"/>
      <c r="R383" s="250"/>
      <c r="T383" s="251"/>
      <c r="Y383" s="250"/>
      <c r="Z383" s="250"/>
      <c r="AA383" s="251"/>
      <c r="AB383" s="251"/>
    </row>
    <row r="384" spans="9:28">
      <c r="L384" s="250"/>
      <c r="Y384" s="250"/>
      <c r="Z384" s="250"/>
    </row>
    <row r="385" spans="2:28">
      <c r="L385" s="250"/>
      <c r="Y385" s="250"/>
      <c r="Z385" s="250"/>
      <c r="AA385" s="250"/>
      <c r="AB385" s="250"/>
    </row>
    <row r="386" spans="2:28">
      <c r="Y386" s="250"/>
      <c r="Z386" s="250"/>
      <c r="AA386" s="250"/>
      <c r="AB386" s="250"/>
    </row>
    <row r="387" spans="2:28" ht="19.5">
      <c r="B387" s="249" t="s">
        <v>854</v>
      </c>
      <c r="C387" s="248"/>
      <c r="D387" s="248"/>
    </row>
    <row r="388" spans="2:28">
      <c r="B388" s="248" t="s">
        <v>855</v>
      </c>
      <c r="C388" s="248"/>
      <c r="D388" s="248"/>
    </row>
    <row r="389" spans="2:28">
      <c r="B389" s="248"/>
      <c r="C389" s="248" t="s">
        <v>856</v>
      </c>
      <c r="D389" s="248"/>
    </row>
    <row r="390" spans="2:28">
      <c r="B390" s="248"/>
      <c r="C390" s="248" t="s">
        <v>857</v>
      </c>
      <c r="D390" s="248"/>
    </row>
    <row r="391" spans="2:28">
      <c r="B391" s="248"/>
      <c r="C391" s="248" t="s">
        <v>858</v>
      </c>
      <c r="D391" s="248" t="s">
        <v>859</v>
      </c>
    </row>
    <row r="392" spans="2:28">
      <c r="B392" s="248"/>
      <c r="C392" s="248" t="s">
        <v>858</v>
      </c>
      <c r="D392" s="248" t="s">
        <v>860</v>
      </c>
    </row>
  </sheetData>
  <pageMargins left="0.17" right="0.17" top="0.5" bottom="0.5" header="0.5" footer="0.5"/>
  <pageSetup scale="38" fitToHeight="0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  <pageSetUpPr fitToPage="1"/>
  </sheetPr>
  <dimension ref="A1:O86"/>
  <sheetViews>
    <sheetView topLeftCell="A55" workbookViewId="0">
      <selection activeCell="I78" sqref="I78"/>
    </sheetView>
  </sheetViews>
  <sheetFormatPr defaultRowHeight="12.75"/>
  <cols>
    <col min="3" max="4" width="10.85546875" customWidth="1"/>
    <col min="5" max="5" width="11.28515625" customWidth="1"/>
    <col min="6" max="6" width="10" customWidth="1"/>
    <col min="8" max="8" width="10.28515625" customWidth="1"/>
    <col min="9" max="9" width="10.42578125" customWidth="1"/>
    <col min="10" max="10" width="11.28515625" customWidth="1"/>
    <col min="11" max="11" width="11.140625" customWidth="1"/>
  </cols>
  <sheetData>
    <row r="1" spans="1:15">
      <c r="A1" t="s">
        <v>4</v>
      </c>
    </row>
    <row r="3" spans="1:15">
      <c r="A3" t="s">
        <v>861</v>
      </c>
      <c r="F3" s="459" t="s">
        <v>11</v>
      </c>
      <c r="G3" s="459" t="s">
        <v>12</v>
      </c>
    </row>
    <row r="5" spans="1:15">
      <c r="A5" s="458" t="s">
        <v>1416</v>
      </c>
    </row>
    <row r="7" spans="1:15">
      <c r="H7" s="462" t="s">
        <v>27</v>
      </c>
      <c r="I7" s="462" t="s">
        <v>862</v>
      </c>
      <c r="J7" s="459" t="s">
        <v>220</v>
      </c>
      <c r="K7" s="459" t="s">
        <v>221</v>
      </c>
    </row>
    <row r="8" spans="1:15" ht="13.5" thickBot="1">
      <c r="A8" t="s">
        <v>863</v>
      </c>
      <c r="C8" s="18" t="s">
        <v>27</v>
      </c>
      <c r="D8" s="18" t="s">
        <v>369</v>
      </c>
      <c r="E8" s="18" t="s">
        <v>377</v>
      </c>
      <c r="F8" s="18" t="s">
        <v>378</v>
      </c>
      <c r="H8" s="534" t="s">
        <v>369</v>
      </c>
      <c r="I8" s="18" t="s">
        <v>369</v>
      </c>
      <c r="J8" s="534" t="s">
        <v>16</v>
      </c>
      <c r="K8" s="534" t="s">
        <v>16</v>
      </c>
    </row>
    <row r="9" spans="1:15">
      <c r="E9" s="16"/>
      <c r="J9" s="16"/>
    </row>
    <row r="10" spans="1:15">
      <c r="A10" t="str">
        <f>+'Monthly Data-Hours &amp; Miles'!$C$24</f>
        <v>July</v>
      </c>
      <c r="C10" s="16">
        <f>+'Monthly Data-Hours &amp; Miles'!$C$32</f>
        <v>690.56</v>
      </c>
      <c r="D10" s="16">
        <f>+C10-E10-F10</f>
        <v>620.70999999999992</v>
      </c>
      <c r="E10" s="16">
        <f>+'Monthly Data-Hours &amp; Miles'!C$26</f>
        <v>51.2</v>
      </c>
      <c r="F10" s="16">
        <f>+'Monthly Data-Hours &amp; Miles'!C$27</f>
        <v>18.649999999999999</v>
      </c>
      <c r="H10" s="16">
        <f>D10</f>
        <v>620.70999999999992</v>
      </c>
      <c r="I10" s="16">
        <f t="shared" ref="I10:I21" si="0">+H10-J10-K10</f>
        <v>560.24999999999989</v>
      </c>
      <c r="J10" s="16">
        <f>+'Monthly Data-Hours &amp; Miles'!C$36</f>
        <v>18.5</v>
      </c>
      <c r="K10" s="16">
        <f>+'Monthly Data-Hours &amp; Miles'!C$35</f>
        <v>41.96</v>
      </c>
    </row>
    <row r="11" spans="1:15">
      <c r="A11" t="str">
        <f>+'Monthly Data-Hours &amp; Miles'!$D$24</f>
        <v>August</v>
      </c>
      <c r="C11" s="16">
        <f>+'Monthly Data-Hours &amp; Miles'!$D$32</f>
        <v>721.77</v>
      </c>
      <c r="D11" s="16">
        <f t="shared" ref="D11:D16" si="1">+C11-E11-F11</f>
        <v>638.68000000000006</v>
      </c>
      <c r="E11" s="16">
        <f>+'Monthly Data-Hours &amp; Miles'!D$26</f>
        <v>59.92</v>
      </c>
      <c r="F11" s="16">
        <f>+'Monthly Data-Hours &amp; Miles'!D$27</f>
        <v>23.17</v>
      </c>
      <c r="H11" s="16">
        <f t="shared" ref="H11:H16" si="2">D11</f>
        <v>638.68000000000006</v>
      </c>
      <c r="I11" s="16">
        <f t="shared" si="0"/>
        <v>571.68000000000006</v>
      </c>
      <c r="J11" s="16">
        <f>+'Monthly Data-Hours &amp; Miles'!D$36</f>
        <v>19.25</v>
      </c>
      <c r="K11" s="16">
        <f>+'Monthly Data-Hours &amp; Miles'!D$35</f>
        <v>47.75</v>
      </c>
    </row>
    <row r="12" spans="1:15">
      <c r="A12" t="str">
        <f>+'Monthly Data-Hours &amp; Miles'!$E$24</f>
        <v>September</v>
      </c>
      <c r="C12" s="16">
        <f>+'Monthly Data-Hours &amp; Miles'!$E$32</f>
        <v>621.5</v>
      </c>
      <c r="D12" s="16">
        <f t="shared" si="1"/>
        <v>544.56999999999994</v>
      </c>
      <c r="E12" s="16">
        <f>+'Monthly Data-Hours &amp; Miles'!E$26</f>
        <v>53.24</v>
      </c>
      <c r="F12" s="16">
        <f>+'Monthly Data-Hours &amp; Miles'!E$27</f>
        <v>23.69</v>
      </c>
      <c r="H12" s="16">
        <f t="shared" si="2"/>
        <v>544.56999999999994</v>
      </c>
      <c r="I12" s="16">
        <f t="shared" si="0"/>
        <v>488.31999999999994</v>
      </c>
      <c r="J12" s="16">
        <f>+'Monthly Data-Hours &amp; Miles'!E$36</f>
        <v>23.25</v>
      </c>
      <c r="K12" s="16">
        <f>+'Monthly Data-Hours &amp; Miles'!E$35</f>
        <v>33</v>
      </c>
    </row>
    <row r="13" spans="1:15">
      <c r="A13" t="str">
        <f>+'Monthly Data-Hours &amp; Miles'!$F$24</f>
        <v>October</v>
      </c>
      <c r="C13" s="16">
        <f>+'Monthly Data-Hours &amp; Miles'!$F$32</f>
        <v>643.26</v>
      </c>
      <c r="D13" s="16">
        <f t="shared" si="1"/>
        <v>558.02</v>
      </c>
      <c r="E13" s="16">
        <f>+'Monthly Data-Hours &amp; Miles'!F$26</f>
        <v>61.02</v>
      </c>
      <c r="F13" s="16">
        <f>+'Monthly Data-Hours &amp; Miles'!F$27</f>
        <v>24.22</v>
      </c>
      <c r="H13" s="16">
        <f t="shared" si="2"/>
        <v>558.02</v>
      </c>
      <c r="I13" s="16">
        <f t="shared" si="0"/>
        <v>508.52</v>
      </c>
      <c r="J13" s="16">
        <f>+'Monthly Data-Hours &amp; Miles'!F$36</f>
        <v>17.5</v>
      </c>
      <c r="K13" s="16">
        <f>+'Monthly Data-Hours &amp; Miles'!F$35</f>
        <v>32</v>
      </c>
      <c r="O13" s="10"/>
    </row>
    <row r="14" spans="1:15">
      <c r="A14" t="str">
        <f>+'Monthly Data-Hours &amp; Miles'!$G$24</f>
        <v>November</v>
      </c>
      <c r="C14" s="16">
        <f>+'Monthly Data-Hours &amp; Miles'!$G$32</f>
        <v>563.16</v>
      </c>
      <c r="D14" s="16">
        <f t="shared" si="1"/>
        <v>496.11999999999995</v>
      </c>
      <c r="E14" s="16">
        <f>+'Monthly Data-Hours &amp; Miles'!G$26</f>
        <v>47.36</v>
      </c>
      <c r="F14" s="16">
        <f>+'Monthly Data-Hours &amp; Miles'!G$27</f>
        <v>19.68</v>
      </c>
      <c r="H14" s="16">
        <f t="shared" si="2"/>
        <v>496.11999999999995</v>
      </c>
      <c r="I14" s="16">
        <f t="shared" si="0"/>
        <v>450.61999999999995</v>
      </c>
      <c r="J14" s="16">
        <f>+'Monthly Data-Hours &amp; Miles'!G$36</f>
        <v>15.75</v>
      </c>
      <c r="K14" s="16">
        <f>+'Monthly Data-Hours &amp; Miles'!G$35</f>
        <v>29.75</v>
      </c>
      <c r="O14" s="10"/>
    </row>
    <row r="15" spans="1:15">
      <c r="A15" t="str">
        <f>+'Monthly Data-Hours &amp; Miles'!$H$24</f>
        <v>December</v>
      </c>
      <c r="C15" s="16">
        <f>+'Monthly Data-Hours &amp; Miles'!$H$32</f>
        <v>483.49</v>
      </c>
      <c r="D15" s="16">
        <f t="shared" si="1"/>
        <v>411.96000000000004</v>
      </c>
      <c r="E15" s="16">
        <f>+'Monthly Data-Hours &amp; Miles'!H$26</f>
        <v>50.95</v>
      </c>
      <c r="F15" s="16">
        <f>+'Monthly Data-Hours &amp; Miles'!H$27</f>
        <v>20.58</v>
      </c>
      <c r="H15" s="16">
        <f t="shared" si="2"/>
        <v>411.96000000000004</v>
      </c>
      <c r="I15" s="16">
        <f t="shared" si="0"/>
        <v>363.46000000000004</v>
      </c>
      <c r="J15" s="16">
        <f>+'Monthly Data-Hours &amp; Miles'!H$36</f>
        <v>19.5</v>
      </c>
      <c r="K15" s="16">
        <f>+'Monthly Data-Hours &amp; Miles'!H$35</f>
        <v>29</v>
      </c>
    </row>
    <row r="16" spans="1:15">
      <c r="A16" t="str">
        <f>+'Monthly Data-Hours &amp; Miles'!$I$24</f>
        <v>January</v>
      </c>
      <c r="C16" s="16">
        <f>+'Monthly Data-Hours &amp; Miles'!$I$32</f>
        <v>563.66999999999996</v>
      </c>
      <c r="D16" s="16">
        <f t="shared" si="1"/>
        <v>487.39</v>
      </c>
      <c r="E16" s="16">
        <f>+'Monthly Data-Hours &amp; Miles'!I$26</f>
        <v>54.2</v>
      </c>
      <c r="F16" s="16">
        <f>+'Monthly Data-Hours &amp; Miles'!I$27</f>
        <v>22.08</v>
      </c>
      <c r="H16" s="16">
        <f t="shared" si="2"/>
        <v>487.39</v>
      </c>
      <c r="I16" s="16">
        <f t="shared" si="0"/>
        <v>431.64</v>
      </c>
      <c r="J16" s="16">
        <f>+'Monthly Data-Hours &amp; Miles'!I$36</f>
        <v>15.5</v>
      </c>
      <c r="K16" s="16">
        <f>+'Monthly Data-Hours &amp; Miles'!I$35</f>
        <v>40.25</v>
      </c>
    </row>
    <row r="17" spans="1:11">
      <c r="A17" t="str">
        <f>+'Monthly Data-Hours &amp; Miles'!$J$24</f>
        <v>February</v>
      </c>
      <c r="C17" s="16">
        <f>+'Monthly Data-Hours &amp; Miles'!$J$32</f>
        <v>497.5</v>
      </c>
      <c r="D17" s="16">
        <f>+C17-E17-F17</f>
        <v>432.11</v>
      </c>
      <c r="E17" s="16">
        <f>+'Monthly Data-Hours &amp; Miles'!J$26</f>
        <v>46.87</v>
      </c>
      <c r="F17" s="16">
        <f>+'Monthly Data-Hours &amp; Miles'!J$27</f>
        <v>18.52</v>
      </c>
      <c r="H17" s="16">
        <f>D17</f>
        <v>432.11</v>
      </c>
      <c r="I17" s="16">
        <f t="shared" si="0"/>
        <v>386.36</v>
      </c>
      <c r="J17" s="16">
        <f>+'Monthly Data-Hours &amp; Miles'!J$36</f>
        <v>12</v>
      </c>
      <c r="K17" s="16">
        <f>+'Monthly Data-Hours &amp; Miles'!J$35</f>
        <v>33.75</v>
      </c>
    </row>
    <row r="18" spans="1:11">
      <c r="A18" t="str">
        <f>+'Monthly Data-Hours &amp; Miles'!$K$24</f>
        <v>March</v>
      </c>
      <c r="C18" s="16">
        <f>+'Monthly Data-Hours &amp; Miles'!$K$32</f>
        <v>504.73999999999995</v>
      </c>
      <c r="D18" s="16">
        <f>+C18-E18-F18</f>
        <v>433.33</v>
      </c>
      <c r="E18" s="16">
        <f>+'Monthly Data-Hours &amp; Miles'!K$26</f>
        <v>51.97</v>
      </c>
      <c r="F18" s="16">
        <f>+'Monthly Data-Hours &amp; Miles'!K$27</f>
        <v>19.440000000000001</v>
      </c>
      <c r="H18" s="16">
        <f>D18</f>
        <v>433.33</v>
      </c>
      <c r="I18" s="16">
        <f t="shared" si="0"/>
        <v>383.08</v>
      </c>
      <c r="J18" s="16">
        <f>+'Monthly Data-Hours &amp; Miles'!K$36</f>
        <v>18.25</v>
      </c>
      <c r="K18" s="16">
        <f>+'Monthly Data-Hours &amp; Miles'!K$35</f>
        <v>32</v>
      </c>
    </row>
    <row r="19" spans="1:11">
      <c r="A19" t="str">
        <f>+'Monthly Data-Hours &amp; Miles'!$L$24</f>
        <v>April</v>
      </c>
      <c r="C19" s="16">
        <f>+'Monthly Data-Hours &amp; Miles'!$L$32</f>
        <v>573.09</v>
      </c>
      <c r="D19" s="16">
        <f>+C19-E19-F19</f>
        <v>489.27000000000004</v>
      </c>
      <c r="E19" s="16">
        <f>+'Monthly Data-Hours &amp; Miles'!L$26</f>
        <v>63.16</v>
      </c>
      <c r="F19" s="16">
        <f>+'Monthly Data-Hours &amp; Miles'!L$27</f>
        <v>20.66</v>
      </c>
      <c r="H19" s="16">
        <f>D19</f>
        <v>489.27000000000004</v>
      </c>
      <c r="I19" s="16">
        <f t="shared" si="0"/>
        <v>441.27000000000004</v>
      </c>
      <c r="J19" s="16">
        <f>+'Monthly Data-Hours &amp; Miles'!L$36</f>
        <v>17</v>
      </c>
      <c r="K19" s="16">
        <f>+'Monthly Data-Hours &amp; Miles'!L$35</f>
        <v>31</v>
      </c>
    </row>
    <row r="20" spans="1:11">
      <c r="A20" t="str">
        <f>+'Monthly Data-Hours &amp; Miles'!$M$24</f>
        <v>May</v>
      </c>
      <c r="C20" s="16">
        <f>+'Monthly Data-Hours &amp; Miles'!$M$32</f>
        <v>632.5</v>
      </c>
      <c r="D20" s="16">
        <f>+C20-E20-F20</f>
        <v>553.73</v>
      </c>
      <c r="E20" s="16">
        <f>+'Monthly Data-Hours &amp; Miles'!M$26</f>
        <v>59.59</v>
      </c>
      <c r="F20" s="16">
        <f>+'Monthly Data-Hours &amp; Miles'!M$27</f>
        <v>19.18</v>
      </c>
      <c r="H20" s="16">
        <f>D20</f>
        <v>553.73</v>
      </c>
      <c r="I20" s="16">
        <f t="shared" si="0"/>
        <v>501.23</v>
      </c>
      <c r="J20" s="16">
        <f>+'Monthly Data-Hours &amp; Miles'!M$36</f>
        <v>22</v>
      </c>
      <c r="K20" s="16">
        <f>+'Monthly Data-Hours &amp; Miles'!M$35</f>
        <v>30.5</v>
      </c>
    </row>
    <row r="21" spans="1:11">
      <c r="A21" t="str">
        <f>+'Monthly Data-Hours &amp; Miles'!$N$24</f>
        <v>June</v>
      </c>
      <c r="C21" s="17">
        <f>+'Monthly Data-Hours &amp; Miles'!$N$32</f>
        <v>587.5</v>
      </c>
      <c r="D21" s="17">
        <f>+C21-E21-F21</f>
        <v>515.13</v>
      </c>
      <c r="E21" s="17">
        <f>+'Monthly Data-Hours &amp; Miles'!N$26</f>
        <v>53.84</v>
      </c>
      <c r="F21" s="17">
        <f>+'Monthly Data-Hours &amp; Miles'!N$27</f>
        <v>18.53</v>
      </c>
      <c r="H21" s="17">
        <f>D21</f>
        <v>515.13</v>
      </c>
      <c r="I21" s="17">
        <f t="shared" si="0"/>
        <v>469.88</v>
      </c>
      <c r="J21" s="17">
        <f>+'Monthly Data-Hours &amp; Miles'!N$36</f>
        <v>17.25</v>
      </c>
      <c r="K21" s="17">
        <f>+'Monthly Data-Hours &amp; Miles'!N$35</f>
        <v>28</v>
      </c>
    </row>
    <row r="23" spans="1:11" ht="13.5" thickBot="1">
      <c r="B23" t="s">
        <v>112</v>
      </c>
      <c r="C23" s="19">
        <f>SUM(C10:C21)</f>
        <v>7082.74</v>
      </c>
      <c r="D23" s="19">
        <f>SUM(D10:D21)</f>
        <v>6181.0199999999995</v>
      </c>
      <c r="E23" s="19">
        <f>SUM(E10:E21)</f>
        <v>653.32000000000005</v>
      </c>
      <c r="F23" s="19">
        <f>SUM(F10:F21)</f>
        <v>248.4</v>
      </c>
      <c r="H23" s="19">
        <f>SUM(H10:H21)</f>
        <v>6181.0199999999995</v>
      </c>
      <c r="I23" s="19">
        <f>SUM(I10:I21)</f>
        <v>5556.31</v>
      </c>
      <c r="J23" s="19">
        <f>SUM(J10:J21)</f>
        <v>215.75</v>
      </c>
      <c r="K23" s="19">
        <f>SUM(K10:K21)</f>
        <v>408.96000000000004</v>
      </c>
    </row>
    <row r="24" spans="1:11" ht="13.5" thickTop="1"/>
    <row r="25" spans="1:11" ht="13.5" thickBot="1">
      <c r="B25" t="s">
        <v>392</v>
      </c>
      <c r="C25" s="13">
        <f>SUM(D25:F25)</f>
        <v>1</v>
      </c>
      <c r="D25" s="13">
        <f>+D23/C23</f>
        <v>0.87268768866286206</v>
      </c>
      <c r="E25" s="13">
        <f>+E23/C23</f>
        <v>9.2241138316527235E-2</v>
      </c>
      <c r="F25" s="13">
        <f>+F23/C23</f>
        <v>3.507117302061067E-2</v>
      </c>
      <c r="H25" s="13">
        <f>SUM(I25:K25)</f>
        <v>1.0000000000000002</v>
      </c>
      <c r="I25" s="13">
        <f>+I23/H23</f>
        <v>0.89893092078653702</v>
      </c>
      <c r="J25" s="13">
        <f>+J23/H23</f>
        <v>3.4905242176857545E-2</v>
      </c>
      <c r="K25" s="13">
        <f>+K23/H23</f>
        <v>6.6163837036605624E-2</v>
      </c>
    </row>
    <row r="26" spans="1:11" ht="13.5" thickTop="1"/>
    <row r="29" spans="1:11">
      <c r="H29" s="462" t="s">
        <v>27</v>
      </c>
      <c r="I29" s="462" t="s">
        <v>862</v>
      </c>
      <c r="J29" s="459" t="s">
        <v>220</v>
      </c>
      <c r="K29" s="459" t="s">
        <v>221</v>
      </c>
    </row>
    <row r="30" spans="1:11" ht="13.5" thickBot="1">
      <c r="A30" t="s">
        <v>864</v>
      </c>
      <c r="C30" s="18" t="s">
        <v>27</v>
      </c>
      <c r="D30" s="18" t="s">
        <v>369</v>
      </c>
      <c r="E30" s="18" t="s">
        <v>377</v>
      </c>
      <c r="F30" s="18" t="s">
        <v>378</v>
      </c>
      <c r="H30" s="534" t="s">
        <v>369</v>
      </c>
      <c r="I30" s="18" t="s">
        <v>369</v>
      </c>
      <c r="J30" s="534" t="s">
        <v>16</v>
      </c>
      <c r="K30" s="534" t="s">
        <v>16</v>
      </c>
    </row>
    <row r="31" spans="1:11">
      <c r="E31" s="16"/>
      <c r="J31" s="16"/>
    </row>
    <row r="32" spans="1:11">
      <c r="A32" t="str">
        <f>+'Monthly Data-Hours &amp; Miles'!$C$24</f>
        <v>July</v>
      </c>
      <c r="C32" s="16">
        <f>+'Monthly Data-Hours &amp; Miles'!$C$67</f>
        <v>1089.54</v>
      </c>
      <c r="D32" s="16">
        <f>+C32-E32-F32</f>
        <v>992.09</v>
      </c>
      <c r="E32" s="16">
        <f>+'Monthly Data-Hours &amp; Miles'!$C$61</f>
        <v>69.650000000000006</v>
      </c>
      <c r="F32" s="16">
        <f>+'Monthly Data-Hours &amp; Miles'!$C$62</f>
        <v>27.8</v>
      </c>
      <c r="H32" s="16">
        <f>D32</f>
        <v>992.09</v>
      </c>
      <c r="I32" s="16">
        <f>+H32-J32-K32</f>
        <v>889.67000000000007</v>
      </c>
      <c r="J32" s="16">
        <f>+'Monthly Data-Hours &amp; Miles'!$C$71</f>
        <v>18.5</v>
      </c>
      <c r="K32" s="16">
        <f>+'Monthly Data-Hours &amp; Miles'!$C$70</f>
        <v>83.92</v>
      </c>
    </row>
    <row r="33" spans="1:11">
      <c r="A33" t="str">
        <f>+'Monthly Data-Hours &amp; Miles'!$D$24</f>
        <v>August</v>
      </c>
      <c r="C33" s="16">
        <f>+'Monthly Data-Hours &amp; Miles'!$D$67</f>
        <v>1207.54</v>
      </c>
      <c r="D33" s="16">
        <f t="shared" ref="D33:D38" si="3">+C33-E33-F33</f>
        <v>1081.8599999999999</v>
      </c>
      <c r="E33" s="16">
        <f>+'Monthly Data-Hours &amp; Miles'!$D$61</f>
        <v>89.92</v>
      </c>
      <c r="F33" s="16">
        <f>+'Monthly Data-Hours &amp; Miles'!$D$62</f>
        <v>35.76</v>
      </c>
      <c r="H33" s="16">
        <f t="shared" ref="H33:H38" si="4">D33</f>
        <v>1081.8599999999999</v>
      </c>
      <c r="I33" s="16">
        <f t="shared" ref="I33:I38" si="5">+H33-J33-K33</f>
        <v>967.1099999999999</v>
      </c>
      <c r="J33" s="16">
        <f>+'Monthly Data-Hours &amp; Miles'!$D$71</f>
        <v>19.25</v>
      </c>
      <c r="K33" s="16">
        <f>+'Monthly Data-Hours &amp; Miles'!$D$70</f>
        <v>95.5</v>
      </c>
    </row>
    <row r="34" spans="1:11">
      <c r="A34" t="str">
        <f>+'Monthly Data-Hours &amp; Miles'!$E$24</f>
        <v>September</v>
      </c>
      <c r="C34" s="16">
        <f>+'Monthly Data-Hours &amp; Miles'!$E$67</f>
        <v>996.75</v>
      </c>
      <c r="D34" s="16">
        <f t="shared" si="3"/>
        <v>874.89</v>
      </c>
      <c r="E34" s="16">
        <f>+'Monthly Data-Hours &amp; Miles'!$E$61</f>
        <v>83.98</v>
      </c>
      <c r="F34" s="16">
        <f>+'Monthly Data-Hours &amp; Miles'!$E$62</f>
        <v>37.880000000000003</v>
      </c>
      <c r="H34" s="16">
        <f t="shared" si="4"/>
        <v>874.89</v>
      </c>
      <c r="I34" s="16">
        <f t="shared" si="5"/>
        <v>785.64</v>
      </c>
      <c r="J34" s="16">
        <f>+'Monthly Data-Hours &amp; Miles'!$E$71</f>
        <v>23.25</v>
      </c>
      <c r="K34" s="16">
        <f>+'Monthly Data-Hours &amp; Miles'!$E$70</f>
        <v>66</v>
      </c>
    </row>
    <row r="35" spans="1:11">
      <c r="A35" t="str">
        <f>+'Monthly Data-Hours &amp; Miles'!$F$24</f>
        <v>October</v>
      </c>
      <c r="C35" s="16">
        <f>+'Monthly Data-Hours &amp; Miles'!$F$67</f>
        <v>990.5200000000001</v>
      </c>
      <c r="D35" s="16">
        <f t="shared" si="3"/>
        <v>856.79000000000008</v>
      </c>
      <c r="E35" s="16">
        <f>+'Monthly Data-Hours &amp; Miles'!$F$61</f>
        <v>94.64</v>
      </c>
      <c r="F35" s="16">
        <f>+'Monthly Data-Hours &amp; Miles'!$F$62</f>
        <v>39.090000000000003</v>
      </c>
      <c r="H35" s="16">
        <f t="shared" si="4"/>
        <v>856.79000000000008</v>
      </c>
      <c r="I35" s="16">
        <f t="shared" si="5"/>
        <v>775.29000000000008</v>
      </c>
      <c r="J35" s="16">
        <f>+'Monthly Data-Hours &amp; Miles'!$F$71</f>
        <v>17.5</v>
      </c>
      <c r="K35" s="16">
        <f>+'Monthly Data-Hours &amp; Miles'!$F$70</f>
        <v>64</v>
      </c>
    </row>
    <row r="36" spans="1:11">
      <c r="A36" t="str">
        <f>+'Monthly Data-Hours &amp; Miles'!$G$24</f>
        <v>November</v>
      </c>
      <c r="C36" s="16">
        <f>+'Monthly Data-Hours &amp; Miles'!$G$67</f>
        <v>791.91000000000008</v>
      </c>
      <c r="D36" s="16">
        <f t="shared" si="3"/>
        <v>699.83</v>
      </c>
      <c r="E36" s="16">
        <f>+'Monthly Data-Hours &amp; Miles'!$G$61</f>
        <v>64.48</v>
      </c>
      <c r="F36" s="16">
        <f>+'Monthly Data-Hours &amp; Miles'!$G$62</f>
        <v>27.6</v>
      </c>
      <c r="H36" s="16">
        <f t="shared" si="4"/>
        <v>699.83</v>
      </c>
      <c r="I36" s="16">
        <f t="shared" si="5"/>
        <v>646.58000000000004</v>
      </c>
      <c r="J36" s="16">
        <f>+'Monthly Data-Hours &amp; Miles'!$G$71</f>
        <v>15.75</v>
      </c>
      <c r="K36" s="16">
        <f>+'Monthly Data-Hours &amp; Miles'!$G$70</f>
        <v>37.5</v>
      </c>
    </row>
    <row r="37" spans="1:11">
      <c r="A37" t="str">
        <f>+'Monthly Data-Hours &amp; Miles'!$H$24</f>
        <v>December</v>
      </c>
      <c r="C37" s="16">
        <f>+'Monthly Data-Hours &amp; Miles'!$H$67</f>
        <v>701.74</v>
      </c>
      <c r="D37" s="16">
        <f t="shared" si="3"/>
        <v>609.74</v>
      </c>
      <c r="E37" s="16">
        <f>+'Monthly Data-Hours &amp; Miles'!$H$61</f>
        <v>65.31</v>
      </c>
      <c r="F37" s="16">
        <f>+'Monthly Data-Hours &amp; Miles'!$H$62</f>
        <v>26.69</v>
      </c>
      <c r="H37" s="16">
        <f t="shared" si="4"/>
        <v>609.74</v>
      </c>
      <c r="I37" s="16">
        <f t="shared" si="5"/>
        <v>547.24</v>
      </c>
      <c r="J37" s="16">
        <f>+'Monthly Data-Hours &amp; Miles'!$H$71</f>
        <v>19.5</v>
      </c>
      <c r="K37" s="16">
        <f>+'Monthly Data-Hours &amp; Miles'!$H$70</f>
        <v>43</v>
      </c>
    </row>
    <row r="38" spans="1:11">
      <c r="A38" t="str">
        <f>+'Monthly Data-Hours &amp; Miles'!$I$24</f>
        <v>January</v>
      </c>
      <c r="C38" s="16">
        <f>+'Monthly Data-Hours &amp; Miles'!$I$67</f>
        <v>856.08999999999992</v>
      </c>
      <c r="D38" s="16">
        <f t="shared" si="3"/>
        <v>743.77999999999986</v>
      </c>
      <c r="E38" s="16">
        <f>+'Monthly Data-Hours &amp; Miles'!$I$61</f>
        <v>78.98</v>
      </c>
      <c r="F38" s="16">
        <f>+'Monthly Data-Hours &amp; Miles'!$I$62</f>
        <v>33.33</v>
      </c>
      <c r="H38" s="16">
        <f t="shared" si="4"/>
        <v>743.77999999999986</v>
      </c>
      <c r="I38" s="16">
        <f t="shared" si="5"/>
        <v>665.77999999999986</v>
      </c>
      <c r="J38" s="16">
        <f>+'Monthly Data-Hours &amp; Miles'!$I$71</f>
        <v>15.5</v>
      </c>
      <c r="K38" s="16">
        <f>+'Monthly Data-Hours &amp; Miles'!$I$70</f>
        <v>62.5</v>
      </c>
    </row>
    <row r="39" spans="1:11">
      <c r="A39" t="str">
        <f>+'Monthly Data-Hours &amp; Miles'!$J$24</f>
        <v>February</v>
      </c>
      <c r="C39" s="16">
        <f>+'Monthly Data-Hours &amp; Miles'!$J$67</f>
        <v>694.75</v>
      </c>
      <c r="D39" s="16">
        <f>+C39-E39-F39</f>
        <v>608.97</v>
      </c>
      <c r="E39" s="16">
        <f>+'Monthly Data-Hours &amp; Miles'!$J$61</f>
        <v>62.1</v>
      </c>
      <c r="F39" s="16">
        <f>+'Monthly Data-Hours &amp; Miles'!$J$62</f>
        <v>23.68</v>
      </c>
      <c r="H39" s="16">
        <f>D39</f>
        <v>608.97</v>
      </c>
      <c r="I39" s="16">
        <f>+H39-J39-K39</f>
        <v>563.22</v>
      </c>
      <c r="J39" s="16">
        <f>+'Monthly Data-Hours &amp; Miles'!$J$71</f>
        <v>12</v>
      </c>
      <c r="K39" s="16">
        <f>+'Monthly Data-Hours &amp; Miles'!$J$70</f>
        <v>33.75</v>
      </c>
    </row>
    <row r="40" spans="1:11">
      <c r="A40" t="str">
        <f>+'Monthly Data-Hours &amp; Miles'!$K$24</f>
        <v>March</v>
      </c>
      <c r="C40" s="16">
        <f>+'Monthly Data-Hours &amp; Miles'!$K$67</f>
        <v>697.25</v>
      </c>
      <c r="D40" s="16">
        <f>+C40-E40-F40</f>
        <v>603.94999999999993</v>
      </c>
      <c r="E40" s="16">
        <f>+'Monthly Data-Hours &amp; Miles'!$K$61</f>
        <v>67.709999999999994</v>
      </c>
      <c r="F40" s="16">
        <f>+'Monthly Data-Hours &amp; Miles'!$K$62</f>
        <v>25.59</v>
      </c>
      <c r="H40" s="16">
        <f>D40</f>
        <v>603.94999999999993</v>
      </c>
      <c r="I40" s="16">
        <f>+H40-J40-K40</f>
        <v>550.19999999999993</v>
      </c>
      <c r="J40" s="16">
        <f>+'Monthly Data-Hours &amp; Miles'!$K$71</f>
        <v>18.25</v>
      </c>
      <c r="K40" s="16">
        <f>+'Monthly Data-Hours &amp; Miles'!$K$70</f>
        <v>35.5</v>
      </c>
    </row>
    <row r="41" spans="1:11">
      <c r="A41" t="str">
        <f>+'Monthly Data-Hours &amp; Miles'!$L$24</f>
        <v>April</v>
      </c>
      <c r="C41" s="16">
        <f>+'Monthly Data-Hours &amp; Miles'!$L$67</f>
        <v>798.87000000000012</v>
      </c>
      <c r="D41" s="16">
        <f>+C41-E41-F41</f>
        <v>684.54000000000008</v>
      </c>
      <c r="E41" s="16">
        <f>+'Monthly Data-Hours &amp; Miles'!$L$61</f>
        <v>86.36</v>
      </c>
      <c r="F41" s="16">
        <f>+'Monthly Data-Hours &amp; Miles'!$L$62</f>
        <v>27.97</v>
      </c>
      <c r="H41" s="16">
        <f>D41</f>
        <v>684.54000000000008</v>
      </c>
      <c r="I41" s="16">
        <f>+H41-J41-K41</f>
        <v>636.54000000000008</v>
      </c>
      <c r="J41" s="16">
        <f>+'Monthly Data-Hours &amp; Miles'!$L$71</f>
        <v>17</v>
      </c>
      <c r="K41" s="16">
        <f>+'Monthly Data-Hours &amp; Miles'!$L$70</f>
        <v>31</v>
      </c>
    </row>
    <row r="42" spans="1:11">
      <c r="A42" t="str">
        <f>+'Monthly Data-Hours &amp; Miles'!$M$24</f>
        <v>May</v>
      </c>
      <c r="C42" s="16">
        <f>+'Monthly Data-Hours &amp; Miles'!$M$67</f>
        <v>881.5</v>
      </c>
      <c r="D42" s="16">
        <f>+C42-E42-F42</f>
        <v>776.05000000000007</v>
      </c>
      <c r="E42" s="16">
        <f>+'Monthly Data-Hours &amp; Miles'!$M$61</f>
        <v>79.900000000000006</v>
      </c>
      <c r="F42" s="16">
        <f>+'Monthly Data-Hours &amp; Miles'!$M$62</f>
        <v>25.55</v>
      </c>
      <c r="H42" s="16">
        <f>D42</f>
        <v>776.05000000000007</v>
      </c>
      <c r="I42" s="16">
        <f>+H42-J42-K42</f>
        <v>723.55000000000007</v>
      </c>
      <c r="J42" s="16">
        <f>+'Monthly Data-Hours &amp; Miles'!$M$71</f>
        <v>22</v>
      </c>
      <c r="K42" s="16">
        <f>+'Monthly Data-Hours &amp; Miles'!$M$70</f>
        <v>30.5</v>
      </c>
    </row>
    <row r="43" spans="1:11">
      <c r="A43" t="str">
        <f>+'Monthly Data-Hours &amp; Miles'!$N$24</f>
        <v>June</v>
      </c>
      <c r="C43" s="17">
        <f>+'Monthly Data-Hours &amp; Miles'!$N$67</f>
        <v>798.3</v>
      </c>
      <c r="D43" s="17">
        <f>+C43-E43-F43</f>
        <v>700.76999999999987</v>
      </c>
      <c r="E43" s="17">
        <f>+'Monthly Data-Hours &amp; Miles'!$N$61</f>
        <v>72.459999999999994</v>
      </c>
      <c r="F43" s="17">
        <f>+'Monthly Data-Hours &amp; Miles'!$N$62</f>
        <v>25.07</v>
      </c>
      <c r="H43" s="17">
        <f>D43</f>
        <v>700.76999999999987</v>
      </c>
      <c r="I43" s="17">
        <f>+H43-J43-K43</f>
        <v>655.51999999999987</v>
      </c>
      <c r="J43" s="17">
        <f>+'Monthly Data-Hours &amp; Miles'!$N$71</f>
        <v>17.25</v>
      </c>
      <c r="K43" s="17">
        <f>+'Monthly Data-Hours &amp; Miles'!$N$70</f>
        <v>28</v>
      </c>
    </row>
    <row r="45" spans="1:11" ht="13.5" thickBot="1">
      <c r="B45" t="s">
        <v>112</v>
      </c>
      <c r="C45" s="19">
        <f>SUM(C32:C43)</f>
        <v>10504.76</v>
      </c>
      <c r="D45" s="19">
        <f>SUM(D32:D43)</f>
        <v>9233.26</v>
      </c>
      <c r="E45" s="19">
        <f>SUM(E32:E43)</f>
        <v>915.49000000000012</v>
      </c>
      <c r="F45" s="19">
        <f>SUM(F32:F43)</f>
        <v>356.01</v>
      </c>
      <c r="H45" s="19">
        <f>SUM(H32:H43)</f>
        <v>9233.26</v>
      </c>
      <c r="I45" s="19">
        <f>SUM(I32:I43)</f>
        <v>8406.34</v>
      </c>
      <c r="J45" s="19">
        <f>SUM(J32:J43)</f>
        <v>215.75</v>
      </c>
      <c r="K45" s="19">
        <f>SUM(K32:K43)</f>
        <v>611.17000000000007</v>
      </c>
    </row>
    <row r="46" spans="1:11" ht="13.5" thickTop="1"/>
    <row r="47" spans="1:11" ht="13.5" thickBot="1">
      <c r="B47" t="s">
        <v>392</v>
      </c>
      <c r="C47" s="13">
        <f>SUM(D47:F47)</f>
        <v>1</v>
      </c>
      <c r="D47" s="13">
        <f>+D45/C45</f>
        <v>0.87895963353755824</v>
      </c>
      <c r="E47" s="13">
        <f>+E45/C45</f>
        <v>8.7150015802360078E-2</v>
      </c>
      <c r="F47" s="13">
        <f>+F45/C45</f>
        <v>3.3890350660081711E-2</v>
      </c>
      <c r="H47" s="13">
        <f>SUM(I47:K47)</f>
        <v>1</v>
      </c>
      <c r="I47" s="13">
        <f>+I45/H45</f>
        <v>0.91044116595871882</v>
      </c>
      <c r="J47" s="13">
        <f>+J45/H45</f>
        <v>2.3366611575976415E-2</v>
      </c>
      <c r="K47" s="13">
        <f>+K45/H45</f>
        <v>6.619222246530479E-2</v>
      </c>
    </row>
    <row r="48" spans="1:11" ht="13.5" thickTop="1">
      <c r="C48" s="10"/>
      <c r="D48" s="10"/>
      <c r="E48" s="10"/>
      <c r="F48" s="10"/>
      <c r="H48" s="10"/>
      <c r="I48" s="10"/>
      <c r="J48" s="10"/>
      <c r="K48" s="531"/>
    </row>
    <row r="49" spans="1:12">
      <c r="K49" s="459"/>
    </row>
    <row r="50" spans="1:12">
      <c r="A50" s="459" t="s">
        <v>865</v>
      </c>
      <c r="I50" s="72">
        <f>I45/(I45+J45)</f>
        <v>0.97497706472560597</v>
      </c>
      <c r="J50" s="545">
        <f>J45/(I45+J45)</f>
        <v>2.5022935274394028E-2</v>
      </c>
      <c r="K50" s="72">
        <v>0</v>
      </c>
      <c r="L50" s="459" t="s">
        <v>866</v>
      </c>
    </row>
    <row r="51" spans="1:12">
      <c r="A51" s="459" t="s">
        <v>867</v>
      </c>
      <c r="I51" s="72">
        <f>I45/(I45+K45)</f>
        <v>0.93222408403206647</v>
      </c>
      <c r="J51" s="545">
        <v>0</v>
      </c>
      <c r="K51" s="72">
        <f>K45/(I45+K45)</f>
        <v>6.7775915967933503E-2</v>
      </c>
      <c r="L51" s="459" t="s">
        <v>868</v>
      </c>
    </row>
    <row r="53" spans="1:12">
      <c r="H53" s="462" t="s">
        <v>27</v>
      </c>
      <c r="I53" s="462" t="s">
        <v>862</v>
      </c>
      <c r="J53" s="459" t="s">
        <v>220</v>
      </c>
      <c r="K53" s="459" t="s">
        <v>221</v>
      </c>
    </row>
    <row r="54" spans="1:12" ht="13.5" thickBot="1">
      <c r="A54" t="s">
        <v>869</v>
      </c>
      <c r="C54" s="18" t="s">
        <v>27</v>
      </c>
      <c r="D54" s="18" t="s">
        <v>369</v>
      </c>
      <c r="E54" s="18" t="s">
        <v>377</v>
      </c>
      <c r="F54" s="18" t="s">
        <v>378</v>
      </c>
      <c r="H54" s="534" t="s">
        <v>369</v>
      </c>
      <c r="I54" s="18" t="s">
        <v>369</v>
      </c>
      <c r="J54" s="534" t="s">
        <v>16</v>
      </c>
      <c r="K54" s="534" t="s">
        <v>16</v>
      </c>
    </row>
    <row r="55" spans="1:12">
      <c r="E55" s="16"/>
      <c r="J55" s="16"/>
    </row>
    <row r="56" spans="1:12">
      <c r="A56" t="str">
        <f>+'Monthly Data-Hours &amp; Miles'!$C$24</f>
        <v>July</v>
      </c>
      <c r="C56" s="16">
        <f>+'Monthly Data-Hours &amp; Miles'!$C$49</f>
        <v>7691</v>
      </c>
      <c r="D56" s="16">
        <f>+C56-E56-F56</f>
        <v>6913</v>
      </c>
      <c r="E56" s="16">
        <f>+'Monthly Data-Hours &amp; Miles'!$C$43</f>
        <v>503</v>
      </c>
      <c r="F56" s="16">
        <f>+'Monthly Data-Hours &amp; Miles'!$C$44</f>
        <v>275</v>
      </c>
      <c r="H56" s="16">
        <f>D56</f>
        <v>6913</v>
      </c>
      <c r="I56" s="16">
        <f>+H56-J56-K56</f>
        <v>6159</v>
      </c>
      <c r="J56" s="16">
        <f>+'Monthly Data-Hours &amp; Miles'!$C$53</f>
        <v>189</v>
      </c>
      <c r="K56" s="16">
        <f>+'Monthly Data-Hours &amp; Miles'!$C$52</f>
        <v>565</v>
      </c>
    </row>
    <row r="57" spans="1:12">
      <c r="A57" t="str">
        <f>+'Monthly Data-Hours &amp; Miles'!$D$24</f>
        <v>August</v>
      </c>
      <c r="C57" s="16">
        <f>+'Monthly Data-Hours &amp; Miles'!$D$49</f>
        <v>8326</v>
      </c>
      <c r="D57" s="16">
        <f t="shared" ref="D57:D67" si="6">+C57-E57-F57</f>
        <v>7300</v>
      </c>
      <c r="E57" s="16">
        <f>+'Monthly Data-Hours &amp; Miles'!$D$43</f>
        <v>696</v>
      </c>
      <c r="F57" s="16">
        <f>+'Monthly Data-Hours &amp; Miles'!$D$44</f>
        <v>330</v>
      </c>
      <c r="H57" s="16">
        <f t="shared" ref="H57:H67" si="7">D57</f>
        <v>7300</v>
      </c>
      <c r="I57" s="16">
        <f t="shared" ref="I57:I67" si="8">+H57-J57-K57</f>
        <v>6493</v>
      </c>
      <c r="J57" s="16">
        <f>+'Monthly Data-Hours &amp; Miles'!$D$53</f>
        <v>195</v>
      </c>
      <c r="K57" s="16">
        <f>+'Monthly Data-Hours &amp; Miles'!$D$52</f>
        <v>612</v>
      </c>
    </row>
    <row r="58" spans="1:12">
      <c r="A58" t="str">
        <f>+'Monthly Data-Hours &amp; Miles'!$E$24</f>
        <v>September</v>
      </c>
      <c r="C58" s="16">
        <f>+'Monthly Data-Hours &amp; Miles'!$E$49</f>
        <v>7178</v>
      </c>
      <c r="D58" s="16">
        <f t="shared" si="6"/>
        <v>6273</v>
      </c>
      <c r="E58" s="16">
        <f>+'Monthly Data-Hours &amp; Miles'!$E$43</f>
        <v>583</v>
      </c>
      <c r="F58" s="16">
        <f>+'Monthly Data-Hours &amp; Miles'!$E$44</f>
        <v>322</v>
      </c>
      <c r="H58" s="16">
        <f t="shared" si="7"/>
        <v>6273</v>
      </c>
      <c r="I58" s="16">
        <f t="shared" si="8"/>
        <v>5500</v>
      </c>
      <c r="J58" s="16">
        <f>+'Monthly Data-Hours &amp; Miles'!$E$53</f>
        <v>290</v>
      </c>
      <c r="K58" s="16">
        <f>+'Monthly Data-Hours &amp; Miles'!$E$52</f>
        <v>483</v>
      </c>
    </row>
    <row r="59" spans="1:12">
      <c r="A59" t="str">
        <f>+'Monthly Data-Hours &amp; Miles'!$F$24</f>
        <v>October</v>
      </c>
      <c r="C59" s="16">
        <f>+'Monthly Data-Hours &amp; Miles'!$F$49</f>
        <v>7645</v>
      </c>
      <c r="D59" s="16">
        <f t="shared" si="6"/>
        <v>6704</v>
      </c>
      <c r="E59" s="16">
        <f>+'Monthly Data-Hours &amp; Miles'!$F$43</f>
        <v>616</v>
      </c>
      <c r="F59" s="16">
        <f>+'Monthly Data-Hours &amp; Miles'!$F$44</f>
        <v>325</v>
      </c>
      <c r="H59" s="16">
        <f t="shared" si="7"/>
        <v>6704</v>
      </c>
      <c r="I59" s="16">
        <f t="shared" si="8"/>
        <v>6039</v>
      </c>
      <c r="J59" s="16">
        <f>+'Monthly Data-Hours &amp; Miles'!$F$53</f>
        <v>189</v>
      </c>
      <c r="K59" s="16">
        <f>+'Monthly Data-Hours &amp; Miles'!$F$52</f>
        <v>476</v>
      </c>
    </row>
    <row r="60" spans="1:12">
      <c r="A60" t="str">
        <f>+'Monthly Data-Hours &amp; Miles'!$G$24</f>
        <v>November</v>
      </c>
      <c r="C60" s="16">
        <f>+'Monthly Data-Hours &amp; Miles'!$G$49</f>
        <v>6633</v>
      </c>
      <c r="D60" s="16">
        <f t="shared" si="6"/>
        <v>5816</v>
      </c>
      <c r="E60" s="16">
        <f>+'Monthly Data-Hours &amp; Miles'!$G$43</f>
        <v>535</v>
      </c>
      <c r="F60" s="16">
        <f>+'Monthly Data-Hours &amp; Miles'!$G$44</f>
        <v>282</v>
      </c>
      <c r="H60" s="16">
        <f t="shared" si="7"/>
        <v>5816</v>
      </c>
      <c r="I60" s="16">
        <f t="shared" si="8"/>
        <v>5171</v>
      </c>
      <c r="J60" s="16">
        <f>+'Monthly Data-Hours &amp; Miles'!$G$53</f>
        <v>179</v>
      </c>
      <c r="K60" s="16">
        <f>+'Monthly Data-Hours &amp; Miles'!$G$52</f>
        <v>466</v>
      </c>
    </row>
    <row r="61" spans="1:12">
      <c r="A61" t="str">
        <f>+'Monthly Data-Hours &amp; Miles'!$H$24</f>
        <v>December</v>
      </c>
      <c r="C61" s="16">
        <f>+'Monthly Data-Hours &amp; Miles'!$H$49</f>
        <v>5736</v>
      </c>
      <c r="D61" s="16">
        <f t="shared" si="6"/>
        <v>4838</v>
      </c>
      <c r="E61" s="16">
        <f>+'Monthly Data-Hours &amp; Miles'!$H$43</f>
        <v>595</v>
      </c>
      <c r="F61" s="16">
        <f>+'Monthly Data-Hours &amp; Miles'!$H$44</f>
        <v>303</v>
      </c>
      <c r="H61" s="16">
        <f t="shared" si="7"/>
        <v>4838</v>
      </c>
      <c r="I61" s="16">
        <f t="shared" si="8"/>
        <v>4146</v>
      </c>
      <c r="J61" s="16">
        <f>+'Monthly Data-Hours &amp; Miles'!H$53</f>
        <v>235</v>
      </c>
      <c r="K61" s="16">
        <f>+'Monthly Data-Hours &amp; Miles'!$H$52</f>
        <v>457</v>
      </c>
    </row>
    <row r="62" spans="1:12">
      <c r="A62" t="str">
        <f>+'Monthly Data-Hours &amp; Miles'!$I$24</f>
        <v>January</v>
      </c>
      <c r="C62" s="16">
        <f>+'Monthly Data-Hours &amp; Miles'!$I$49</f>
        <v>6676</v>
      </c>
      <c r="D62" s="16">
        <f t="shared" si="6"/>
        <v>5707</v>
      </c>
      <c r="E62" s="16">
        <f>+'Monthly Data-Hours &amp; Miles'!$I$43</f>
        <v>657</v>
      </c>
      <c r="F62" s="16">
        <f>+'Monthly Data-Hours &amp; Miles'!$I$44</f>
        <v>312</v>
      </c>
      <c r="H62" s="16">
        <f t="shared" si="7"/>
        <v>5707</v>
      </c>
      <c r="I62" s="16">
        <f t="shared" si="8"/>
        <v>4893</v>
      </c>
      <c r="J62" s="16">
        <f>+'Monthly Data-Hours &amp; Miles'!$I$53</f>
        <v>184</v>
      </c>
      <c r="K62" s="16">
        <f>+'Monthly Data-Hours &amp; Miles'!$I$52</f>
        <v>630</v>
      </c>
    </row>
    <row r="63" spans="1:12">
      <c r="A63" t="str">
        <f>+'Monthly Data-Hours &amp; Miles'!$J$24</f>
        <v>February</v>
      </c>
      <c r="C63" s="16">
        <f>+'Monthly Data-Hours &amp; Miles'!$J$49</f>
        <v>6020</v>
      </c>
      <c r="D63" s="16">
        <f>+C63-E63-F63</f>
        <v>5210</v>
      </c>
      <c r="E63" s="16">
        <f>+'Monthly Data-Hours &amp; Miles'!$J$43</f>
        <v>534</v>
      </c>
      <c r="F63" s="16">
        <f>+'Monthly Data-Hours &amp; Miles'!$J$44</f>
        <v>276</v>
      </c>
      <c r="H63" s="16">
        <f>D63</f>
        <v>5210</v>
      </c>
      <c r="I63" s="16">
        <f>+H63-J63-K63</f>
        <v>4495</v>
      </c>
      <c r="J63" s="16">
        <f>+'Monthly Data-Hours &amp; Miles'!$J$53</f>
        <v>181</v>
      </c>
      <c r="K63" s="16">
        <f>+'Monthly Data-Hours &amp; Miles'!$J$52</f>
        <v>534</v>
      </c>
    </row>
    <row r="64" spans="1:12">
      <c r="A64" t="str">
        <f>+'Monthly Data-Hours &amp; Miles'!$K$24</f>
        <v>March</v>
      </c>
      <c r="C64" s="16">
        <f>+'Monthly Data-Hours &amp; Miles'!$K$49</f>
        <v>5786</v>
      </c>
      <c r="D64" s="16">
        <f>+C64-E64-F64</f>
        <v>4933</v>
      </c>
      <c r="E64" s="16">
        <f>+'Monthly Data-Hours &amp; Miles'!$K$43</f>
        <v>550</v>
      </c>
      <c r="F64" s="16">
        <f>+'Monthly Data-Hours &amp; Miles'!$K$44</f>
        <v>303</v>
      </c>
      <c r="H64" s="16">
        <f>D64</f>
        <v>4933</v>
      </c>
      <c r="I64" s="16">
        <f>+H64-J64-K64</f>
        <v>4238</v>
      </c>
      <c r="J64" s="16">
        <f>+'Monthly Data-Hours &amp; Miles'!$K$53</f>
        <v>249</v>
      </c>
      <c r="K64" s="16">
        <f>+'Monthly Data-Hours &amp; Miles'!$K$52</f>
        <v>446</v>
      </c>
    </row>
    <row r="65" spans="1:12">
      <c r="A65" t="str">
        <f>+'Monthly Data-Hours &amp; Miles'!$L$24</f>
        <v>April</v>
      </c>
      <c r="C65" s="16">
        <f>+'Monthly Data-Hours &amp; Miles'!$L$49</f>
        <v>6570</v>
      </c>
      <c r="D65" s="16">
        <f>+C65-E65-F65</f>
        <v>5593</v>
      </c>
      <c r="E65" s="16">
        <f>+'Monthly Data-Hours &amp; Miles'!$L$43</f>
        <v>664</v>
      </c>
      <c r="F65" s="16">
        <f>+'Monthly Data-Hours &amp; Miles'!$L$44</f>
        <v>313</v>
      </c>
      <c r="H65" s="16">
        <f>D65</f>
        <v>5593</v>
      </c>
      <c r="I65" s="16">
        <f>+H65-J65-K65</f>
        <v>4883</v>
      </c>
      <c r="J65" s="16">
        <f>+'Monthly Data-Hours &amp; Miles'!$L$53</f>
        <v>233</v>
      </c>
      <c r="K65" s="16">
        <f>+'Monthly Data-Hours &amp; Miles'!$L$52</f>
        <v>477</v>
      </c>
    </row>
    <row r="66" spans="1:12">
      <c r="A66" t="str">
        <f>+'Monthly Data-Hours &amp; Miles'!$M$24</f>
        <v>May</v>
      </c>
      <c r="C66" s="16">
        <f>+'Monthly Data-Hours &amp; Miles'!$M$49</f>
        <v>6734</v>
      </c>
      <c r="D66" s="16">
        <f>+C66-E66-F66</f>
        <v>5829</v>
      </c>
      <c r="E66" s="16">
        <f>+'Monthly Data-Hours &amp; Miles'!$M$43</f>
        <v>603</v>
      </c>
      <c r="F66" s="16">
        <f>+'Monthly Data-Hours &amp; Miles'!$M$44</f>
        <v>302</v>
      </c>
      <c r="H66" s="16">
        <f>D66</f>
        <v>5829</v>
      </c>
      <c r="I66" s="16">
        <f>+H66-J66-K66</f>
        <v>5132</v>
      </c>
      <c r="J66" s="16">
        <f>+'Monthly Data-Hours &amp; Miles'!$M$53</f>
        <v>230</v>
      </c>
      <c r="K66" s="16">
        <f>+'Monthly Data-Hours &amp; Miles'!$M$52</f>
        <v>467</v>
      </c>
    </row>
    <row r="67" spans="1:12">
      <c r="A67" t="str">
        <f>+'Monthly Data-Hours &amp; Miles'!$N$24</f>
        <v>June</v>
      </c>
      <c r="C67" s="17">
        <f>+'Monthly Data-Hours &amp; Miles'!$N$49</f>
        <v>6617</v>
      </c>
      <c r="D67" s="17">
        <f t="shared" si="6"/>
        <v>5819</v>
      </c>
      <c r="E67" s="17">
        <f>+'Monthly Data-Hours &amp; Miles'!$N$43</f>
        <v>535</v>
      </c>
      <c r="F67" s="17">
        <f>+'Monthly Data-Hours &amp; Miles'!$N$44</f>
        <v>263</v>
      </c>
      <c r="H67" s="17">
        <f t="shared" si="7"/>
        <v>5819</v>
      </c>
      <c r="I67" s="17">
        <f t="shared" si="8"/>
        <v>5235</v>
      </c>
      <c r="J67" s="17">
        <f>+'Monthly Data-Hours &amp; Miles'!$N$53</f>
        <v>191</v>
      </c>
      <c r="K67" s="17">
        <f>+'Monthly Data-Hours &amp; Miles'!$N$52</f>
        <v>393</v>
      </c>
    </row>
    <row r="69" spans="1:12" ht="13.5" thickBot="1">
      <c r="B69" t="s">
        <v>112</v>
      </c>
      <c r="C69" s="19">
        <f>SUM(C56:C67)</f>
        <v>81612</v>
      </c>
      <c r="D69" s="19">
        <f>SUM(D56:D67)</f>
        <v>70935</v>
      </c>
      <c r="E69" s="19">
        <f>SUM(E56:E67)</f>
        <v>7071</v>
      </c>
      <c r="F69" s="19">
        <f>SUM(F56:F67)</f>
        <v>3606</v>
      </c>
      <c r="H69" s="19">
        <f>SUM(H56:H67)</f>
        <v>70935</v>
      </c>
      <c r="I69" s="19">
        <f>SUM(I56:I67)</f>
        <v>62384</v>
      </c>
      <c r="J69" s="19">
        <f>SUM(J56:J67)</f>
        <v>2545</v>
      </c>
      <c r="K69" s="19">
        <f>SUM(K56:K67)</f>
        <v>6006</v>
      </c>
    </row>
    <row r="70" spans="1:12" ht="13.5" thickTop="1"/>
    <row r="71" spans="1:12" ht="13.5" thickBot="1">
      <c r="B71" t="s">
        <v>392</v>
      </c>
      <c r="C71" s="13">
        <f>SUM(D71:F71)</f>
        <v>1</v>
      </c>
      <c r="D71" s="13">
        <f>+D69/C69</f>
        <v>0.86917365093368626</v>
      </c>
      <c r="E71" s="13">
        <f>+E69/C69</f>
        <v>8.6641670342596677E-2</v>
      </c>
      <c r="F71" s="13">
        <f>+F69/C69</f>
        <v>4.4184678723717098E-2</v>
      </c>
      <c r="H71" s="13">
        <f>SUM(I71:K71)</f>
        <v>1</v>
      </c>
      <c r="I71" s="13">
        <f>+I69/H69</f>
        <v>0.87945302037076201</v>
      </c>
      <c r="J71" s="13">
        <f>+J69/H69</f>
        <v>3.5877916402340171E-2</v>
      </c>
      <c r="K71" s="13">
        <f>+K69/H69</f>
        <v>8.4669063226897864E-2</v>
      </c>
    </row>
    <row r="72" spans="1:12" ht="13.5" thickTop="1">
      <c r="K72" s="531"/>
    </row>
    <row r="73" spans="1:12">
      <c r="K73" s="459"/>
    </row>
    <row r="74" spans="1:12">
      <c r="A74" s="459" t="s">
        <v>870</v>
      </c>
      <c r="I74" s="72">
        <f>+I69/(I69+J69)</f>
        <v>0.96080333903186554</v>
      </c>
      <c r="J74" s="545">
        <f>1-I74</f>
        <v>3.9196660968134456E-2</v>
      </c>
      <c r="K74" s="53">
        <v>0</v>
      </c>
      <c r="L74" s="459" t="s">
        <v>871</v>
      </c>
    </row>
    <row r="78" spans="1:12">
      <c r="A78" s="459" t="s">
        <v>872</v>
      </c>
      <c r="I78" s="80">
        <f>'Monthly Data-Hours &amp; Miles'!$O$78</f>
        <v>1538</v>
      </c>
    </row>
    <row r="79" spans="1:12">
      <c r="B79" s="459" t="s">
        <v>873</v>
      </c>
      <c r="I79" s="72">
        <f>I78/(I78+C23)</f>
        <v>0.17840695810336468</v>
      </c>
    </row>
    <row r="80" spans="1:12">
      <c r="B80" s="459" t="s">
        <v>874</v>
      </c>
      <c r="I80" s="72">
        <f>I78/(I78+C45)</f>
        <v>0.1277115877091298</v>
      </c>
    </row>
    <row r="81" spans="1:9">
      <c r="I81" s="80"/>
    </row>
    <row r="82" spans="1:9">
      <c r="I82" s="80"/>
    </row>
    <row r="83" spans="1:9">
      <c r="A83" s="459" t="s">
        <v>875</v>
      </c>
      <c r="I83" s="80">
        <f>'Monthly Data-Hours &amp; Miles'!$O$81</f>
        <v>37012</v>
      </c>
    </row>
    <row r="84" spans="1:9">
      <c r="B84" s="459" t="s">
        <v>876</v>
      </c>
      <c r="I84" s="72">
        <f>I83/(I83+C69)</f>
        <v>0.31201106015646074</v>
      </c>
    </row>
    <row r="86" spans="1:9">
      <c r="A86" s="459" t="s">
        <v>877</v>
      </c>
      <c r="I86" s="72">
        <f>'Results of Operations Co'!C14/('Results of Operations Co'!C21-'Results of Operations Co'!C15)</f>
        <v>9.3363323413345634E-2</v>
      </c>
    </row>
  </sheetData>
  <phoneticPr fontId="0" type="noConversion"/>
  <pageMargins left="0.2" right="0.3" top="0.54" bottom="0.53" header="0.5" footer="0.5"/>
  <pageSetup scale="66" fitToWidth="0" orientation="portrait" horizontalDpi="4294967293" verticalDpi="4294967293" r:id="rId1"/>
  <headerFooter alignWithMargins="0"/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K30"/>
  <sheetViews>
    <sheetView workbookViewId="0">
      <selection activeCell="N43" sqref="N43"/>
    </sheetView>
  </sheetViews>
  <sheetFormatPr defaultRowHeight="12.75"/>
  <cols>
    <col min="1" max="1" width="9.42578125" bestFit="1" customWidth="1"/>
    <col min="11" max="11" width="10.28515625" bestFit="1" customWidth="1"/>
  </cols>
  <sheetData>
    <row r="1" spans="1:10">
      <c r="A1" t="s">
        <v>4</v>
      </c>
    </row>
    <row r="3" spans="1:10">
      <c r="A3" t="s">
        <v>878</v>
      </c>
      <c r="D3" s="459" t="s">
        <v>11</v>
      </c>
      <c r="E3" s="459" t="s">
        <v>12</v>
      </c>
    </row>
    <row r="5" spans="1:10">
      <c r="A5" s="486" t="s">
        <v>1411</v>
      </c>
    </row>
    <row r="8" spans="1:10">
      <c r="A8" t="s">
        <v>879</v>
      </c>
      <c r="C8" s="530" t="s">
        <v>880</v>
      </c>
      <c r="D8" s="530" t="s">
        <v>881</v>
      </c>
      <c r="E8" s="530" t="s">
        <v>882</v>
      </c>
      <c r="F8" s="530" t="s">
        <v>27</v>
      </c>
      <c r="G8" s="530" t="s">
        <v>392</v>
      </c>
      <c r="I8" s="530" t="s">
        <v>883</v>
      </c>
      <c r="J8" s="530" t="s">
        <v>392</v>
      </c>
    </row>
    <row r="10" spans="1:10">
      <c r="A10" t="s">
        <v>370</v>
      </c>
      <c r="C10" s="20">
        <f>+'Monthly Data-Container Count'!C$14</f>
        <v>0</v>
      </c>
      <c r="D10" s="20">
        <f>+'Monthly Data-Container Count'!D$14</f>
        <v>591</v>
      </c>
      <c r="E10" s="20">
        <f>+'Monthly Data-Container Count'!E$14</f>
        <v>66</v>
      </c>
      <c r="F10" s="20">
        <f>SUM(C10:E10)</f>
        <v>657</v>
      </c>
      <c r="G10" s="9">
        <f>(+F10/F16)</f>
        <v>0.14104765993988835</v>
      </c>
      <c r="I10" s="20">
        <f>'Monthly Data-Container Count'!$H$14</f>
        <v>0</v>
      </c>
      <c r="J10" s="9">
        <f>(+I10/I16)</f>
        <v>0</v>
      </c>
    </row>
    <row r="11" spans="1:10">
      <c r="C11" s="185"/>
      <c r="D11" s="185"/>
      <c r="E11" s="185"/>
      <c r="G11" s="9"/>
      <c r="J11" s="9"/>
    </row>
    <row r="12" spans="1:10">
      <c r="A12" t="s">
        <v>371</v>
      </c>
      <c r="C12" s="20">
        <f>+'Monthly Data-Container Count'!C$15</f>
        <v>0</v>
      </c>
      <c r="D12" s="20">
        <f>+'Monthly Data-Container Count'!D$15</f>
        <v>214</v>
      </c>
      <c r="E12" s="20">
        <f>+'Monthly Data-Container Count'!E$15</f>
        <v>33</v>
      </c>
      <c r="F12" s="20">
        <f>SUM(C12:E12)</f>
        <v>247</v>
      </c>
      <c r="G12" s="9">
        <f>+F12/F16</f>
        <v>5.3027050236152853E-2</v>
      </c>
      <c r="I12" s="20">
        <f>'Monthly Data-Container Count'!$H$15</f>
        <v>0</v>
      </c>
      <c r="J12" s="9">
        <f>+I12/I16</f>
        <v>0</v>
      </c>
    </row>
    <row r="13" spans="1:10">
      <c r="G13" s="9"/>
      <c r="J13" s="9"/>
    </row>
    <row r="14" spans="1:10">
      <c r="A14" t="s">
        <v>369</v>
      </c>
      <c r="C14" s="21">
        <f>+C16-C10-C12</f>
        <v>764</v>
      </c>
      <c r="D14" s="21">
        <f>+D16-D10-D12</f>
        <v>1365</v>
      </c>
      <c r="E14" s="21">
        <f>+E16-E10-E12</f>
        <v>1625</v>
      </c>
      <c r="F14" s="21">
        <f>SUM(C14:E14)</f>
        <v>3754</v>
      </c>
      <c r="G14" s="37">
        <f>+F14/F16</f>
        <v>0.80592528982395883</v>
      </c>
      <c r="I14" s="21">
        <f>+I16-I10-I12</f>
        <v>354</v>
      </c>
      <c r="J14" s="37">
        <f>+I14/I16</f>
        <v>1</v>
      </c>
    </row>
    <row r="15" spans="1:10">
      <c r="G15" s="10"/>
    </row>
    <row r="16" spans="1:10" ht="13.5" thickBot="1">
      <c r="A16" t="s">
        <v>388</v>
      </c>
      <c r="C16" s="22">
        <f>+'Monthly Data-Container Count'!C$20</f>
        <v>764</v>
      </c>
      <c r="D16" s="22">
        <f>+'Monthly Data-Container Count'!D$20</f>
        <v>2170</v>
      </c>
      <c r="E16" s="22">
        <f>+'Monthly Data-Container Count'!E$20</f>
        <v>1724</v>
      </c>
      <c r="F16" s="22">
        <f>SUM(C16:E16)</f>
        <v>4658</v>
      </c>
      <c r="G16" s="13">
        <f>SUM(G10:G14)</f>
        <v>1</v>
      </c>
      <c r="I16" s="22">
        <f>'Monthly Data-Container Count'!$H$20</f>
        <v>354</v>
      </c>
      <c r="J16" s="13">
        <f>SUM(J10:J14)</f>
        <v>1</v>
      </c>
    </row>
    <row r="17" spans="1:11" ht="13.5" thickTop="1"/>
    <row r="21" spans="1:11">
      <c r="A21" t="s">
        <v>884</v>
      </c>
      <c r="C21" s="530" t="s">
        <v>885</v>
      </c>
      <c r="D21" s="530" t="s">
        <v>886</v>
      </c>
      <c r="E21" s="530" t="s">
        <v>887</v>
      </c>
      <c r="F21" s="530" t="s">
        <v>888</v>
      </c>
      <c r="G21" s="530" t="s">
        <v>889</v>
      </c>
      <c r="H21" s="530" t="s">
        <v>890</v>
      </c>
      <c r="I21" s="530" t="s">
        <v>891</v>
      </c>
      <c r="J21" s="530" t="s">
        <v>27</v>
      </c>
      <c r="K21" s="530" t="s">
        <v>392</v>
      </c>
    </row>
    <row r="23" spans="1:11">
      <c r="A23" t="s">
        <v>370</v>
      </c>
      <c r="C23" s="20">
        <f>+'Monthly Data-Container Count'!M$14</f>
        <v>34</v>
      </c>
      <c r="D23" s="20">
        <f>+'Monthly Data-Container Count'!N$14</f>
        <v>0</v>
      </c>
      <c r="E23" s="20">
        <f>+'Monthly Data-Container Count'!O$14</f>
        <v>21</v>
      </c>
      <c r="F23" s="20">
        <f>+'Monthly Data-Container Count'!P$14</f>
        <v>0</v>
      </c>
      <c r="G23" s="20">
        <f>+'Monthly Data-Container Count'!Q$14</f>
        <v>9</v>
      </c>
      <c r="H23" s="20">
        <f>+'Monthly Data-Container Count'!R$14</f>
        <v>4</v>
      </c>
      <c r="I23" s="20">
        <f>+'Monthly Data-Container Count'!S$14</f>
        <v>0</v>
      </c>
      <c r="J23" s="20">
        <f>SUM(C23:I23)</f>
        <v>68</v>
      </c>
      <c r="K23" s="9">
        <f>(+J23/J29)</f>
        <v>5.6572379367720464E-2</v>
      </c>
    </row>
    <row r="24" spans="1:11">
      <c r="C24" s="185"/>
      <c r="D24" s="185"/>
      <c r="E24" s="185"/>
      <c r="F24" s="185"/>
      <c r="G24" s="185"/>
      <c r="H24" s="185"/>
      <c r="I24" s="185"/>
      <c r="K24" s="9"/>
    </row>
    <row r="25" spans="1:11">
      <c r="A25" t="s">
        <v>371</v>
      </c>
      <c r="C25" s="20">
        <f>+'Monthly Data-Container Count'!M$15</f>
        <v>12</v>
      </c>
      <c r="D25" s="20">
        <f>+'Monthly Data-Container Count'!N$15</f>
        <v>0</v>
      </c>
      <c r="E25" s="20">
        <f>+'Monthly Data-Container Count'!O$15</f>
        <v>16</v>
      </c>
      <c r="F25" s="20">
        <f>+'Monthly Data-Container Count'!P$15</f>
        <v>0</v>
      </c>
      <c r="G25" s="20">
        <f>+'Monthly Data-Container Count'!Q$15</f>
        <v>1</v>
      </c>
      <c r="H25" s="20">
        <f>+'Monthly Data-Container Count'!R$15</f>
        <v>0</v>
      </c>
      <c r="I25" s="20">
        <f>+'Monthly Data-Container Count'!S$15</f>
        <v>0</v>
      </c>
      <c r="J25" s="20">
        <f>SUM(C25:I25)</f>
        <v>29</v>
      </c>
      <c r="K25" s="9">
        <f>+J25/J29</f>
        <v>2.4126455906821963E-2</v>
      </c>
    </row>
    <row r="26" spans="1:11">
      <c r="K26" s="9"/>
    </row>
    <row r="27" spans="1:11">
      <c r="A27" t="s">
        <v>369</v>
      </c>
      <c r="C27" s="21">
        <f>+C29-C23-C25</f>
        <v>437</v>
      </c>
      <c r="D27" s="21">
        <f t="shared" ref="D27:I27" si="0">+D29-D23-D25</f>
        <v>73</v>
      </c>
      <c r="E27" s="21">
        <f t="shared" si="0"/>
        <v>411</v>
      </c>
      <c r="F27" s="21">
        <f t="shared" si="0"/>
        <v>7</v>
      </c>
      <c r="G27" s="21">
        <f t="shared" si="0"/>
        <v>74</v>
      </c>
      <c r="H27" s="21">
        <f t="shared" si="0"/>
        <v>103</v>
      </c>
      <c r="I27" s="21">
        <f t="shared" si="0"/>
        <v>0</v>
      </c>
      <c r="J27" s="21">
        <f>SUM(C27:I27)</f>
        <v>1105</v>
      </c>
      <c r="K27" s="37">
        <f>+J27/J29</f>
        <v>0.91930116472545753</v>
      </c>
    </row>
    <row r="28" spans="1:11">
      <c r="K28" s="10"/>
    </row>
    <row r="29" spans="1:11" ht="13.5" thickBot="1">
      <c r="A29" t="s">
        <v>388</v>
      </c>
      <c r="C29" s="22">
        <f>+'Monthly Data-Container Count'!M$20</f>
        <v>483</v>
      </c>
      <c r="D29" s="22">
        <f>+'Monthly Data-Container Count'!N$20</f>
        <v>73</v>
      </c>
      <c r="E29" s="22">
        <f>+'Monthly Data-Container Count'!O$20</f>
        <v>448</v>
      </c>
      <c r="F29" s="22">
        <f>+'Monthly Data-Container Count'!P$20</f>
        <v>7</v>
      </c>
      <c r="G29" s="22">
        <f>+'Monthly Data-Container Count'!Q$20</f>
        <v>84</v>
      </c>
      <c r="H29" s="22">
        <f>+'Monthly Data-Container Count'!R$20</f>
        <v>107</v>
      </c>
      <c r="I29" s="22">
        <f>+'Monthly Data-Container Count'!S$20</f>
        <v>0</v>
      </c>
      <c r="J29" s="22">
        <f>SUM(C29:I29)</f>
        <v>1202</v>
      </c>
      <c r="K29" s="13">
        <f>SUM(K23:K27)</f>
        <v>1</v>
      </c>
    </row>
    <row r="30" spans="1:11" ht="13.5" thickTop="1"/>
  </sheetData>
  <phoneticPr fontId="0" type="noConversion"/>
  <pageMargins left="0.2" right="0.3" top="0.57999999999999996" bottom="1" header="0.5" footer="0.5"/>
  <pageSetup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P231"/>
  <sheetViews>
    <sheetView topLeftCell="A49" workbookViewId="0">
      <selection activeCell="C192" sqref="C192"/>
    </sheetView>
  </sheetViews>
  <sheetFormatPr defaultRowHeight="12.75"/>
  <cols>
    <col min="2" max="2" width="27.140625" customWidth="1"/>
    <col min="3" max="3" width="17.140625" customWidth="1"/>
    <col min="4" max="4" width="15" customWidth="1"/>
    <col min="5" max="5" width="21.85546875" customWidth="1"/>
    <col min="6" max="6" width="14.7109375" customWidth="1"/>
    <col min="7" max="7" width="4.28515625" customWidth="1"/>
    <col min="8" max="8" width="14.42578125" customWidth="1"/>
    <col min="12" max="12" width="16.28515625" customWidth="1"/>
    <col min="14" max="14" width="15.42578125" customWidth="1"/>
    <col min="16" max="16" width="15.28515625" customWidth="1"/>
  </cols>
  <sheetData>
    <row r="1" spans="1:16">
      <c r="C1" s="530" t="s">
        <v>892</v>
      </c>
      <c r="D1" s="530"/>
      <c r="E1" s="530"/>
    </row>
    <row r="2" spans="1:16">
      <c r="C2" s="530"/>
      <c r="D2" s="530"/>
      <c r="E2" s="530"/>
      <c r="F2" s="459" t="s">
        <v>11</v>
      </c>
      <c r="G2" s="459" t="s">
        <v>12</v>
      </c>
    </row>
    <row r="3" spans="1:16">
      <c r="C3" s="530" t="s">
        <v>893</v>
      </c>
      <c r="D3" s="530"/>
      <c r="E3" s="530"/>
    </row>
    <row r="4" spans="1:16">
      <c r="C4" s="530"/>
      <c r="D4" s="530"/>
      <c r="E4" s="530"/>
    </row>
    <row r="5" spans="1:16">
      <c r="C5" s="516" t="s">
        <v>1417</v>
      </c>
      <c r="D5" s="530"/>
      <c r="E5" s="530"/>
    </row>
    <row r="6" spans="1:16">
      <c r="C6" s="530"/>
      <c r="D6" s="530"/>
      <c r="E6" s="530"/>
    </row>
    <row r="7" spans="1:16">
      <c r="C7" s="530" t="s">
        <v>894</v>
      </c>
      <c r="D7" s="530"/>
      <c r="E7" s="530"/>
    </row>
    <row r="9" spans="1:16">
      <c r="L9" t="s">
        <v>895</v>
      </c>
    </row>
    <row r="10" spans="1:16">
      <c r="F10" s="530"/>
      <c r="L10" t="s">
        <v>896</v>
      </c>
      <c r="P10" s="42">
        <f>+D98</f>
        <v>255709.00700000057</v>
      </c>
    </row>
    <row r="11" spans="1:16">
      <c r="D11" s="49"/>
      <c r="F11" s="49"/>
      <c r="H11" s="49"/>
      <c r="L11" t="s">
        <v>897</v>
      </c>
    </row>
    <row r="13" spans="1:16">
      <c r="B13" t="s">
        <v>898</v>
      </c>
    </row>
    <row r="14" spans="1:16">
      <c r="A14">
        <v>1011</v>
      </c>
      <c r="B14" t="s">
        <v>899</v>
      </c>
      <c r="D14" s="55">
        <v>8540.51</v>
      </c>
      <c r="L14" s="55">
        <f>+D14</f>
        <v>8540.51</v>
      </c>
      <c r="N14" s="63">
        <f t="shared" ref="N14:N21" si="0">+D14-L14</f>
        <v>0</v>
      </c>
    </row>
    <row r="15" spans="1:16">
      <c r="A15">
        <v>1012</v>
      </c>
      <c r="B15" t="s">
        <v>900</v>
      </c>
      <c r="D15" s="42">
        <v>229821.21</v>
      </c>
      <c r="L15" s="42">
        <f>+D15</f>
        <v>229821.21</v>
      </c>
      <c r="N15" s="63">
        <f t="shared" si="0"/>
        <v>0</v>
      </c>
    </row>
    <row r="16" spans="1:16">
      <c r="A16">
        <v>1016</v>
      </c>
      <c r="B16" t="s">
        <v>901</v>
      </c>
      <c r="D16" s="42">
        <v>170319.65</v>
      </c>
      <c r="L16" s="42">
        <f t="shared" ref="L16:L24" si="1">+D16</f>
        <v>170319.65</v>
      </c>
      <c r="N16" s="63">
        <f t="shared" si="0"/>
        <v>0</v>
      </c>
    </row>
    <row r="17" spans="1:16">
      <c r="A17">
        <v>1018</v>
      </c>
      <c r="B17" t="s">
        <v>902</v>
      </c>
      <c r="D17" s="42">
        <v>0</v>
      </c>
      <c r="L17" s="42">
        <f t="shared" si="1"/>
        <v>0</v>
      </c>
      <c r="N17" s="63">
        <f t="shared" si="0"/>
        <v>0</v>
      </c>
    </row>
    <row r="18" spans="1:16">
      <c r="A18">
        <v>1020</v>
      </c>
      <c r="B18" t="s">
        <v>903</v>
      </c>
      <c r="D18" s="42">
        <v>104825.47</v>
      </c>
      <c r="L18" s="42">
        <f t="shared" si="1"/>
        <v>104825.47</v>
      </c>
      <c r="N18" s="63">
        <f t="shared" si="0"/>
        <v>0</v>
      </c>
    </row>
    <row r="19" spans="1:16">
      <c r="A19">
        <v>1062</v>
      </c>
      <c r="B19" t="s">
        <v>904</v>
      </c>
      <c r="D19" s="42">
        <v>26654.44</v>
      </c>
      <c r="L19" s="42">
        <f t="shared" si="1"/>
        <v>26654.44</v>
      </c>
      <c r="N19" s="63">
        <f t="shared" si="0"/>
        <v>0</v>
      </c>
    </row>
    <row r="20" spans="1:16">
      <c r="A20">
        <v>1064</v>
      </c>
      <c r="B20" t="s">
        <v>905</v>
      </c>
      <c r="D20" s="42">
        <v>55604.17</v>
      </c>
      <c r="L20" s="42">
        <f t="shared" si="1"/>
        <v>55604.17</v>
      </c>
      <c r="N20" s="63">
        <f t="shared" si="0"/>
        <v>0</v>
      </c>
    </row>
    <row r="21" spans="1:16">
      <c r="A21">
        <v>1122</v>
      </c>
      <c r="B21" t="s">
        <v>906</v>
      </c>
      <c r="D21" s="42">
        <v>370669.04</v>
      </c>
      <c r="L21" s="42">
        <f t="shared" si="1"/>
        <v>370669.04</v>
      </c>
      <c r="N21" s="63">
        <f t="shared" si="0"/>
        <v>0</v>
      </c>
    </row>
    <row r="22" spans="1:16">
      <c r="A22">
        <v>1128</v>
      </c>
      <c r="B22" t="s">
        <v>907</v>
      </c>
      <c r="D22" s="42"/>
      <c r="L22" s="42">
        <f t="shared" si="1"/>
        <v>0</v>
      </c>
      <c r="N22" s="63"/>
    </row>
    <row r="23" spans="1:16">
      <c r="A23">
        <v>1130</v>
      </c>
      <c r="B23" t="s">
        <v>908</v>
      </c>
      <c r="D23" s="42">
        <v>35845.360000000001</v>
      </c>
      <c r="L23" s="42">
        <f t="shared" si="1"/>
        <v>35845.360000000001</v>
      </c>
      <c r="N23" s="63">
        <f>+D23-L23</f>
        <v>0</v>
      </c>
    </row>
    <row r="24" spans="1:16">
      <c r="A24">
        <v>1174</v>
      </c>
      <c r="B24" t="s">
        <v>909</v>
      </c>
      <c r="D24" s="56">
        <v>67151.25</v>
      </c>
      <c r="L24" s="56">
        <f t="shared" si="1"/>
        <v>67151.25</v>
      </c>
      <c r="N24" s="63">
        <f>+D24-L24</f>
        <v>0</v>
      </c>
      <c r="O24" t="s">
        <v>910</v>
      </c>
    </row>
    <row r="25" spans="1:16">
      <c r="D25" s="42"/>
      <c r="L25" s="42"/>
      <c r="N25" s="63"/>
    </row>
    <row r="26" spans="1:16">
      <c r="B26" t="s">
        <v>911</v>
      </c>
      <c r="D26" s="56">
        <f>SUM(D14:D24)</f>
        <v>1069431.1000000001</v>
      </c>
      <c r="J26" s="459" t="s">
        <v>1400</v>
      </c>
      <c r="L26" s="56">
        <f>SUM(L14:L24)</f>
        <v>1069431.1000000001</v>
      </c>
      <c r="N26" s="63">
        <f>+D26-L26</f>
        <v>0</v>
      </c>
      <c r="P26" s="63">
        <f>+N26</f>
        <v>0</v>
      </c>
    </row>
    <row r="27" spans="1:16">
      <c r="F27" s="459" t="s">
        <v>912</v>
      </c>
      <c r="J27" s="459" t="s">
        <v>1401</v>
      </c>
      <c r="N27" s="63"/>
    </row>
    <row r="28" spans="1:16">
      <c r="B28" t="s">
        <v>913</v>
      </c>
      <c r="N28" s="63"/>
    </row>
    <row r="29" spans="1:16">
      <c r="A29">
        <v>1222</v>
      </c>
      <c r="B29" t="s">
        <v>914</v>
      </c>
      <c r="D29" s="786">
        <v>2344473</v>
      </c>
      <c r="F29" s="16"/>
      <c r="H29" s="16">
        <f t="shared" ref="H29:H37" si="2">D29-F29</f>
        <v>2344473</v>
      </c>
      <c r="I29" s="465" t="s">
        <v>772</v>
      </c>
      <c r="L29" s="16">
        <v>2138374.9900000002</v>
      </c>
      <c r="N29" s="63">
        <f t="shared" ref="N29:N39" si="3">+D29-L29</f>
        <v>206098.00999999978</v>
      </c>
    </row>
    <row r="30" spans="1:16">
      <c r="A30">
        <v>1224</v>
      </c>
      <c r="B30" t="s">
        <v>916</v>
      </c>
      <c r="D30" s="525">
        <v>1182755</v>
      </c>
      <c r="F30" s="42"/>
      <c r="H30" s="16">
        <f t="shared" si="2"/>
        <v>1182755</v>
      </c>
      <c r="I30" s="459" t="s">
        <v>915</v>
      </c>
      <c r="L30" s="42">
        <v>1182455.92</v>
      </c>
      <c r="N30" s="63">
        <f t="shared" si="3"/>
        <v>299.08000000007451</v>
      </c>
    </row>
    <row r="31" spans="1:16">
      <c r="A31">
        <v>1226</v>
      </c>
      <c r="B31" t="s">
        <v>917</v>
      </c>
      <c r="D31" s="525">
        <v>4692</v>
      </c>
      <c r="F31" s="42"/>
      <c r="H31" s="16">
        <f>D31-F31</f>
        <v>4692</v>
      </c>
      <c r="I31" s="459" t="s">
        <v>915</v>
      </c>
      <c r="L31" s="42">
        <v>4692.2700000000004</v>
      </c>
      <c r="N31" s="63">
        <f>+D31-L31</f>
        <v>-0.27000000000043656</v>
      </c>
    </row>
    <row r="32" spans="1:16">
      <c r="A32">
        <v>1230</v>
      </c>
      <c r="B32" t="s">
        <v>918</v>
      </c>
      <c r="D32" s="525">
        <v>327481</v>
      </c>
      <c r="F32" s="42"/>
      <c r="H32" s="16">
        <f t="shared" si="2"/>
        <v>327481</v>
      </c>
      <c r="I32" s="459"/>
      <c r="L32" s="42">
        <v>329648.51</v>
      </c>
      <c r="N32" s="63">
        <f t="shared" si="3"/>
        <v>-2167.5100000000093</v>
      </c>
    </row>
    <row r="33" spans="1:16">
      <c r="A33">
        <v>1240</v>
      </c>
      <c r="B33" t="s">
        <v>919</v>
      </c>
      <c r="D33" s="525">
        <v>104975</v>
      </c>
      <c r="F33" s="42"/>
      <c r="H33" s="16">
        <f t="shared" si="2"/>
        <v>104975</v>
      </c>
      <c r="I33" s="459" t="s">
        <v>915</v>
      </c>
      <c r="L33" s="42">
        <v>102602.53</v>
      </c>
      <c r="N33" s="63">
        <f t="shared" si="3"/>
        <v>2372.4700000000012</v>
      </c>
    </row>
    <row r="34" spans="1:16">
      <c r="A34">
        <v>1250</v>
      </c>
      <c r="B34" t="s">
        <v>920</v>
      </c>
      <c r="D34" s="525">
        <v>19501</v>
      </c>
      <c r="F34" s="42"/>
      <c r="H34" s="16">
        <f t="shared" si="2"/>
        <v>19501</v>
      </c>
      <c r="I34" s="462" t="s">
        <v>921</v>
      </c>
      <c r="J34" s="459"/>
      <c r="L34" s="42">
        <v>19502.55</v>
      </c>
      <c r="N34" s="63">
        <f t="shared" si="3"/>
        <v>-1.5499999999992724</v>
      </c>
    </row>
    <row r="35" spans="1:16">
      <c r="A35">
        <v>1291</v>
      </c>
      <c r="B35" t="s">
        <v>922</v>
      </c>
      <c r="D35" s="525">
        <v>-2583448</v>
      </c>
      <c r="F35" s="42"/>
      <c r="H35" s="16">
        <f t="shared" si="2"/>
        <v>-2583448</v>
      </c>
      <c r="I35" s="459"/>
      <c r="L35" s="42">
        <v>-3270251.02</v>
      </c>
      <c r="N35" s="63">
        <f t="shared" si="3"/>
        <v>686803.02</v>
      </c>
    </row>
    <row r="36" spans="1:16">
      <c r="A36">
        <v>1422</v>
      </c>
      <c r="B36" t="s">
        <v>366</v>
      </c>
      <c r="D36" s="525">
        <v>49153</v>
      </c>
      <c r="F36" s="42"/>
      <c r="H36" s="16">
        <f t="shared" si="2"/>
        <v>49153</v>
      </c>
      <c r="I36" s="459"/>
      <c r="L36" s="42">
        <v>49152.98</v>
      </c>
      <c r="N36" s="63">
        <f t="shared" si="3"/>
        <v>1.9999999996798579E-2</v>
      </c>
    </row>
    <row r="37" spans="1:16">
      <c r="A37">
        <v>1491</v>
      </c>
      <c r="B37" t="s">
        <v>922</v>
      </c>
      <c r="D37" s="787">
        <v>-32062</v>
      </c>
      <c r="F37" s="56"/>
      <c r="H37" s="16">
        <f t="shared" si="2"/>
        <v>-32062</v>
      </c>
      <c r="I37" s="459" t="s">
        <v>915</v>
      </c>
      <c r="L37" s="56">
        <v>-49152.98</v>
      </c>
      <c r="N37" s="546">
        <f t="shared" si="3"/>
        <v>17090.980000000003</v>
      </c>
    </row>
    <row r="38" spans="1:16">
      <c r="D38" s="42"/>
      <c r="L38" s="42"/>
      <c r="N38" s="63">
        <f t="shared" si="3"/>
        <v>0</v>
      </c>
    </row>
    <row r="39" spans="1:16">
      <c r="B39" t="s">
        <v>923</v>
      </c>
      <c r="D39" s="56">
        <f>SUM(D29:D37)</f>
        <v>1417520</v>
      </c>
      <c r="L39" s="56">
        <f>SUM(L29:L37)</f>
        <v>507025.75</v>
      </c>
      <c r="N39" s="63">
        <f t="shared" si="3"/>
        <v>910494.25</v>
      </c>
      <c r="P39" s="63">
        <f>+F39-N39</f>
        <v>-910494.25</v>
      </c>
    </row>
    <row r="40" spans="1:16">
      <c r="N40" s="63"/>
    </row>
    <row r="41" spans="1:16">
      <c r="B41" t="s">
        <v>924</v>
      </c>
      <c r="N41" s="63"/>
    </row>
    <row r="42" spans="1:16">
      <c r="A42">
        <v>1616</v>
      </c>
      <c r="B42" t="s">
        <v>925</v>
      </c>
      <c r="D42" s="42">
        <v>124477.64</v>
      </c>
      <c r="L42" s="42">
        <v>124477.64</v>
      </c>
      <c r="N42" s="63">
        <f>+D42-L42</f>
        <v>0</v>
      </c>
    </row>
    <row r="43" spans="1:16">
      <c r="D43" s="56">
        <v>0</v>
      </c>
      <c r="L43" s="56">
        <v>0</v>
      </c>
      <c r="N43" s="63"/>
    </row>
    <row r="44" spans="1:16">
      <c r="D44" s="42"/>
      <c r="L44" s="42"/>
      <c r="N44" s="63">
        <f>+D44-L44</f>
        <v>0</v>
      </c>
    </row>
    <row r="45" spans="1:16">
      <c r="B45" t="s">
        <v>926</v>
      </c>
      <c r="D45" s="56">
        <f>SUM(D42:D43)</f>
        <v>124477.64</v>
      </c>
      <c r="L45" s="56">
        <f>SUM(L42:L43)</f>
        <v>124477.64</v>
      </c>
      <c r="N45" s="63">
        <f>+D45-L45</f>
        <v>0</v>
      </c>
      <c r="P45" s="63">
        <f>N45</f>
        <v>0</v>
      </c>
    </row>
    <row r="46" spans="1:16">
      <c r="N46" s="63">
        <f>+D46-L46</f>
        <v>0</v>
      </c>
    </row>
    <row r="47" spans="1:16" ht="13.5" thickBot="1">
      <c r="B47" t="s">
        <v>927</v>
      </c>
      <c r="D47" s="54">
        <f>+D26+D39+D45</f>
        <v>2611428.7400000002</v>
      </c>
      <c r="L47" s="54">
        <f>+L26+L39+L45</f>
        <v>1700934.49</v>
      </c>
      <c r="N47" s="63">
        <f>+D47-L47</f>
        <v>910494.25000000023</v>
      </c>
      <c r="P47">
        <f>SUM(P14:P45)</f>
        <v>-910494.25</v>
      </c>
    </row>
    <row r="48" spans="1:16" ht="13.5" thickTop="1">
      <c r="N48" s="63"/>
    </row>
    <row r="49" spans="3:14">
      <c r="N49" s="63"/>
    </row>
    <row r="50" spans="3:14">
      <c r="N50" s="63"/>
    </row>
    <row r="51" spans="3:14">
      <c r="N51" s="63"/>
    </row>
    <row r="52" spans="3:14">
      <c r="N52" s="63"/>
    </row>
    <row r="53" spans="3:14">
      <c r="N53" s="63"/>
    </row>
    <row r="54" spans="3:14">
      <c r="N54" s="63"/>
    </row>
    <row r="55" spans="3:14">
      <c r="C55" s="530" t="s">
        <v>928</v>
      </c>
      <c r="D55" s="530"/>
      <c r="E55" s="530"/>
      <c r="F55" s="530"/>
      <c r="L55" s="530"/>
      <c r="N55" s="63"/>
    </row>
    <row r="56" spans="3:14">
      <c r="C56" s="530"/>
      <c r="D56" s="530"/>
      <c r="E56" s="530"/>
      <c r="F56" s="530"/>
      <c r="L56" s="530"/>
      <c r="N56" s="63"/>
    </row>
    <row r="57" spans="3:14">
      <c r="C57" s="530" t="s">
        <v>893</v>
      </c>
      <c r="D57" s="530"/>
      <c r="E57" s="530"/>
      <c r="F57" s="530"/>
      <c r="L57" s="530"/>
      <c r="N57" s="63"/>
    </row>
    <row r="58" spans="3:14">
      <c r="C58" s="530"/>
      <c r="D58" s="530"/>
      <c r="E58" s="530"/>
      <c r="F58" s="530"/>
      <c r="L58" s="530"/>
      <c r="N58" s="63"/>
    </row>
    <row r="59" spans="3:14">
      <c r="C59" s="530" t="str">
        <f>+C5</f>
        <v>6/30/24</v>
      </c>
      <c r="D59" s="530"/>
      <c r="E59" s="530"/>
      <c r="F59" s="530"/>
      <c r="L59" s="530"/>
      <c r="N59" s="63"/>
    </row>
    <row r="60" spans="3:14">
      <c r="C60" s="530"/>
      <c r="D60" s="530"/>
      <c r="E60" s="530"/>
      <c r="F60" s="530"/>
      <c r="L60" s="530"/>
      <c r="N60" s="63"/>
    </row>
    <row r="61" spans="3:14">
      <c r="C61" s="530" t="s">
        <v>929</v>
      </c>
      <c r="D61" s="530"/>
      <c r="E61" s="530"/>
      <c r="F61" s="530"/>
      <c r="L61" s="530"/>
      <c r="N61" s="63"/>
    </row>
    <row r="62" spans="3:14">
      <c r="C62" s="530" t="s">
        <v>930</v>
      </c>
      <c r="D62" s="530"/>
      <c r="E62" s="530"/>
      <c r="F62" s="530"/>
      <c r="L62" s="530"/>
      <c r="N62" s="63"/>
    </row>
    <row r="63" spans="3:14">
      <c r="N63" s="63"/>
    </row>
    <row r="64" spans="3:14">
      <c r="N64" s="63"/>
    </row>
    <row r="65" spans="1:16">
      <c r="B65" t="s">
        <v>931</v>
      </c>
      <c r="N65" s="63"/>
    </row>
    <row r="66" spans="1:16">
      <c r="A66">
        <v>2052</v>
      </c>
      <c r="B66" t="s">
        <v>932</v>
      </c>
      <c r="D66" s="47">
        <v>179977.02</v>
      </c>
      <c r="L66" s="47">
        <f>+D66</f>
        <v>179977.02</v>
      </c>
      <c r="N66" s="63">
        <f t="shared" ref="N66:N82" si="4">+D66-L66</f>
        <v>0</v>
      </c>
    </row>
    <row r="67" spans="1:16">
      <c r="A67">
        <v>2080</v>
      </c>
      <c r="B67" t="s">
        <v>933</v>
      </c>
      <c r="D67" s="42">
        <v>7648.58</v>
      </c>
      <c r="L67" s="42">
        <f>+D67</f>
        <v>7648.58</v>
      </c>
      <c r="N67" s="63">
        <f t="shared" si="4"/>
        <v>0</v>
      </c>
    </row>
    <row r="68" spans="1:16">
      <c r="A68">
        <v>2122</v>
      </c>
      <c r="B68" t="s">
        <v>934</v>
      </c>
      <c r="D68" s="42">
        <v>0</v>
      </c>
      <c r="L68" s="42">
        <f t="shared" ref="L68:L77" si="5">+D68</f>
        <v>0</v>
      </c>
      <c r="N68" s="63">
        <f t="shared" si="4"/>
        <v>0</v>
      </c>
    </row>
    <row r="69" spans="1:16">
      <c r="A69">
        <v>2123</v>
      </c>
      <c r="B69" t="s">
        <v>1387</v>
      </c>
      <c r="D69" s="42">
        <v>882.2</v>
      </c>
      <c r="L69" s="42">
        <f t="shared" si="5"/>
        <v>882.2</v>
      </c>
      <c r="N69" s="63">
        <f>+D69-L69</f>
        <v>0</v>
      </c>
    </row>
    <row r="70" spans="1:16">
      <c r="A70">
        <v>2124</v>
      </c>
      <c r="B70" t="s">
        <v>935</v>
      </c>
      <c r="D70" s="42">
        <v>1639.8</v>
      </c>
      <c r="L70" s="42">
        <f t="shared" si="5"/>
        <v>1639.8</v>
      </c>
      <c r="N70" s="63">
        <f t="shared" si="4"/>
        <v>0</v>
      </c>
    </row>
    <row r="71" spans="1:16">
      <c r="A71">
        <v>2125</v>
      </c>
      <c r="B71" t="s">
        <v>936</v>
      </c>
      <c r="D71" s="42">
        <v>1845.18</v>
      </c>
      <c r="L71" s="42">
        <f t="shared" si="5"/>
        <v>1845.18</v>
      </c>
      <c r="N71" s="63">
        <f>+D71-L71</f>
        <v>0</v>
      </c>
    </row>
    <row r="72" spans="1:16">
      <c r="A72">
        <v>2126</v>
      </c>
      <c r="B72" t="s">
        <v>937</v>
      </c>
      <c r="D72" s="42">
        <v>78.87</v>
      </c>
      <c r="L72" s="42">
        <f t="shared" si="5"/>
        <v>78.87</v>
      </c>
      <c r="N72" s="63">
        <f t="shared" si="4"/>
        <v>0</v>
      </c>
    </row>
    <row r="73" spans="1:16">
      <c r="A73">
        <v>2128</v>
      </c>
      <c r="B73" t="s">
        <v>938</v>
      </c>
      <c r="D73" s="42">
        <v>7261.12</v>
      </c>
      <c r="L73" s="42">
        <f t="shared" si="5"/>
        <v>7261.12</v>
      </c>
      <c r="N73" s="63">
        <f t="shared" si="4"/>
        <v>0</v>
      </c>
    </row>
    <row r="74" spans="1:16">
      <c r="A74">
        <v>2142</v>
      </c>
      <c r="B74" t="s">
        <v>939</v>
      </c>
      <c r="D74" s="42">
        <v>15929.23</v>
      </c>
      <c r="L74" s="42">
        <f t="shared" si="5"/>
        <v>15929.23</v>
      </c>
      <c r="N74" s="63">
        <f t="shared" si="4"/>
        <v>0</v>
      </c>
    </row>
    <row r="75" spans="1:16">
      <c r="A75">
        <v>2144</v>
      </c>
      <c r="B75" t="s">
        <v>940</v>
      </c>
      <c r="D75" s="42">
        <v>863.6</v>
      </c>
      <c r="L75" s="42">
        <f t="shared" si="5"/>
        <v>863.6</v>
      </c>
      <c r="N75" s="63">
        <f t="shared" si="4"/>
        <v>0</v>
      </c>
    </row>
    <row r="76" spans="1:16">
      <c r="A76">
        <v>2146</v>
      </c>
      <c r="B76" t="s">
        <v>941</v>
      </c>
      <c r="D76" s="42">
        <v>21789.67</v>
      </c>
      <c r="L76" s="42">
        <f t="shared" si="5"/>
        <v>21789.67</v>
      </c>
      <c r="N76" s="63">
        <f>+D76-L76</f>
        <v>0</v>
      </c>
    </row>
    <row r="77" spans="1:16">
      <c r="A77">
        <v>2180</v>
      </c>
      <c r="B77" t="s">
        <v>942</v>
      </c>
      <c r="D77" s="56">
        <v>33000</v>
      </c>
      <c r="L77" s="56">
        <f t="shared" si="5"/>
        <v>33000</v>
      </c>
      <c r="N77" s="63">
        <f t="shared" si="4"/>
        <v>0</v>
      </c>
    </row>
    <row r="78" spans="1:16">
      <c r="D78" s="42"/>
      <c r="L78" s="42"/>
      <c r="N78" s="63">
        <f t="shared" si="4"/>
        <v>0</v>
      </c>
    </row>
    <row r="79" spans="1:16">
      <c r="B79" t="s">
        <v>943</v>
      </c>
      <c r="D79" s="56">
        <f>SUM(D66:D77)</f>
        <v>270915.26999999996</v>
      </c>
      <c r="L79" s="56">
        <f>SUM(L66:L77)</f>
        <v>270915.26999999996</v>
      </c>
      <c r="N79" s="63">
        <f t="shared" si="4"/>
        <v>0</v>
      </c>
      <c r="P79" s="63">
        <f>+N79</f>
        <v>0</v>
      </c>
    </row>
    <row r="80" spans="1:16">
      <c r="N80" s="63">
        <f t="shared" si="4"/>
        <v>0</v>
      </c>
    </row>
    <row r="81" spans="1:14">
      <c r="B81" t="s">
        <v>944</v>
      </c>
      <c r="N81" s="63">
        <f t="shared" si="4"/>
        <v>0</v>
      </c>
    </row>
    <row r="82" spans="1:14">
      <c r="A82">
        <v>2326</v>
      </c>
      <c r="B82" t="s">
        <v>945</v>
      </c>
      <c r="D82" s="42">
        <v>0</v>
      </c>
      <c r="L82" s="42">
        <f>+D82</f>
        <v>0</v>
      </c>
      <c r="N82" s="63">
        <f t="shared" si="4"/>
        <v>0</v>
      </c>
    </row>
    <row r="83" spans="1:14">
      <c r="A83">
        <v>2324</v>
      </c>
      <c r="B83" t="s">
        <v>946</v>
      </c>
      <c r="D83" s="42">
        <v>0</v>
      </c>
      <c r="L83" s="42">
        <f>+D83</f>
        <v>0</v>
      </c>
      <c r="N83" s="63">
        <f t="shared" ref="N83:N104" si="6">+D83-L83</f>
        <v>0</v>
      </c>
    </row>
    <row r="84" spans="1:14">
      <c r="A84">
        <v>2330</v>
      </c>
      <c r="B84" t="s">
        <v>945</v>
      </c>
      <c r="D84" s="42">
        <v>0</v>
      </c>
      <c r="L84" s="42">
        <f>+D84</f>
        <v>0</v>
      </c>
      <c r="N84" s="63"/>
    </row>
    <row r="85" spans="1:14">
      <c r="A85">
        <v>2332</v>
      </c>
      <c r="B85" s="459" t="s">
        <v>947</v>
      </c>
      <c r="D85" s="42">
        <v>63942.89</v>
      </c>
      <c r="L85" s="42">
        <f>+D85</f>
        <v>63942.89</v>
      </c>
      <c r="N85" s="63"/>
    </row>
    <row r="86" spans="1:14">
      <c r="A86">
        <v>2380</v>
      </c>
      <c r="B86" t="s">
        <v>948</v>
      </c>
      <c r="D86" s="56">
        <v>-33000</v>
      </c>
      <c r="L86" s="56">
        <f>+D86</f>
        <v>-33000</v>
      </c>
      <c r="N86" s="63">
        <f t="shared" si="6"/>
        <v>0</v>
      </c>
    </row>
    <row r="87" spans="1:14">
      <c r="D87" s="42"/>
      <c r="L87" s="42"/>
      <c r="N87" s="63">
        <f t="shared" si="6"/>
        <v>0</v>
      </c>
    </row>
    <row r="88" spans="1:14">
      <c r="B88" t="s">
        <v>949</v>
      </c>
      <c r="D88" s="56">
        <f>SUM(D82:D86)</f>
        <v>30942.89</v>
      </c>
      <c r="L88" s="56">
        <f>SUM(L82:L86)</f>
        <v>30942.89</v>
      </c>
      <c r="N88" s="63">
        <f t="shared" si="6"/>
        <v>0</v>
      </c>
    </row>
    <row r="89" spans="1:14">
      <c r="D89" s="42"/>
      <c r="L89" s="42"/>
      <c r="N89" s="63">
        <f t="shared" si="6"/>
        <v>0</v>
      </c>
    </row>
    <row r="90" spans="1:14">
      <c r="B90" s="459" t="s">
        <v>950</v>
      </c>
      <c r="D90" s="42"/>
      <c r="L90" s="42"/>
      <c r="N90" s="63">
        <f t="shared" si="6"/>
        <v>0</v>
      </c>
    </row>
    <row r="91" spans="1:14">
      <c r="B91" s="459" t="s">
        <v>951</v>
      </c>
      <c r="D91" s="56">
        <v>133407</v>
      </c>
      <c r="L91" s="56">
        <v>0</v>
      </c>
      <c r="N91" s="63">
        <f t="shared" si="6"/>
        <v>133407</v>
      </c>
    </row>
    <row r="92" spans="1:14">
      <c r="D92" s="42"/>
      <c r="L92" s="42"/>
      <c r="N92" s="63">
        <f t="shared" si="6"/>
        <v>0</v>
      </c>
    </row>
    <row r="93" spans="1:14">
      <c r="B93" s="459" t="s">
        <v>952</v>
      </c>
      <c r="D93" s="56">
        <f>+D91</f>
        <v>133407</v>
      </c>
      <c r="L93" s="56">
        <f>+L91</f>
        <v>0</v>
      </c>
      <c r="N93" s="63">
        <f t="shared" si="6"/>
        <v>133407</v>
      </c>
    </row>
    <row r="94" spans="1:14">
      <c r="D94" s="42"/>
      <c r="L94" s="42"/>
      <c r="N94" s="63"/>
    </row>
    <row r="95" spans="1:14">
      <c r="B95" t="s">
        <v>953</v>
      </c>
      <c r="D95" s="42"/>
      <c r="E95" t="s">
        <v>954</v>
      </c>
      <c r="F95" s="42">
        <v>0</v>
      </c>
      <c r="L95" s="42"/>
      <c r="N95" s="63">
        <f t="shared" si="6"/>
        <v>0</v>
      </c>
    </row>
    <row r="96" spans="1:14">
      <c r="A96">
        <v>2701</v>
      </c>
      <c r="B96" t="s">
        <v>955</v>
      </c>
      <c r="D96" s="42">
        <v>11600</v>
      </c>
      <c r="E96" s="459" t="s">
        <v>956</v>
      </c>
      <c r="F96" s="67">
        <v>0</v>
      </c>
      <c r="H96" t="s">
        <v>957</v>
      </c>
      <c r="L96" s="42">
        <v>11600</v>
      </c>
      <c r="N96" s="63">
        <f t="shared" si="6"/>
        <v>0</v>
      </c>
    </row>
    <row r="97" spans="1:14">
      <c r="A97">
        <v>2932</v>
      </c>
      <c r="B97" t="s">
        <v>958</v>
      </c>
      <c r="D97" s="42">
        <v>1908854.57</v>
      </c>
      <c r="E97" t="s">
        <v>959</v>
      </c>
      <c r="F97" s="68">
        <v>0</v>
      </c>
      <c r="L97" s="42">
        <v>971330.73</v>
      </c>
      <c r="N97" s="63">
        <f t="shared" si="6"/>
        <v>937523.84000000008</v>
      </c>
    </row>
    <row r="98" spans="1:14">
      <c r="B98" t="s">
        <v>960</v>
      </c>
      <c r="D98" s="56">
        <f>+D226</f>
        <v>255709.00700000057</v>
      </c>
      <c r="F98" s="67">
        <f>SUM(F95:F97)</f>
        <v>0</v>
      </c>
      <c r="L98" s="56">
        <f>+H226</f>
        <v>416145.59700000053</v>
      </c>
      <c r="N98" s="63">
        <f t="shared" si="6"/>
        <v>-160436.58999999997</v>
      </c>
    </row>
    <row r="99" spans="1:14">
      <c r="D99" s="42"/>
      <c r="L99" s="42"/>
      <c r="N99" s="63">
        <f t="shared" si="6"/>
        <v>0</v>
      </c>
    </row>
    <row r="100" spans="1:14">
      <c r="B100" t="s">
        <v>961</v>
      </c>
      <c r="D100" s="56">
        <f>SUM(D96:D98)</f>
        <v>2176163.5770000005</v>
      </c>
      <c r="L100" s="56">
        <f>SUM(L96:L98)</f>
        <v>1399076.3270000005</v>
      </c>
      <c r="N100" s="63">
        <f t="shared" si="6"/>
        <v>777087.25</v>
      </c>
    </row>
    <row r="101" spans="1:14">
      <c r="N101" s="63">
        <f t="shared" si="6"/>
        <v>0</v>
      </c>
    </row>
    <row r="102" spans="1:14" ht="13.5" thickBot="1">
      <c r="B102" t="s">
        <v>962</v>
      </c>
      <c r="D102" s="122">
        <f>+D79+D88+D93+D100</f>
        <v>2611428.7370000007</v>
      </c>
      <c r="L102" s="54">
        <f>+L79+L88+L100</f>
        <v>1700934.4870000004</v>
      </c>
      <c r="N102" s="63">
        <f t="shared" si="6"/>
        <v>910494.25000000023</v>
      </c>
    </row>
    <row r="103" spans="1:14" ht="13.5" thickTop="1">
      <c r="N103" s="63"/>
    </row>
    <row r="104" spans="1:14">
      <c r="B104" t="s">
        <v>963</v>
      </c>
      <c r="D104" s="547">
        <f>+D47-D102</f>
        <v>2.9999995604157448E-3</v>
      </c>
      <c r="E104" s="459" t="s">
        <v>964</v>
      </c>
      <c r="L104" s="547">
        <f>+L47-L102</f>
        <v>2.9999995604157448E-3</v>
      </c>
      <c r="N104" s="63">
        <f t="shared" si="6"/>
        <v>0</v>
      </c>
    </row>
    <row r="105" spans="1:14">
      <c r="E105" s="53">
        <f>(D79+D88)/D102</f>
        <v>0.11559119179594135</v>
      </c>
      <c r="F105" s="459" t="s">
        <v>965</v>
      </c>
    </row>
    <row r="106" spans="1:14">
      <c r="B106" s="459"/>
      <c r="C106" t="s">
        <v>14</v>
      </c>
    </row>
    <row r="107" spans="1:14">
      <c r="B107" s="459"/>
    </row>
    <row r="112" spans="1:14">
      <c r="A112" s="459" t="s">
        <v>966</v>
      </c>
    </row>
    <row r="113" spans="1:6">
      <c r="D113" s="462" t="s">
        <v>967</v>
      </c>
    </row>
    <row r="114" spans="1:6">
      <c r="D114" s="462" t="s">
        <v>968</v>
      </c>
    </row>
    <row r="115" spans="1:6" ht="13.5" thickBot="1">
      <c r="D115" s="2">
        <v>45473</v>
      </c>
      <c r="E115" s="530" t="s">
        <v>969</v>
      </c>
      <c r="F115" t="s">
        <v>225</v>
      </c>
    </row>
    <row r="116" spans="1:6" ht="13.5" thickTop="1"/>
    <row r="117" spans="1:6">
      <c r="A117" t="s">
        <v>230</v>
      </c>
    </row>
    <row r="118" spans="1:6">
      <c r="A118">
        <v>3100</v>
      </c>
      <c r="B118" t="s">
        <v>231</v>
      </c>
      <c r="D118" s="5">
        <f>'Monthy Income Statements'!O10</f>
        <v>2122236.2999999998</v>
      </c>
    </row>
    <row r="119" spans="1:6">
      <c r="A119">
        <v>3112</v>
      </c>
      <c r="B119" t="s">
        <v>232</v>
      </c>
      <c r="D119" s="5">
        <f>'Monthy Income Statements'!O11</f>
        <v>310699.99999999994</v>
      </c>
    </row>
    <row r="120" spans="1:6">
      <c r="A120">
        <v>3114</v>
      </c>
      <c r="B120" t="s">
        <v>233</v>
      </c>
      <c r="D120" s="5">
        <f>'Monthy Income Statements'!O12</f>
        <v>115021.26999999999</v>
      </c>
    </row>
    <row r="121" spans="1:6">
      <c r="A121">
        <v>3300</v>
      </c>
      <c r="B121" t="s">
        <v>234</v>
      </c>
      <c r="D121" s="5">
        <f>'Monthy Income Statements'!O13</f>
        <v>275552.33999999997</v>
      </c>
    </row>
    <row r="122" spans="1:6">
      <c r="A122">
        <v>3310</v>
      </c>
      <c r="B122" t="s">
        <v>235</v>
      </c>
      <c r="D122" s="5">
        <f>'Monthy Income Statements'!O14</f>
        <v>462056.2</v>
      </c>
      <c r="E122" s="5"/>
      <c r="F122" s="5"/>
    </row>
    <row r="123" spans="1:6">
      <c r="A123">
        <v>3410</v>
      </c>
      <c r="B123" t="s">
        <v>236</v>
      </c>
      <c r="D123" s="5">
        <f>'Monthy Income Statements'!O15</f>
        <v>90645.74</v>
      </c>
    </row>
    <row r="124" spans="1:6">
      <c r="A124">
        <v>3450</v>
      </c>
      <c r="B124" t="s">
        <v>237</v>
      </c>
      <c r="D124" s="5">
        <f>'Monthy Income Statements'!O16</f>
        <v>37242.5</v>
      </c>
    </row>
    <row r="125" spans="1:6">
      <c r="A125">
        <v>3460</v>
      </c>
      <c r="B125" t="s">
        <v>238</v>
      </c>
      <c r="D125" s="5">
        <f>'Monthy Income Statements'!O17</f>
        <v>0</v>
      </c>
    </row>
    <row r="126" spans="1:6">
      <c r="A126">
        <v>3500</v>
      </c>
      <c r="B126" t="s">
        <v>239</v>
      </c>
      <c r="D126" s="38">
        <f>'Monthy Income Statements'!O18</f>
        <v>0</v>
      </c>
    </row>
    <row r="127" spans="1:6">
      <c r="D127" s="5"/>
    </row>
    <row r="128" spans="1:6" ht="13.5" thickBot="1">
      <c r="B128" t="s">
        <v>240</v>
      </c>
      <c r="D128" s="6">
        <f>SUM(D118:D126)</f>
        <v>3413454.35</v>
      </c>
      <c r="F128" s="6">
        <f>SUM(F118:F126)</f>
        <v>0</v>
      </c>
    </row>
    <row r="129" spans="1:14">
      <c r="D129" s="5"/>
    </row>
    <row r="130" spans="1:14">
      <c r="A130" t="s">
        <v>241</v>
      </c>
      <c r="D130" s="5"/>
    </row>
    <row r="131" spans="1:14">
      <c r="A131" t="s">
        <v>242</v>
      </c>
      <c r="D131" s="5"/>
    </row>
    <row r="132" spans="1:14">
      <c r="A132">
        <v>4116</v>
      </c>
      <c r="B132" t="s">
        <v>243</v>
      </c>
      <c r="D132" s="5">
        <f>'Monthy Income Statements'!O24</f>
        <v>128214.31999999999</v>
      </c>
      <c r="J132" s="459" t="s">
        <v>970</v>
      </c>
      <c r="N132" s="5">
        <f>SUM(D132:D136)+SUM(D147:D151)+SUM(D171:D173)</f>
        <v>826808.57</v>
      </c>
    </row>
    <row r="133" spans="1:14">
      <c r="A133">
        <v>4117</v>
      </c>
      <c r="B133" t="s">
        <v>971</v>
      </c>
      <c r="D133" s="5">
        <f>'Monthy Income Statements'!O25</f>
        <v>1875.4300000000003</v>
      </c>
      <c r="J133" s="459" t="s">
        <v>972</v>
      </c>
      <c r="N133" s="5">
        <f>SUM(D183:D184)</f>
        <v>101911.82999999999</v>
      </c>
    </row>
    <row r="134" spans="1:14">
      <c r="A134">
        <v>4118</v>
      </c>
      <c r="B134" t="s">
        <v>246</v>
      </c>
      <c r="D134" s="5">
        <f>'Monthy Income Statements'!O26</f>
        <v>9680.5999999999985</v>
      </c>
      <c r="J134" s="459" t="s">
        <v>973</v>
      </c>
      <c r="N134" s="5">
        <f>+SUM(D152:D156)</f>
        <v>147279.253</v>
      </c>
    </row>
    <row r="135" spans="1:14">
      <c r="A135">
        <v>4120</v>
      </c>
      <c r="B135" t="s">
        <v>974</v>
      </c>
      <c r="D135" s="5">
        <f>'Monthy Income Statements'!O27</f>
        <v>0</v>
      </c>
      <c r="J135" s="459" t="s">
        <v>975</v>
      </c>
      <c r="N135" s="5">
        <f>+SUM(D137:D145)</f>
        <v>137937.35</v>
      </c>
    </row>
    <row r="136" spans="1:14">
      <c r="A136">
        <v>4122</v>
      </c>
      <c r="B136" t="s">
        <v>248</v>
      </c>
      <c r="D136" s="5">
        <f>'Monthy Income Statements'!O28</f>
        <v>2463.7900000000004</v>
      </c>
      <c r="J136" s="459" t="s">
        <v>976</v>
      </c>
      <c r="N136" s="5">
        <f>SUM(D167:D169)</f>
        <v>116397.70000000001</v>
      </c>
    </row>
    <row r="137" spans="1:14">
      <c r="A137">
        <v>4132</v>
      </c>
      <c r="B137" t="s">
        <v>249</v>
      </c>
      <c r="D137" s="5">
        <f>'Monthy Income Statements'!O29</f>
        <v>72403.460000000006</v>
      </c>
      <c r="J137" s="459" t="s">
        <v>977</v>
      </c>
      <c r="N137" s="5">
        <f>SUM(D158:D162)</f>
        <v>1157918.8</v>
      </c>
    </row>
    <row r="138" spans="1:14">
      <c r="A138">
        <v>4133</v>
      </c>
      <c r="B138" t="s">
        <v>978</v>
      </c>
      <c r="D138" s="5">
        <f>'Monthy Income Statements'!O30</f>
        <v>13243.509999999998</v>
      </c>
      <c r="J138" s="459" t="s">
        <v>326</v>
      </c>
      <c r="N138" s="5">
        <f>SUM(D192:D193)</f>
        <v>265651.5</v>
      </c>
    </row>
    <row r="139" spans="1:14">
      <c r="A139">
        <v>4134</v>
      </c>
      <c r="B139" t="s">
        <v>251</v>
      </c>
      <c r="D139" s="5">
        <f>'Monthy Income Statements'!O31</f>
        <v>13343.75</v>
      </c>
      <c r="J139" s="459" t="s">
        <v>979</v>
      </c>
      <c r="N139" s="5">
        <f>SUM(D164:D165)</f>
        <v>1995</v>
      </c>
    </row>
    <row r="140" spans="1:14">
      <c r="A140">
        <v>4134</v>
      </c>
      <c r="B140" t="s">
        <v>980</v>
      </c>
      <c r="D140" s="5">
        <f>'Monthy Income Statements'!O32</f>
        <v>37.83</v>
      </c>
      <c r="J140" s="459" t="s">
        <v>981</v>
      </c>
      <c r="N140" s="5">
        <f>SUM(D174:D182)+SUM(D187:D190)</f>
        <v>130196.53</v>
      </c>
    </row>
    <row r="141" spans="1:14">
      <c r="A141">
        <v>4138</v>
      </c>
      <c r="B141" t="s">
        <v>253</v>
      </c>
      <c r="D141" s="5">
        <f>'Monthy Income Statements'!O33</f>
        <v>0</v>
      </c>
      <c r="J141" s="459" t="s">
        <v>982</v>
      </c>
      <c r="N141">
        <v>0</v>
      </c>
    </row>
    <row r="142" spans="1:14">
      <c r="A142">
        <v>4160</v>
      </c>
      <c r="B142" t="s">
        <v>254</v>
      </c>
      <c r="D142" s="5">
        <f>'Monthy Income Statements'!O34</f>
        <v>23746.66</v>
      </c>
      <c r="J142" s="459" t="s">
        <v>983</v>
      </c>
      <c r="N142" s="5">
        <f>SUM(D197:D204)</f>
        <v>152595.44999999998</v>
      </c>
    </row>
    <row r="143" spans="1:14">
      <c r="A143">
        <v>4162</v>
      </c>
      <c r="B143" t="s">
        <v>984</v>
      </c>
      <c r="D143" s="5">
        <f>'Monthy Income Statements'!O35</f>
        <v>0</v>
      </c>
      <c r="J143" s="459" t="s">
        <v>985</v>
      </c>
      <c r="N143" s="5">
        <f>+D206+D207</f>
        <v>124752</v>
      </c>
    </row>
    <row r="144" spans="1:14">
      <c r="A144">
        <v>4164</v>
      </c>
      <c r="B144" t="s">
        <v>986</v>
      </c>
      <c r="D144" s="5">
        <f>'Monthy Income Statements'!O36</f>
        <v>0</v>
      </c>
      <c r="J144" s="459" t="s">
        <v>987</v>
      </c>
      <c r="N144" s="65"/>
    </row>
    <row r="145" spans="1:15">
      <c r="A145">
        <v>4180</v>
      </c>
      <c r="B145" t="s">
        <v>258</v>
      </c>
      <c r="D145" s="5">
        <f>'Monthy Income Statements'!O37</f>
        <v>15162.140000000001</v>
      </c>
    </row>
    <row r="146" spans="1:15">
      <c r="A146" t="s">
        <v>259</v>
      </c>
      <c r="D146" s="5"/>
      <c r="K146" s="459" t="s">
        <v>27</v>
      </c>
      <c r="N146" s="5">
        <f>SUM(N132:N144)</f>
        <v>3163443.983</v>
      </c>
      <c r="O146" t="str">
        <f>IF(N146=D209,"OK", "ERR")</f>
        <v>OK</v>
      </c>
    </row>
    <row r="147" spans="1:15">
      <c r="A147">
        <v>4210</v>
      </c>
      <c r="B147" t="s">
        <v>260</v>
      </c>
      <c r="D147" s="5">
        <v>0</v>
      </c>
    </row>
    <row r="148" spans="1:15">
      <c r="A148">
        <v>4213</v>
      </c>
      <c r="B148" t="s">
        <v>261</v>
      </c>
      <c r="D148" s="5">
        <f>'Monthy Income Statements'!O40</f>
        <v>356065.02999999997</v>
      </c>
    </row>
    <row r="149" spans="1:15">
      <c r="A149">
        <v>4215</v>
      </c>
      <c r="B149" t="s">
        <v>262</v>
      </c>
      <c r="D149" s="5">
        <f>'Monthy Income Statements'!O41</f>
        <v>52288.270000000004</v>
      </c>
    </row>
    <row r="150" spans="1:15">
      <c r="A150">
        <v>4217</v>
      </c>
      <c r="B150" t="s">
        <v>264</v>
      </c>
      <c r="D150" s="5">
        <f>'Monthy Income Statements'!O42</f>
        <v>23495.61</v>
      </c>
    </row>
    <row r="151" spans="1:15">
      <c r="A151">
        <v>4222</v>
      </c>
      <c r="B151" t="s">
        <v>265</v>
      </c>
      <c r="D151" s="5">
        <f>'Monthy Income Statements'!O43</f>
        <v>9997.2900000000009</v>
      </c>
    </row>
    <row r="152" spans="1:15">
      <c r="A152">
        <v>4240</v>
      </c>
      <c r="B152" t="s">
        <v>266</v>
      </c>
      <c r="D152" s="5">
        <f>'Monthy Income Statements'!O44</f>
        <v>110562</v>
      </c>
    </row>
    <row r="153" spans="1:15">
      <c r="A153">
        <v>4242</v>
      </c>
      <c r="B153" t="s">
        <v>267</v>
      </c>
      <c r="D153" s="5">
        <f>'Monthy Income Statements'!O45</f>
        <v>27358.28</v>
      </c>
    </row>
    <row r="154" spans="1:15">
      <c r="A154">
        <v>4244</v>
      </c>
      <c r="B154" t="s">
        <v>268</v>
      </c>
      <c r="D154" s="5">
        <f>'Monthy Income Statements'!O46</f>
        <v>4247.1930000000002</v>
      </c>
    </row>
    <row r="155" spans="1:15">
      <c r="A155">
        <v>4280</v>
      </c>
      <c r="B155" t="s">
        <v>269</v>
      </c>
      <c r="D155" s="5">
        <f>'Monthy Income Statements'!O47</f>
        <v>5111.78</v>
      </c>
    </row>
    <row r="156" spans="1:15">
      <c r="A156">
        <v>4282</v>
      </c>
      <c r="B156" t="s">
        <v>270</v>
      </c>
      <c r="D156" s="5">
        <f>'Monthy Income Statements'!O48</f>
        <v>0</v>
      </c>
    </row>
    <row r="157" spans="1:15">
      <c r="A157" t="s">
        <v>271</v>
      </c>
      <c r="D157" s="5"/>
    </row>
    <row r="158" spans="1:15">
      <c r="A158">
        <v>4360</v>
      </c>
      <c r="B158" t="s">
        <v>272</v>
      </c>
      <c r="D158" s="5">
        <f>'Monthy Income Statements'!O50</f>
        <v>439151.59</v>
      </c>
    </row>
    <row r="159" spans="1:15">
      <c r="A159">
        <v>4361</v>
      </c>
      <c r="B159" t="s">
        <v>273</v>
      </c>
      <c r="D159" s="5">
        <f>'Monthy Income Statements'!O51</f>
        <v>333898.95999999996</v>
      </c>
    </row>
    <row r="160" spans="1:15">
      <c r="A160">
        <v>4362</v>
      </c>
      <c r="B160" t="s">
        <v>274</v>
      </c>
      <c r="D160" s="5">
        <f>'Monthy Income Statements'!O52</f>
        <v>246015.2</v>
      </c>
    </row>
    <row r="161" spans="1:4">
      <c r="A161">
        <v>4363</v>
      </c>
      <c r="B161" t="s">
        <v>275</v>
      </c>
      <c r="D161" s="5">
        <f>'Monthy Income Statements'!O53</f>
        <v>132638.97999999998</v>
      </c>
    </row>
    <row r="162" spans="1:4">
      <c r="A162">
        <v>4380</v>
      </c>
      <c r="B162" t="s">
        <v>276</v>
      </c>
      <c r="D162" s="5">
        <f>'Monthy Income Statements'!O54</f>
        <v>6214.07</v>
      </c>
    </row>
    <row r="163" spans="1:4">
      <c r="A163" t="s">
        <v>277</v>
      </c>
      <c r="D163" s="5"/>
    </row>
    <row r="164" spans="1:4">
      <c r="A164">
        <v>4430</v>
      </c>
      <c r="B164" t="s">
        <v>278</v>
      </c>
      <c r="D164" s="5">
        <f>'Monthy Income Statements'!O56</f>
        <v>0</v>
      </c>
    </row>
    <row r="165" spans="1:4">
      <c r="A165">
        <v>4450</v>
      </c>
      <c r="B165" t="s">
        <v>279</v>
      </c>
      <c r="D165" s="5">
        <f>'Monthy Income Statements'!O57</f>
        <v>1995</v>
      </c>
    </row>
    <row r="166" spans="1:4">
      <c r="A166" t="s">
        <v>280</v>
      </c>
      <c r="D166" s="5"/>
    </row>
    <row r="167" spans="1:4">
      <c r="A167">
        <v>4530</v>
      </c>
      <c r="B167" t="s">
        <v>281</v>
      </c>
      <c r="D167" s="5">
        <f>'Monthy Income Statements'!O59</f>
        <v>93303.27</v>
      </c>
    </row>
    <row r="168" spans="1:4">
      <c r="A168">
        <v>4540</v>
      </c>
      <c r="B168" t="s">
        <v>282</v>
      </c>
      <c r="D168" s="5">
        <f>'Monthy Income Statements'!O60</f>
        <v>23094.43</v>
      </c>
    </row>
    <row r="169" spans="1:4">
      <c r="A169">
        <v>4580</v>
      </c>
      <c r="B169" t="s">
        <v>283</v>
      </c>
      <c r="D169" s="5">
        <f>'Monthy Income Statements'!O61</f>
        <v>0</v>
      </c>
    </row>
    <row r="170" spans="1:4">
      <c r="A170" t="s">
        <v>284</v>
      </c>
      <c r="D170" s="5"/>
    </row>
    <row r="171" spans="1:4">
      <c r="A171">
        <v>4611</v>
      </c>
      <c r="B171" t="s">
        <v>285</v>
      </c>
      <c r="D171" s="5">
        <f>'Monthy Income Statements'!O63</f>
        <v>79872</v>
      </c>
    </row>
    <row r="172" spans="1:4">
      <c r="A172">
        <v>4612</v>
      </c>
      <c r="B172" t="s">
        <v>286</v>
      </c>
      <c r="D172" s="5">
        <f>'Monthy Income Statements'!O64</f>
        <v>30856.23</v>
      </c>
    </row>
    <row r="173" spans="1:4">
      <c r="A173">
        <v>4613</v>
      </c>
      <c r="B173" t="s">
        <v>287</v>
      </c>
      <c r="D173" s="5">
        <f>'Monthy Income Statements'!O65</f>
        <v>132000</v>
      </c>
    </row>
    <row r="174" spans="1:4">
      <c r="A174">
        <v>4620</v>
      </c>
      <c r="B174" t="s">
        <v>288</v>
      </c>
      <c r="D174" s="5">
        <f>'Monthy Income Statements'!O66</f>
        <v>49498.58</v>
      </c>
    </row>
    <row r="175" spans="1:4">
      <c r="A175">
        <v>4622</v>
      </c>
      <c r="B175" t="s">
        <v>289</v>
      </c>
      <c r="D175" s="5">
        <f>'Monthy Income Statements'!O67</f>
        <v>0</v>
      </c>
    </row>
    <row r="176" spans="1:4">
      <c r="A176">
        <v>4624</v>
      </c>
      <c r="B176" t="s">
        <v>290</v>
      </c>
      <c r="D176" s="5">
        <f>'Monthy Income Statements'!O68</f>
        <v>290.27</v>
      </c>
    </row>
    <row r="177" spans="1:6">
      <c r="A177">
        <v>4625</v>
      </c>
      <c r="B177" t="s">
        <v>291</v>
      </c>
      <c r="D177" s="5">
        <f>'Monthy Income Statements'!O69</f>
        <v>2953.48</v>
      </c>
    </row>
    <row r="178" spans="1:6">
      <c r="A178">
        <v>4627</v>
      </c>
      <c r="B178" t="s">
        <v>292</v>
      </c>
      <c r="D178" s="5">
        <f>'Monthy Income Statements'!O70</f>
        <v>1116.03</v>
      </c>
    </row>
    <row r="179" spans="1:6">
      <c r="A179">
        <v>4628</v>
      </c>
      <c r="B179" t="s">
        <v>666</v>
      </c>
      <c r="D179" s="5">
        <f>'Monthy Income Statements'!O71</f>
        <v>25526.959999999999</v>
      </c>
    </row>
    <row r="180" spans="1:6">
      <c r="A180">
        <v>4630</v>
      </c>
      <c r="B180" t="s">
        <v>294</v>
      </c>
      <c r="D180" s="5">
        <f>'Monthy Income Statements'!O72</f>
        <v>1859.04</v>
      </c>
    </row>
    <row r="181" spans="1:6">
      <c r="A181">
        <v>4640</v>
      </c>
      <c r="B181" t="s">
        <v>295</v>
      </c>
      <c r="D181" s="5">
        <f>'Monthy Income Statements'!O73</f>
        <v>15977.070000000003</v>
      </c>
    </row>
    <row r="182" spans="1:6">
      <c r="A182">
        <v>4642</v>
      </c>
      <c r="B182" s="459" t="s">
        <v>296</v>
      </c>
      <c r="D182" s="5">
        <f>'Monthy Income Statements'!O74</f>
        <v>1160.2599999999998</v>
      </c>
    </row>
    <row r="183" spans="1:6">
      <c r="A183">
        <v>4650</v>
      </c>
      <c r="B183" t="s">
        <v>297</v>
      </c>
      <c r="D183" s="5">
        <f>'Monthy Income Statements'!O75</f>
        <v>88939.279999999984</v>
      </c>
    </row>
    <row r="184" spans="1:6">
      <c r="A184">
        <v>4652</v>
      </c>
      <c r="B184" t="s">
        <v>298</v>
      </c>
      <c r="D184" s="5">
        <f>'Monthy Income Statements'!O76</f>
        <v>12972.55</v>
      </c>
    </row>
    <row r="185" spans="1:6">
      <c r="A185">
        <v>4660</v>
      </c>
      <c r="B185" t="s">
        <v>299</v>
      </c>
      <c r="D185" s="5">
        <f>'Monthy Income Statements'!O77</f>
        <v>0</v>
      </c>
    </row>
    <row r="186" spans="1:6">
      <c r="A186">
        <v>4670</v>
      </c>
      <c r="B186" t="s">
        <v>300</v>
      </c>
      <c r="D186" s="5">
        <f>'Monthy Income Statements'!O78</f>
        <v>0</v>
      </c>
    </row>
    <row r="187" spans="1:6">
      <c r="A187">
        <v>4680</v>
      </c>
      <c r="B187" t="s">
        <v>301</v>
      </c>
      <c r="D187" s="5">
        <f>'Monthy Income Statements'!O79</f>
        <v>14726.46</v>
      </c>
    </row>
    <row r="188" spans="1:6">
      <c r="A188">
        <v>4692</v>
      </c>
      <c r="B188" t="s">
        <v>302</v>
      </c>
      <c r="D188" s="5">
        <f>'Monthy Income Statements'!O80</f>
        <v>15634.43</v>
      </c>
    </row>
    <row r="189" spans="1:6">
      <c r="A189">
        <v>4694</v>
      </c>
      <c r="B189" t="s">
        <v>303</v>
      </c>
      <c r="D189" s="5">
        <f>'Monthy Income Statements'!O81</f>
        <v>0</v>
      </c>
    </row>
    <row r="190" spans="1:6">
      <c r="A190">
        <v>4698</v>
      </c>
      <c r="B190" t="s">
        <v>304</v>
      </c>
      <c r="D190" s="5">
        <f>'Monthy Income Statements'!O82</f>
        <v>1453.9499999999998</v>
      </c>
    </row>
    <row r="191" spans="1:6">
      <c r="A191" t="s">
        <v>305</v>
      </c>
      <c r="D191" s="5"/>
    </row>
    <row r="192" spans="1:6">
      <c r="A192">
        <v>5010</v>
      </c>
      <c r="B192" t="s">
        <v>306</v>
      </c>
      <c r="C192" s="463">
        <f>+'Results of Operations Co'!F85</f>
        <v>287167</v>
      </c>
      <c r="D192" s="463">
        <f>+C192</f>
        <v>287167</v>
      </c>
      <c r="E192" s="5">
        <f>+'Results of Operations Co'!C85</f>
        <v>249077</v>
      </c>
      <c r="F192" s="5">
        <f>+E192-D192</f>
        <v>-38090</v>
      </c>
    </row>
    <row r="193" spans="1:9">
      <c r="A193">
        <v>5100</v>
      </c>
      <c r="B193" t="s">
        <v>307</v>
      </c>
      <c r="C193" s="463">
        <f>+'Results of Operations Co'!F86</f>
        <v>-21515.5</v>
      </c>
      <c r="D193" s="463">
        <f>+C193</f>
        <v>-21515.5</v>
      </c>
      <c r="E193" s="5">
        <f>+'Results of Operations Co'!C86</f>
        <v>-143862.09</v>
      </c>
      <c r="F193" s="5">
        <f>+E193-D193</f>
        <v>-122346.59</v>
      </c>
    </row>
    <row r="194" spans="1:9">
      <c r="A194" t="s">
        <v>308</v>
      </c>
      <c r="D194" s="5"/>
    </row>
    <row r="195" spans="1:9">
      <c r="A195">
        <v>5151</v>
      </c>
      <c r="B195" t="s">
        <v>309</v>
      </c>
      <c r="D195" s="5">
        <f>'Monthy Income Statements'!O87</f>
        <v>0</v>
      </c>
    </row>
    <row r="196" spans="1:9">
      <c r="A196" t="s">
        <v>310</v>
      </c>
      <c r="D196" s="5"/>
    </row>
    <row r="197" spans="1:9">
      <c r="A197">
        <v>5220</v>
      </c>
      <c r="B197" t="s">
        <v>311</v>
      </c>
      <c r="D197" s="5">
        <f>'Monthy Income Statements'!O89</f>
        <v>8440.630000000001</v>
      </c>
    </row>
    <row r="198" spans="1:9">
      <c r="A198">
        <v>5230</v>
      </c>
      <c r="B198" t="s">
        <v>312</v>
      </c>
      <c r="D198" s="5">
        <f>'Monthy Income Statements'!O90</f>
        <v>2655.59</v>
      </c>
    </row>
    <row r="199" spans="1:9">
      <c r="A199">
        <v>5240</v>
      </c>
      <c r="B199" t="s">
        <v>313</v>
      </c>
      <c r="D199" s="5">
        <f>'Monthy Income Statements'!O91</f>
        <v>63250.929999999993</v>
      </c>
      <c r="I199" s="61"/>
    </row>
    <row r="200" spans="1:9">
      <c r="A200">
        <v>5241</v>
      </c>
      <c r="B200" t="s">
        <v>314</v>
      </c>
      <c r="D200" s="5">
        <f>'Monthy Income Statements'!O92</f>
        <v>637.81000000000006</v>
      </c>
    </row>
    <row r="201" spans="1:9">
      <c r="A201">
        <v>5242</v>
      </c>
      <c r="B201" t="s">
        <v>315</v>
      </c>
      <c r="D201" s="5">
        <f>'Monthy Income Statements'!O93</f>
        <v>5698.62</v>
      </c>
    </row>
    <row r="202" spans="1:9">
      <c r="A202">
        <v>5260</v>
      </c>
      <c r="B202" t="s">
        <v>316</v>
      </c>
      <c r="D202" s="5">
        <f>'Monthy Income Statements'!O94</f>
        <v>60782.270000000004</v>
      </c>
    </row>
    <row r="203" spans="1:9">
      <c r="A203">
        <v>5270</v>
      </c>
      <c r="B203" t="s">
        <v>317</v>
      </c>
      <c r="D203" s="5">
        <f>'Monthy Income Statements'!O95</f>
        <v>10854.68</v>
      </c>
    </row>
    <row r="204" spans="1:9">
      <c r="A204">
        <v>5290</v>
      </c>
      <c r="B204" t="s">
        <v>318</v>
      </c>
      <c r="D204" s="5">
        <f>'Monthy Income Statements'!O96</f>
        <v>274.92</v>
      </c>
    </row>
    <row r="205" spans="1:9">
      <c r="A205" t="s">
        <v>319</v>
      </c>
      <c r="D205" s="5"/>
    </row>
    <row r="206" spans="1:9">
      <c r="A206">
        <v>5320</v>
      </c>
      <c r="B206" t="s">
        <v>320</v>
      </c>
      <c r="D206" s="5">
        <f>'Monthy Income Statements'!O98</f>
        <v>94356</v>
      </c>
    </row>
    <row r="207" spans="1:9" ht="13.5" thickBot="1">
      <c r="A207">
        <v>5320</v>
      </c>
      <c r="B207" t="s">
        <v>321</v>
      </c>
      <c r="D207" s="6">
        <f>'Monthy Income Statements'!O99</f>
        <v>30396</v>
      </c>
    </row>
    <row r="208" spans="1:9">
      <c r="D208" s="5"/>
    </row>
    <row r="209" spans="1:9" ht="13.5" thickBot="1">
      <c r="B209" t="s">
        <v>322</v>
      </c>
      <c r="D209" s="6">
        <f>SUM(D132:D207)</f>
        <v>3163443.9829999995</v>
      </c>
      <c r="F209" s="6">
        <f>SUM(F132:F207)</f>
        <v>-160436.59</v>
      </c>
      <c r="H209" s="530"/>
    </row>
    <row r="210" spans="1:9">
      <c r="D210" s="5"/>
      <c r="H210" s="530" t="s">
        <v>217</v>
      </c>
    </row>
    <row r="211" spans="1:9" ht="13.5" thickBot="1">
      <c r="B211" t="s">
        <v>323</v>
      </c>
      <c r="D211" s="6">
        <f>+D128-D209</f>
        <v>250010.36700000055</v>
      </c>
      <c r="F211" s="5">
        <f>+F128-F209</f>
        <v>160436.59</v>
      </c>
      <c r="H211" s="7">
        <f>+D211+F211</f>
        <v>410446.95700000052</v>
      </c>
      <c r="I211" s="60" t="str">
        <f>IF(ROUND(H211,2)=ROUND('Results of Operations Co'!C104,2),"OK","err")</f>
        <v>OK</v>
      </c>
    </row>
    <row r="212" spans="1:9">
      <c r="D212" s="5"/>
    </row>
    <row r="213" spans="1:9">
      <c r="A213" t="s">
        <v>668</v>
      </c>
      <c r="D213" s="5"/>
    </row>
    <row r="214" spans="1:9">
      <c r="A214">
        <v>6110</v>
      </c>
      <c r="B214" s="459" t="s">
        <v>988</v>
      </c>
      <c r="D214" s="5">
        <v>0</v>
      </c>
      <c r="E214" s="67"/>
      <c r="F214" s="5">
        <f>-D214+E214</f>
        <v>0</v>
      </c>
    </row>
    <row r="215" spans="1:9">
      <c r="A215">
        <v>6200</v>
      </c>
      <c r="B215" t="s">
        <v>671</v>
      </c>
      <c r="D215" s="5">
        <f>'Monthy Income Statements'!O107</f>
        <v>0</v>
      </c>
      <c r="E215" s="5"/>
      <c r="F215" s="5"/>
    </row>
    <row r="216" spans="1:9">
      <c r="A216">
        <v>6455</v>
      </c>
      <c r="B216" t="s">
        <v>326</v>
      </c>
      <c r="D216" s="463">
        <v>-3598</v>
      </c>
      <c r="E216" s="5">
        <v>-3598</v>
      </c>
      <c r="F216" s="5">
        <f>+E216-D216</f>
        <v>0</v>
      </c>
    </row>
    <row r="217" spans="1:9">
      <c r="A217">
        <v>6512</v>
      </c>
      <c r="B217" t="s">
        <v>672</v>
      </c>
      <c r="D217" s="5">
        <f>'Monthy Income Statements'!O109</f>
        <v>4353.46</v>
      </c>
      <c r="F217" s="5"/>
    </row>
    <row r="218" spans="1:9">
      <c r="A218">
        <v>6514</v>
      </c>
      <c r="B218" t="s">
        <v>673</v>
      </c>
      <c r="D218" s="5">
        <f>'Monthy Income Statements'!O110</f>
        <v>0</v>
      </c>
      <c r="F218" s="5"/>
    </row>
    <row r="219" spans="1:9">
      <c r="A219">
        <v>7110</v>
      </c>
      <c r="B219" t="s">
        <v>674</v>
      </c>
      <c r="D219" s="5">
        <f>'Monthy Income Statements'!O111</f>
        <v>-4410.07</v>
      </c>
      <c r="F219" s="5"/>
    </row>
    <row r="220" spans="1:9" ht="13.5" thickBot="1">
      <c r="A220">
        <v>6120</v>
      </c>
      <c r="B220" t="s">
        <v>675</v>
      </c>
      <c r="D220" s="6">
        <f>'Monthy Income Statements'!O112</f>
        <v>9353.25</v>
      </c>
      <c r="E220" s="69"/>
      <c r="F220" s="70"/>
      <c r="H220" s="65"/>
    </row>
    <row r="221" spans="1:9">
      <c r="D221" s="5"/>
    </row>
    <row r="222" spans="1:9" ht="13.5" thickBot="1">
      <c r="B222" t="s">
        <v>676</v>
      </c>
      <c r="D222" s="6">
        <f>SUM(D214:D220)</f>
        <v>5698.64</v>
      </c>
      <c r="F222" s="6">
        <f>SUM(F214:F220)</f>
        <v>0</v>
      </c>
    </row>
    <row r="223" spans="1:9">
      <c r="D223" s="5"/>
      <c r="F223" s="5"/>
    </row>
    <row r="224" spans="1:9" ht="13.5" thickBot="1">
      <c r="B224" t="s">
        <v>677</v>
      </c>
      <c r="D224" s="6">
        <f>+D211+D222</f>
        <v>255709.00700000057</v>
      </c>
      <c r="F224" s="6">
        <f>+F211+F222</f>
        <v>160436.59</v>
      </c>
      <c r="H224" s="7">
        <f>+D224+F224</f>
        <v>416145.59700000053</v>
      </c>
    </row>
    <row r="225" spans="2:8">
      <c r="D225" s="5"/>
      <c r="F225" s="5"/>
    </row>
    <row r="226" spans="2:8" ht="13.5" thickBot="1">
      <c r="B226" t="s">
        <v>678</v>
      </c>
      <c r="D226" s="7">
        <f>+D224</f>
        <v>255709.00700000057</v>
      </c>
      <c r="F226" s="7">
        <f>+F224</f>
        <v>160436.59</v>
      </c>
      <c r="H226" s="7">
        <f>+D226+F226</f>
        <v>416145.59700000053</v>
      </c>
    </row>
    <row r="227" spans="2:8" ht="13.5" thickTop="1">
      <c r="D227" s="5"/>
    </row>
    <row r="228" spans="2:8">
      <c r="D228" s="5"/>
    </row>
    <row r="229" spans="2:8">
      <c r="D229" s="5"/>
    </row>
    <row r="230" spans="2:8">
      <c r="D230" s="5"/>
    </row>
    <row r="231" spans="2:8">
      <c r="D231" s="5"/>
    </row>
  </sheetData>
  <phoneticPr fontId="0" type="noConversion"/>
  <pageMargins left="0.75" right="0.75" top="1" bottom="1" header="0.5" footer="0.5"/>
  <pageSetup scale="57" fitToHeight="0" orientation="landscape" r:id="rId1"/>
  <headerFooter alignWithMargins="0"/>
  <rowBreaks count="2" manualBreakCount="2">
    <brk id="53" max="15" man="1"/>
    <brk id="113" max="15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">
    <tabColor theme="5" tint="0.59999389629810485"/>
    <pageSetUpPr fitToPage="1"/>
  </sheetPr>
  <dimension ref="A1:AT113"/>
  <sheetViews>
    <sheetView topLeftCell="A10" workbookViewId="0">
      <selection activeCell="E34" sqref="E34"/>
    </sheetView>
  </sheetViews>
  <sheetFormatPr defaultColWidth="16.7109375" defaultRowHeight="15"/>
  <cols>
    <col min="1" max="1" width="4.85546875" style="309" customWidth="1"/>
    <col min="2" max="2" width="33.5703125" style="312" bestFit="1" customWidth="1"/>
    <col min="3" max="3" width="21.28515625" style="312" customWidth="1"/>
    <col min="4" max="4" width="21.28515625" style="312" hidden="1" customWidth="1"/>
    <col min="5" max="5" width="7.28515625" style="312" customWidth="1"/>
    <col min="6" max="6" width="5.7109375" style="309" customWidth="1"/>
    <col min="7" max="7" width="8.5703125" style="309" customWidth="1"/>
    <col min="8" max="8" width="15" style="309" customWidth="1"/>
    <col min="9" max="9" width="17.7109375" style="309" customWidth="1"/>
    <col min="10" max="10" width="13.28515625" style="309" customWidth="1"/>
    <col min="11" max="11" width="15.140625" style="309" bestFit="1" customWidth="1"/>
    <col min="12" max="13" width="18.42578125" style="309" customWidth="1"/>
    <col min="14" max="14" width="6.140625" style="309" customWidth="1"/>
    <col min="15" max="15" width="6.28515625" style="312" customWidth="1"/>
    <col min="16" max="16" width="40.42578125" style="312" customWidth="1"/>
    <col min="17" max="17" width="16.7109375" style="311"/>
    <col min="18" max="18" width="13.85546875" style="310" customWidth="1"/>
    <col min="19" max="19" width="16.7109375" style="309"/>
    <col min="20" max="20" width="13.42578125" style="309" customWidth="1"/>
    <col min="21" max="21" width="15.7109375" style="309" customWidth="1"/>
    <col min="22" max="22" width="16.7109375" style="309"/>
    <col min="23" max="24" width="17.7109375" style="309" customWidth="1"/>
    <col min="25" max="25" width="16" style="309" customWidth="1"/>
    <col min="26" max="26" width="16.7109375" style="309"/>
    <col min="27" max="27" width="15.85546875" style="309" customWidth="1"/>
    <col min="28" max="29" width="16.7109375" style="309"/>
    <col min="30" max="30" width="16.42578125" style="309" customWidth="1"/>
    <col min="31" max="31" width="17.28515625" style="309" customWidth="1"/>
    <col min="32" max="32" width="20.7109375" style="309" customWidth="1"/>
    <col min="33" max="33" width="18.140625" style="309" customWidth="1"/>
    <col min="34" max="34" width="16.42578125" style="309" customWidth="1"/>
    <col min="35" max="35" width="16.7109375" style="309"/>
    <col min="36" max="36" width="13.85546875" style="309" customWidth="1"/>
    <col min="37" max="37" width="16.42578125" style="309" customWidth="1"/>
    <col min="38" max="49" width="15.140625" style="309" customWidth="1"/>
    <col min="50" max="16384" width="16.7109375" style="309"/>
  </cols>
  <sheetData>
    <row r="1" spans="1:35" s="441" customFormat="1" ht="15.75" thickBot="1">
      <c r="A1" s="327"/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4"/>
      <c r="P1" s="444"/>
      <c r="Q1" s="443"/>
      <c r="R1" s="442"/>
    </row>
    <row r="2" spans="1:35" ht="19.5" thickBot="1">
      <c r="A2" s="327"/>
      <c r="B2" s="795" t="s">
        <v>86</v>
      </c>
      <c r="C2" s="795"/>
      <c r="D2" s="327"/>
      <c r="E2" s="327"/>
      <c r="F2" s="438" t="s">
        <v>87</v>
      </c>
      <c r="G2" s="439"/>
      <c r="H2" s="439"/>
      <c r="I2" s="440" t="s">
        <v>88</v>
      </c>
      <c r="J2" s="439"/>
      <c r="K2" s="439"/>
      <c r="L2" s="439"/>
      <c r="M2" s="438" t="s">
        <v>87</v>
      </c>
      <c r="O2" s="327"/>
      <c r="P2" s="327"/>
      <c r="R2" s="548" t="s">
        <v>89</v>
      </c>
      <c r="S2" s="549"/>
      <c r="T2" s="550"/>
      <c r="AF2" s="792" t="s">
        <v>90</v>
      </c>
      <c r="AG2" s="793"/>
      <c r="AH2" s="793"/>
      <c r="AI2" s="794"/>
    </row>
    <row r="3" spans="1:35" ht="15.75">
      <c r="A3" s="327"/>
      <c r="B3" s="327"/>
      <c r="C3" s="327"/>
      <c r="D3" s="327"/>
      <c r="E3" s="327"/>
      <c r="F3" s="437"/>
      <c r="G3" s="359"/>
      <c r="K3" s="436" t="s">
        <v>91</v>
      </c>
      <c r="M3" s="436" t="s">
        <v>92</v>
      </c>
      <c r="O3" s="327"/>
      <c r="P3" s="327"/>
      <c r="R3" s="309"/>
      <c r="T3" s="309" t="s">
        <v>93</v>
      </c>
      <c r="V3" s="310" t="s">
        <v>93</v>
      </c>
      <c r="W3" s="310" t="s">
        <v>93</v>
      </c>
      <c r="X3" s="310" t="s">
        <v>93</v>
      </c>
      <c r="Y3" s="310" t="s">
        <v>94</v>
      </c>
      <c r="Z3" s="310" t="s">
        <v>94</v>
      </c>
      <c r="AA3" s="310" t="s">
        <v>94</v>
      </c>
      <c r="AB3" s="310" t="s">
        <v>94</v>
      </c>
      <c r="AC3" s="310" t="s">
        <v>94</v>
      </c>
      <c r="AD3" s="310" t="s">
        <v>94</v>
      </c>
      <c r="AE3" s="310" t="s">
        <v>95</v>
      </c>
      <c r="AF3" s="310" t="s">
        <v>29</v>
      </c>
      <c r="AG3" s="310" t="s">
        <v>96</v>
      </c>
      <c r="AH3" s="310"/>
    </row>
    <row r="4" spans="1:35" ht="19.5" thickBot="1">
      <c r="A4" s="327"/>
      <c r="B4" s="435" t="s">
        <v>97</v>
      </c>
      <c r="C4" s="551"/>
      <c r="D4" s="423"/>
      <c r="E4" s="327"/>
      <c r="F4" s="362"/>
      <c r="G4" s="359"/>
      <c r="H4" s="432" t="s">
        <v>98</v>
      </c>
      <c r="I4" s="432" t="s">
        <v>99</v>
      </c>
      <c r="J4" s="432" t="s">
        <v>100</v>
      </c>
      <c r="K4" s="432" t="s">
        <v>101</v>
      </c>
      <c r="L4" s="432" t="s">
        <v>102</v>
      </c>
      <c r="M4" s="432" t="s">
        <v>103</v>
      </c>
      <c r="O4" s="434"/>
      <c r="P4" s="327"/>
      <c r="R4" s="309"/>
      <c r="T4" s="310" t="s">
        <v>104</v>
      </c>
      <c r="V4" s="310" t="s">
        <v>105</v>
      </c>
      <c r="W4" s="310" t="s">
        <v>20</v>
      </c>
      <c r="X4" s="310" t="s">
        <v>106</v>
      </c>
      <c r="Y4" s="310" t="s">
        <v>107</v>
      </c>
      <c r="Z4" s="310" t="s">
        <v>107</v>
      </c>
      <c r="AA4" s="310" t="s">
        <v>107</v>
      </c>
      <c r="AB4" s="310" t="s">
        <v>20</v>
      </c>
      <c r="AC4" s="310" t="s">
        <v>104</v>
      </c>
      <c r="AD4" s="310" t="s">
        <v>104</v>
      </c>
      <c r="AE4" s="310" t="s">
        <v>108</v>
      </c>
      <c r="AF4" s="310" t="s">
        <v>109</v>
      </c>
      <c r="AG4" s="310" t="s">
        <v>110</v>
      </c>
      <c r="AH4" s="310" t="s">
        <v>111</v>
      </c>
      <c r="AI4" s="310" t="s">
        <v>112</v>
      </c>
    </row>
    <row r="5" spans="1:35" ht="15.75">
      <c r="A5" s="327"/>
      <c r="B5" s="425" t="s">
        <v>113</v>
      </c>
      <c r="C5" s="512">
        <f>'Results of Operations Regulated'!C21</f>
        <v>2864326.5799999996</v>
      </c>
      <c r="D5" s="423"/>
      <c r="E5" s="327"/>
      <c r="F5" s="433" t="s">
        <v>114</v>
      </c>
      <c r="G5" s="361"/>
      <c r="H5" s="361"/>
      <c r="I5" s="432" t="s">
        <v>115</v>
      </c>
      <c r="J5" s="432" t="s">
        <v>29</v>
      </c>
      <c r="K5" s="431" t="s">
        <v>116</v>
      </c>
      <c r="L5" s="431" t="s">
        <v>117</v>
      </c>
      <c r="M5" s="431" t="s">
        <v>29</v>
      </c>
      <c r="O5" s="419"/>
      <c r="P5" s="327"/>
      <c r="R5" s="324"/>
      <c r="T5" s="310" t="s">
        <v>118</v>
      </c>
      <c r="U5" s="310" t="s">
        <v>119</v>
      </c>
      <c r="V5" s="310" t="s">
        <v>120</v>
      </c>
      <c r="W5" s="310" t="s">
        <v>121</v>
      </c>
      <c r="X5" s="310" t="s">
        <v>122</v>
      </c>
      <c r="Y5" s="310" t="s">
        <v>123</v>
      </c>
      <c r="Z5" s="310" t="s">
        <v>124</v>
      </c>
      <c r="AA5" s="310" t="s">
        <v>125</v>
      </c>
      <c r="AB5" s="310" t="s">
        <v>126</v>
      </c>
      <c r="AC5" s="310" t="s">
        <v>118</v>
      </c>
      <c r="AD5" s="310" t="s">
        <v>127</v>
      </c>
      <c r="AE5" s="310" t="s">
        <v>128</v>
      </c>
      <c r="AF5" s="310" t="s">
        <v>129</v>
      </c>
      <c r="AG5" s="310" t="s">
        <v>129</v>
      </c>
      <c r="AH5" s="310" t="s">
        <v>128</v>
      </c>
      <c r="AI5" s="310" t="s">
        <v>95</v>
      </c>
    </row>
    <row r="6" spans="1:35" ht="15.75">
      <c r="A6" s="327"/>
      <c r="B6" s="425" t="s">
        <v>130</v>
      </c>
      <c r="C6" s="512">
        <f>'Results of Operations Regulated'!C102</f>
        <v>2712592.7140653972</v>
      </c>
      <c r="D6" s="423"/>
      <c r="E6" s="327"/>
      <c r="F6" s="430" t="s">
        <v>131</v>
      </c>
      <c r="G6" s="361"/>
      <c r="H6" s="361"/>
      <c r="I6" s="429"/>
      <c r="J6" s="427" t="s">
        <v>2</v>
      </c>
      <c r="K6" s="428"/>
      <c r="L6" s="427" t="s">
        <v>132</v>
      </c>
      <c r="M6" s="427" t="s">
        <v>133</v>
      </c>
      <c r="O6" s="419"/>
      <c r="P6" s="327"/>
      <c r="R6" s="554">
        <v>1</v>
      </c>
      <c r="S6" s="555">
        <f>Revenue/Investment*100</f>
        <v>203.46828597781882</v>
      </c>
      <c r="T6" s="613">
        <f>EXP(y_inter1-(slope*LN(+S6)))</f>
        <v>8.0731615861082489</v>
      </c>
      <c r="U6" s="614">
        <f>(+S6*T6/100)/100</f>
        <v>0.16426323503474144</v>
      </c>
      <c r="V6" s="614">
        <f>regDebt_weighted</f>
        <v>3.5860000000000003E-2</v>
      </c>
      <c r="W6" s="614">
        <f>+U6-V6</f>
        <v>0.12840323503474144</v>
      </c>
      <c r="X6" s="614">
        <f>+((W6*(1-0.34))-Pfd_weighted)/Equity_percent</f>
        <v>0.22836085791549227</v>
      </c>
      <c r="Y6" s="614">
        <f>X6*equityP</f>
        <v>0.13701651474929535</v>
      </c>
      <c r="Z6" s="614">
        <f>+Y6/(1-taxrate)</f>
        <v>0.17343862626493081</v>
      </c>
      <c r="AA6" s="614">
        <f>debtP*Debt_Rate</f>
        <v>2.0000000000000004E-2</v>
      </c>
      <c r="AB6" s="614">
        <f>AA6+Z6</f>
        <v>0.1934386262649308</v>
      </c>
      <c r="AC6" s="614">
        <f>AB6/(S6/100)</f>
        <v>9.507065208482593E-2</v>
      </c>
      <c r="AD6" s="614">
        <f>1-AC6</f>
        <v>0.9049293479151741</v>
      </c>
      <c r="AE6" s="615">
        <f>expenses/(AD6)</f>
        <v>2997574.0319559942</v>
      </c>
      <c r="AF6" s="559">
        <f>+AE6-Revenue</f>
        <v>133247.45195599459</v>
      </c>
      <c r="AG6" s="617">
        <f ca="1">+AF6/$J$49</f>
        <v>150141.43331981837</v>
      </c>
      <c r="AH6" s="617">
        <f ca="1">+AG6*$J$47</f>
        <v>3393.1963930278957</v>
      </c>
      <c r="AI6" s="615">
        <f ca="1">ROUND(+AH6+AE6,5)</f>
        <v>3000967.22835</v>
      </c>
    </row>
    <row r="7" spans="1:35" ht="15.75">
      <c r="A7" s="327"/>
      <c r="B7" s="425" t="s">
        <v>3</v>
      </c>
      <c r="C7" s="512">
        <f>'Results of Operations Regulated'!C108</f>
        <v>1407750.8768674913</v>
      </c>
      <c r="D7" s="423"/>
      <c r="E7" s="327"/>
      <c r="F7" s="594">
        <v>1</v>
      </c>
      <c r="G7" s="361"/>
      <c r="H7" s="403" t="s">
        <v>113</v>
      </c>
      <c r="I7" s="364">
        <f>IF(A65=TRUE,C5,0)</f>
        <v>2864326.5799999996</v>
      </c>
      <c r="J7" s="364">
        <f ca="1">(+$I8/($R51))-I7</f>
        <v>116577.29154298129</v>
      </c>
      <c r="K7" s="364">
        <f ca="1">+I7+J7</f>
        <v>2980903.8715429809</v>
      </c>
      <c r="L7" s="364">
        <f ca="1">((+J7/J49*K35)-J7)</f>
        <v>2968.6844991470571</v>
      </c>
      <c r="M7" s="364">
        <f ca="1">IFERROR(+K7+L7,0.00001)</f>
        <v>2983872.5560421278</v>
      </c>
      <c r="O7" s="419"/>
      <c r="P7" s="327"/>
      <c r="R7" s="393">
        <v>2</v>
      </c>
      <c r="S7" s="390">
        <f>Revenue/Investment*100</f>
        <v>203.46828597781882</v>
      </c>
      <c r="T7" s="313">
        <f>EXP(y_inter1-(slope*LN(+S7)))</f>
        <v>8.0731615861082489</v>
      </c>
      <c r="U7" s="388">
        <f>(+S7*T7/100)/100</f>
        <v>0.16426323503474144</v>
      </c>
      <c r="V7" s="388">
        <f>regDebt_weighted</f>
        <v>3.5860000000000003E-2</v>
      </c>
      <c r="W7" s="388">
        <f>+U7-V7</f>
        <v>0.12840323503474144</v>
      </c>
      <c r="X7" s="388">
        <f>+((W7*(1-0.34))-Pfd_weighted)/Equity_percent</f>
        <v>0.22836085791549227</v>
      </c>
      <c r="Y7" s="388">
        <f>X7*equityP</f>
        <v>0.13701651474929535</v>
      </c>
      <c r="Z7" s="388">
        <f>+Y7/(1-taxrate)</f>
        <v>0.17343862626493081</v>
      </c>
      <c r="AA7" s="388">
        <f>debtP*Debt_Rate</f>
        <v>2.0000000000000004E-2</v>
      </c>
      <c r="AB7" s="388">
        <f>AA7+Z7</f>
        <v>0.1934386262649308</v>
      </c>
      <c r="AC7" s="388">
        <f>AB7/(S7/100)</f>
        <v>9.507065208482593E-2</v>
      </c>
      <c r="AD7" s="388">
        <f>1-AC7</f>
        <v>0.9049293479151741</v>
      </c>
      <c r="AE7" s="386">
        <f>expenses/(AD7)</f>
        <v>2997574.0319559942</v>
      </c>
      <c r="AF7" s="387">
        <f>+AE7-Revenue</f>
        <v>133247.45195599459</v>
      </c>
      <c r="AG7" s="375">
        <f ca="1">+AF7/$J$49</f>
        <v>150141.43331981837</v>
      </c>
      <c r="AH7" s="375">
        <f ca="1">+AG7*$J$47</f>
        <v>3393.1963930278957</v>
      </c>
      <c r="AI7" s="386">
        <f ca="1">ROUND(+AH7+AE7,5)</f>
        <v>3000967.22835</v>
      </c>
    </row>
    <row r="8" spans="1:35" ht="15.75">
      <c r="A8" s="327"/>
      <c r="B8" s="425" t="s">
        <v>134</v>
      </c>
      <c r="C8" s="552">
        <v>0.4</v>
      </c>
      <c r="D8" s="423"/>
      <c r="E8" s="327"/>
      <c r="F8" s="363">
        <f t="shared" ref="F8:F49" si="0">+F7+1</f>
        <v>2</v>
      </c>
      <c r="G8" s="361"/>
      <c r="H8" s="403" t="s">
        <v>130</v>
      </c>
      <c r="I8" s="364">
        <f>IF(A65=TRUE,C6,0)</f>
        <v>2712592.7140653972</v>
      </c>
      <c r="J8" s="359"/>
      <c r="K8" s="364">
        <f>+I8</f>
        <v>2712592.7140653972</v>
      </c>
      <c r="L8" s="364">
        <f ca="1">+L7</f>
        <v>2968.6844991470571</v>
      </c>
      <c r="M8" s="364">
        <f ca="1">IFERROR(+K8+L8,0.00001)</f>
        <v>2715561.398564544</v>
      </c>
      <c r="O8" s="419"/>
      <c r="P8" s="327"/>
      <c r="R8" s="357">
        <v>3</v>
      </c>
      <c r="S8" s="390">
        <f>Revenue/Investment*100</f>
        <v>203.46828597781882</v>
      </c>
      <c r="T8" s="313">
        <f>EXP(y_inter1-(slope*LN(+S8)))</f>
        <v>8.0731615861082489</v>
      </c>
      <c r="U8" s="388">
        <f>(+S8*T8/100)/100</f>
        <v>0.16426323503474144</v>
      </c>
      <c r="V8" s="388">
        <f>regDebt_weighted</f>
        <v>3.5860000000000003E-2</v>
      </c>
      <c r="W8" s="388">
        <f>+U8-V8</f>
        <v>0.12840323503474144</v>
      </c>
      <c r="X8" s="388">
        <f>+((W8*(1-0.34))-Pfd_weighted)/Equity_percent</f>
        <v>0.22836085791549227</v>
      </c>
      <c r="Y8" s="388">
        <f>X8*equityP</f>
        <v>0.13701651474929535</v>
      </c>
      <c r="Z8" s="388">
        <f>+Y8/(1-taxrate)</f>
        <v>0.17343862626493081</v>
      </c>
      <c r="AA8" s="388">
        <f>debtP*Debt_Rate</f>
        <v>2.0000000000000004E-2</v>
      </c>
      <c r="AB8" s="388">
        <f>AA8+Z8</f>
        <v>0.1934386262649308</v>
      </c>
      <c r="AC8" s="388">
        <f>AB8/(S8/100)</f>
        <v>9.507065208482593E-2</v>
      </c>
      <c r="AD8" s="388">
        <f>1-AC8</f>
        <v>0.9049293479151741</v>
      </c>
      <c r="AE8" s="386">
        <f>expenses/(AD8)</f>
        <v>2997574.0319559942</v>
      </c>
      <c r="AF8" s="387">
        <f>+AE8-Revenue</f>
        <v>133247.45195599459</v>
      </c>
      <c r="AG8" s="375">
        <f ca="1">+AF8/$J$49</f>
        <v>150141.43331981837</v>
      </c>
      <c r="AH8" s="375">
        <f ca="1">+AG8*$J$47</f>
        <v>3393.1963930278957</v>
      </c>
      <c r="AI8" s="386">
        <f ca="1">ROUND(+AH8+AE8,5)</f>
        <v>3000967.22835</v>
      </c>
    </row>
    <row r="9" spans="1:35" ht="15.75">
      <c r="A9" s="327"/>
      <c r="B9" s="425" t="s">
        <v>135</v>
      </c>
      <c r="C9" s="552">
        <v>0.05</v>
      </c>
      <c r="D9" s="423"/>
      <c r="E9" s="327"/>
      <c r="F9" s="363">
        <f t="shared" si="0"/>
        <v>3</v>
      </c>
      <c r="G9" s="361"/>
      <c r="H9" s="403" t="s">
        <v>136</v>
      </c>
      <c r="I9" s="595">
        <f>+I7-I8</f>
        <v>151733.86593460245</v>
      </c>
      <c r="J9" s="359"/>
      <c r="K9" s="595">
        <f ca="1">+K7-K8</f>
        <v>268311.15747758374</v>
      </c>
      <c r="L9" s="361"/>
      <c r="M9" s="596">
        <f ca="1">+M7-M8</f>
        <v>268311.15747758374</v>
      </c>
      <c r="O9" s="419"/>
      <c r="P9" s="327"/>
      <c r="R9" s="371">
        <v>4</v>
      </c>
      <c r="S9" s="390">
        <f>Revenue/Investment*100</f>
        <v>203.46828597781882</v>
      </c>
      <c r="T9" s="313">
        <f>EXP(y_inter1-(slope*LN(+S9)))</f>
        <v>8.0731615861082489</v>
      </c>
      <c r="U9" s="388">
        <f>(+S9*T9/100)/100</f>
        <v>0.16426323503474144</v>
      </c>
      <c r="V9" s="388">
        <f>regDebt_weighted</f>
        <v>3.5860000000000003E-2</v>
      </c>
      <c r="W9" s="388">
        <f>+U9-V9</f>
        <v>0.12840323503474144</v>
      </c>
      <c r="X9" s="388">
        <f>+((W9*(1-0.34))-Pfd_weighted)/Equity_percent</f>
        <v>0.22836085791549227</v>
      </c>
      <c r="Y9" s="388">
        <f>X9*equityP</f>
        <v>0.13701651474929535</v>
      </c>
      <c r="Z9" s="388">
        <f>+Y9/(1-taxrate)</f>
        <v>0.17343862626493081</v>
      </c>
      <c r="AA9" s="388">
        <f>debtP*Debt_Rate</f>
        <v>2.0000000000000004E-2</v>
      </c>
      <c r="AB9" s="388">
        <f>AA9+Z9</f>
        <v>0.1934386262649308</v>
      </c>
      <c r="AC9" s="388">
        <f>AB9/(S9/100)</f>
        <v>9.507065208482593E-2</v>
      </c>
      <c r="AD9" s="388">
        <f>1-AC9</f>
        <v>0.9049293479151741</v>
      </c>
      <c r="AE9" s="386">
        <f>expenses/(AD9)</f>
        <v>2997574.0319559942</v>
      </c>
      <c r="AF9" s="387">
        <f>+AE9-Revenue</f>
        <v>133247.45195599459</v>
      </c>
      <c r="AG9" s="375">
        <f ca="1">+AF9/$J$49</f>
        <v>150141.43331981837</v>
      </c>
      <c r="AH9" s="375">
        <f ca="1">+AG9*$J$47</f>
        <v>3393.1963930278957</v>
      </c>
      <c r="AI9" s="386">
        <f ca="1">ROUND(+AH9+AE9,5)</f>
        <v>3000967.22835</v>
      </c>
    </row>
    <row r="10" spans="1:35" ht="15.75">
      <c r="A10" s="327"/>
      <c r="B10" s="426" t="s">
        <v>137</v>
      </c>
      <c r="C10" s="552">
        <v>0.21</v>
      </c>
      <c r="D10" s="423"/>
      <c r="E10" s="327"/>
      <c r="F10" s="363">
        <f t="shared" si="0"/>
        <v>4</v>
      </c>
      <c r="G10" s="361"/>
      <c r="H10" s="361"/>
      <c r="I10" s="359"/>
      <c r="J10" s="359"/>
      <c r="K10" s="364"/>
      <c r="L10" s="361"/>
      <c r="M10" s="361"/>
      <c r="N10" s="361"/>
      <c r="O10" s="419"/>
      <c r="P10" s="327"/>
      <c r="R10" s="310" t="s">
        <v>138</v>
      </c>
    </row>
    <row r="11" spans="1:35" ht="15.75">
      <c r="A11" s="327"/>
      <c r="B11" s="425" t="s">
        <v>139</v>
      </c>
      <c r="C11" s="553">
        <v>1.7500000000000002E-2</v>
      </c>
      <c r="D11" s="423"/>
      <c r="E11" s="327"/>
      <c r="F11" s="363">
        <f t="shared" si="0"/>
        <v>5</v>
      </c>
      <c r="G11" s="361"/>
      <c r="H11" s="403" t="s">
        <v>140</v>
      </c>
      <c r="I11" s="364">
        <f>+K11</f>
        <v>28155.017537349831</v>
      </c>
      <c r="J11" s="359"/>
      <c r="K11" s="364">
        <f>+M27</f>
        <v>28155.017537349831</v>
      </c>
      <c r="L11" s="361"/>
      <c r="M11" s="364">
        <f>+K11</f>
        <v>28155.017537349831</v>
      </c>
      <c r="O11" s="419"/>
      <c r="P11" s="327"/>
      <c r="R11" s="554">
        <v>1</v>
      </c>
      <c r="S11" s="555">
        <f ca="1">IF((AI6/Investment*100)&gt;0,(AI6/Investment*100),0)</f>
        <v>213.17459485642183</v>
      </c>
      <c r="T11" s="613">
        <f ca="1">EXP(y_inter1-(slope*LN(S11)))</f>
        <v>7.8200051593073061</v>
      </c>
      <c r="U11" s="614">
        <f ca="1">(+S11*T11/100)/100</f>
        <v>0.16670264316104635</v>
      </c>
      <c r="V11" s="614">
        <f>regDebt_weighted</f>
        <v>3.5860000000000003E-2</v>
      </c>
      <c r="W11" s="614">
        <f ca="1">+U11-V11</f>
        <v>0.13084264316104635</v>
      </c>
      <c r="X11" s="614">
        <f ca="1">+((W11*(1-0.34))-Pfd_weighted)/Equity_percent</f>
        <v>0.23304111769270522</v>
      </c>
      <c r="Y11" s="614">
        <f ca="1">+X11*equityP</f>
        <v>0.13982467061562312</v>
      </c>
      <c r="Z11" s="614">
        <f ca="1">+Y11/(1-taxrate)</f>
        <v>0.17699325394382673</v>
      </c>
      <c r="AA11" s="614">
        <f>debtP*Debt_Rate</f>
        <v>2.0000000000000004E-2</v>
      </c>
      <c r="AB11" s="614">
        <f ca="1">+AA11+Z11</f>
        <v>0.19699325394382672</v>
      </c>
      <c r="AC11" s="614">
        <f ca="1">+AB11/(S11/100)</f>
        <v>9.2409348344959383E-2</v>
      </c>
      <c r="AD11" s="614">
        <f ca="1">1-AC11</f>
        <v>0.9075906516550406</v>
      </c>
      <c r="AE11" s="615">
        <f ca="1">expenses/(AD11)</f>
        <v>2988784.3259721082</v>
      </c>
      <c r="AF11" s="559">
        <f ca="1">+AE11-Revenue</f>
        <v>124457.74597210856</v>
      </c>
      <c r="AG11" s="617">
        <f ca="1">+AF11/$J$49</f>
        <v>140237.3110607581</v>
      </c>
      <c r="AH11" s="617">
        <f ca="1">+AG11*$J$47</f>
        <v>3169.3632299731335</v>
      </c>
      <c r="AI11" s="615">
        <f ca="1">ROUND(+AH11+AE11,5)</f>
        <v>2991953.6891999999</v>
      </c>
    </row>
    <row r="12" spans="1:35" ht="15.75">
      <c r="A12" s="327"/>
      <c r="B12" s="425" t="s">
        <v>141</v>
      </c>
      <c r="C12" s="553">
        <v>5.1000000000000004E-3</v>
      </c>
      <c r="D12" s="423"/>
      <c r="E12" s="327"/>
      <c r="F12" s="363">
        <f t="shared" si="0"/>
        <v>6</v>
      </c>
      <c r="G12" s="361"/>
      <c r="H12" s="403" t="s">
        <v>142</v>
      </c>
      <c r="I12" s="364" t="e">
        <f ca="1">IF(I14&lt;0,0,+J38*I14)</f>
        <v>#REF!</v>
      </c>
      <c r="J12" s="364" t="e">
        <f ca="1">+K12-I12</f>
        <v>#REF!</v>
      </c>
      <c r="K12" s="364">
        <f ca="1">+(K9-K11)*taxrate</f>
        <v>50432.78938744912</v>
      </c>
      <c r="L12" s="361"/>
      <c r="M12" s="364">
        <f ca="1">+K12</f>
        <v>50432.78938744912</v>
      </c>
      <c r="O12" s="419"/>
      <c r="P12" s="327"/>
      <c r="R12" s="393">
        <v>2</v>
      </c>
      <c r="S12" s="390">
        <f ca="1">IF((AI7/Investment*100)&gt;0,(AI7/Investment*100),0)</f>
        <v>213.17459485642183</v>
      </c>
      <c r="T12" s="392">
        <f ca="1">EXP(y_inter2-(slope*LN(+S12)))</f>
        <v>7.7087435785476597</v>
      </c>
      <c r="U12" s="388">
        <f ca="1">(+S12*T12/100)/100</f>
        <v>0.1643308289208941</v>
      </c>
      <c r="V12" s="388">
        <f>regDebt_weighted</f>
        <v>3.5860000000000003E-2</v>
      </c>
      <c r="W12" s="388">
        <f ca="1">+U12-V12</f>
        <v>0.12847082892089409</v>
      </c>
      <c r="X12" s="388">
        <f ca="1">+((W12*(1-0.34))-Pfd_weighted)/Equity_percent</f>
        <v>0.22849054385985493</v>
      </c>
      <c r="Y12" s="388">
        <f ca="1">+X12*equityP</f>
        <v>0.13709432631591295</v>
      </c>
      <c r="Z12" s="388">
        <f ca="1">+Y12/(1-taxrate)</f>
        <v>0.17353712191887716</v>
      </c>
      <c r="AA12" s="388">
        <f>debtP*Debt_Rate</f>
        <v>2.0000000000000004E-2</v>
      </c>
      <c r="AB12" s="388">
        <f ca="1">+AA12+Z12</f>
        <v>0.19353712191887718</v>
      </c>
      <c r="AC12" s="388">
        <f ca="1">+AB12/(S12/100)</f>
        <v>9.0788080094266879E-2</v>
      </c>
      <c r="AD12" s="388">
        <f ca="1">1-AC12</f>
        <v>0.90921191990573313</v>
      </c>
      <c r="AE12" s="386">
        <f ca="1">expenses/(AD12)</f>
        <v>2983454.8521390241</v>
      </c>
      <c r="AF12" s="387">
        <f ca="1">+AE12-Revenue</f>
        <v>119128.27213902446</v>
      </c>
      <c r="AG12" s="375">
        <f ca="1">+AF12/$J$49</f>
        <v>134232.13176168996</v>
      </c>
      <c r="AH12" s="375">
        <f ca="1">+AG12*$J$47</f>
        <v>3033.6461778141934</v>
      </c>
      <c r="AI12" s="386">
        <f ca="1">ROUND(+AH12+AE12,5)</f>
        <v>2986488.4983199998</v>
      </c>
    </row>
    <row r="13" spans="1:35" ht="15.75">
      <c r="A13" s="327"/>
      <c r="B13" s="425" t="s">
        <v>143</v>
      </c>
      <c r="C13" s="553">
        <v>0</v>
      </c>
      <c r="D13" s="423"/>
      <c r="E13" s="327"/>
      <c r="F13" s="363">
        <f t="shared" si="0"/>
        <v>7</v>
      </c>
      <c r="G13" s="361"/>
      <c r="H13" s="361"/>
      <c r="I13" s="359"/>
      <c r="J13" s="359"/>
      <c r="K13" s="364"/>
      <c r="L13" s="361"/>
      <c r="M13" s="361"/>
      <c r="O13" s="419"/>
      <c r="P13" s="327"/>
      <c r="R13" s="357">
        <v>3</v>
      </c>
      <c r="S13" s="390">
        <f ca="1">IF((AI8/Investment*100)&gt;0,(AI8/Investment*100),0)</f>
        <v>213.17459485642183</v>
      </c>
      <c r="T13" s="313">
        <f ca="1">EXP(y_inter3-(slope*LN(S13)))</f>
        <v>7.6337958695076455</v>
      </c>
      <c r="U13" s="388">
        <f ca="1">(+S13*T13/100)/100</f>
        <v>0.16273313416989185</v>
      </c>
      <c r="V13" s="388">
        <f>regDebt_weighted</f>
        <v>3.5860000000000003E-2</v>
      </c>
      <c r="W13" s="388">
        <f ca="1">+U13-V13</f>
        <v>0.12687313416989185</v>
      </c>
      <c r="X13" s="388">
        <f ca="1">+((W13*(1-0.34))-Pfd_weighted)/Equity_percent</f>
        <v>0.22542519927944366</v>
      </c>
      <c r="Y13" s="388">
        <f ca="1">+X13*equityP</f>
        <v>0.1352551195676662</v>
      </c>
      <c r="Z13" s="388">
        <f ca="1">+Y13/(1-taxrate)</f>
        <v>0.17120901211096987</v>
      </c>
      <c r="AA13" s="388">
        <f>debtP*Debt_Rate</f>
        <v>2.0000000000000004E-2</v>
      </c>
      <c r="AB13" s="388">
        <f ca="1">+AA13+Z13</f>
        <v>0.19120901211096986</v>
      </c>
      <c r="AC13" s="388">
        <f ca="1">+AB13/(S13/100)</f>
        <v>8.9695965994331397E-2</v>
      </c>
      <c r="AD13" s="388">
        <f ca="1">1-AC13</f>
        <v>0.91030403400566862</v>
      </c>
      <c r="AE13" s="386">
        <f ca="1">expenses/(AD13)</f>
        <v>2979875.5281013129</v>
      </c>
      <c r="AF13" s="387">
        <f ca="1">+AE13-Revenue</f>
        <v>115548.94810131332</v>
      </c>
      <c r="AG13" s="375">
        <f ca="1">+AF13/$J$49</f>
        <v>130198.99766832276</v>
      </c>
      <c r="AH13" s="375">
        <f ca="1">+AG13*$J$47</f>
        <v>2942.4973473040945</v>
      </c>
      <c r="AI13" s="386">
        <f ca="1">ROUND(+AH13+AE13,5)</f>
        <v>2982818.0254500001</v>
      </c>
    </row>
    <row r="14" spans="1:35" ht="16.5" thickBot="1">
      <c r="A14" s="327"/>
      <c r="B14" s="424" t="s">
        <v>145</v>
      </c>
      <c r="C14" s="553">
        <v>0</v>
      </c>
      <c r="D14" s="423"/>
      <c r="E14" s="327"/>
      <c r="F14" s="363">
        <f t="shared" si="0"/>
        <v>8</v>
      </c>
      <c r="G14" s="361"/>
      <c r="H14" s="361" t="s">
        <v>146</v>
      </c>
      <c r="I14" s="633" t="e">
        <f ca="1">+I9-SUM(I11:I13)</f>
        <v>#REF!</v>
      </c>
      <c r="J14" s="359"/>
      <c r="K14" s="633">
        <f ca="1">+K9-SUM(K11:K13)</f>
        <v>189723.3505527848</v>
      </c>
      <c r="L14" s="361"/>
      <c r="M14" s="633">
        <f ca="1">+M9-SUM(M11:M13)</f>
        <v>189723.3505527848</v>
      </c>
      <c r="O14" s="419"/>
      <c r="P14" s="327"/>
      <c r="R14" s="371">
        <v>4</v>
      </c>
      <c r="S14" s="390">
        <f ca="1">IF((AI9/Investment*100)&gt;0,(AI9/Investment*100),0)</f>
        <v>213.17459485642183</v>
      </c>
      <c r="T14" s="389">
        <f ca="1">EXP(y_inter4-(slope*LN(S14)))</f>
        <v>7.5858541305745799</v>
      </c>
      <c r="U14" s="388">
        <f ca="1">(+S14*T14/100)/100</f>
        <v>0.16171113809251503</v>
      </c>
      <c r="V14" s="388">
        <f>regDebt_weighted</f>
        <v>3.5860000000000003E-2</v>
      </c>
      <c r="W14" s="388">
        <f ca="1">+U14-V14</f>
        <v>0.12585113809251502</v>
      </c>
      <c r="X14" s="388">
        <f ca="1">+((W14*(1-0.34))-Pfd_weighted)/Equity_percent</f>
        <v>0.22346439285191833</v>
      </c>
      <c r="Y14" s="388">
        <f ca="1">+X14*equityP</f>
        <v>0.134078635711151</v>
      </c>
      <c r="Z14" s="388">
        <f ca="1">+Y14/(1-taxrate)</f>
        <v>0.16971979203943163</v>
      </c>
      <c r="AA14" s="388">
        <f>debtP*Debt_Rate</f>
        <v>2.0000000000000004E-2</v>
      </c>
      <c r="AB14" s="388">
        <f ca="1">+AA14+Z14</f>
        <v>0.18971979203943162</v>
      </c>
      <c r="AC14" s="388">
        <f ca="1">+AB14/(S14/100)</f>
        <v>8.8997374273051821E-2</v>
      </c>
      <c r="AD14" s="388">
        <f ca="1">1-AC14</f>
        <v>0.91100262572694812</v>
      </c>
      <c r="AE14" s="386">
        <f ca="1">expenses/(AD14)</f>
        <v>2977590.4453632538</v>
      </c>
      <c r="AF14" s="387">
        <f ca="1">+AE14-Revenue</f>
        <v>113263.86536325421</v>
      </c>
      <c r="AG14" s="375">
        <f ca="1">+AF14/$J$49</f>
        <v>127624.19723116413</v>
      </c>
      <c r="AH14" s="375">
        <f ca="1">+AG14*$J$47</f>
        <v>2884.3068574243098</v>
      </c>
      <c r="AI14" s="386">
        <f ca="1">ROUND(+AH14+AE14,5)</f>
        <v>2980474.7522200001</v>
      </c>
    </row>
    <row r="15" spans="1:35" ht="16.5" thickTop="1">
      <c r="A15" s="327"/>
      <c r="B15" s="797"/>
      <c r="C15" s="797"/>
      <c r="D15" s="327"/>
      <c r="E15" s="327"/>
      <c r="F15" s="363">
        <f t="shared" si="0"/>
        <v>9</v>
      </c>
      <c r="G15" s="359"/>
      <c r="H15" s="359"/>
      <c r="I15" s="359"/>
      <c r="J15" s="359"/>
      <c r="K15" s="422"/>
      <c r="L15" s="359"/>
      <c r="M15" s="359"/>
      <c r="O15" s="419"/>
      <c r="P15" s="327"/>
      <c r="R15" s="310" t="s">
        <v>147</v>
      </c>
    </row>
    <row r="16" spans="1:35" ht="15.75">
      <c r="A16" s="327"/>
      <c r="B16" s="634" t="s">
        <v>148</v>
      </c>
      <c r="C16" s="797"/>
      <c r="D16" s="797"/>
      <c r="E16" s="327"/>
      <c r="F16" s="363">
        <f t="shared" si="0"/>
        <v>10</v>
      </c>
      <c r="G16" s="359"/>
      <c r="H16" s="403" t="s">
        <v>149</v>
      </c>
      <c r="I16" s="405">
        <f>+I8/I7</f>
        <v>0.94702633875827025</v>
      </c>
      <c r="J16" s="421"/>
      <c r="K16" s="405">
        <f ca="1">+K8/K7</f>
        <v>0.90998999999999997</v>
      </c>
      <c r="L16" s="420"/>
      <c r="M16" s="405">
        <f ca="1">+M8/M7</f>
        <v>0.91007955184470835</v>
      </c>
      <c r="O16" s="419"/>
      <c r="P16" s="327"/>
      <c r="R16" s="635">
        <v>1</v>
      </c>
      <c r="S16" s="636">
        <f ca="1">AI11/Investment*100</f>
        <v>212.53431543638288</v>
      </c>
      <c r="T16" s="637">
        <f ca="1">EXP(y_inter1-(slope*LN(+S16)))</f>
        <v>7.8361037305320433</v>
      </c>
      <c r="U16" s="638">
        <f ca="1">(+S16*T16/100)/100</f>
        <v>0.16654409420571137</v>
      </c>
      <c r="V16" s="638">
        <f>regDebt_weighted</f>
        <v>3.5860000000000003E-2</v>
      </c>
      <c r="W16" s="638">
        <f ca="1">+U16-V16</f>
        <v>0.13068409420571137</v>
      </c>
      <c r="X16" s="638">
        <f ca="1">+((W16*(1-0.34))-Pfd_weighted)/Equity_percent</f>
        <v>0.23273692492956249</v>
      </c>
      <c r="Y16" s="638">
        <f ca="1">+X16*equityP</f>
        <v>0.13964215495773749</v>
      </c>
      <c r="Z16" s="638">
        <f ca="1">+Y16/(1-taxrate)</f>
        <v>0.17676222146549048</v>
      </c>
      <c r="AA16" s="638">
        <f>debtP*Debt_Rate</f>
        <v>2.0000000000000004E-2</v>
      </c>
      <c r="AB16" s="638">
        <f ca="1">+AA16+Z16</f>
        <v>0.19676222146549049</v>
      </c>
      <c r="AC16" s="638">
        <f ca="1">+AB16/(S16/100)</f>
        <v>9.2579036501231074E-2</v>
      </c>
      <c r="AD16" s="638">
        <f ca="1">1-AC16</f>
        <v>0.90742096349876888</v>
      </c>
      <c r="AE16" s="639">
        <f ca="1">expenses/(AD16)</f>
        <v>2989343.230077445</v>
      </c>
      <c r="AF16" s="640">
        <f ca="1">+AE16-Revenue</f>
        <v>125016.65007744543</v>
      </c>
      <c r="AG16" s="641">
        <f ca="1">+AF16/$J$49</f>
        <v>140867.07667527298</v>
      </c>
      <c r="AH16" s="641">
        <f ca="1">+AG16*$J$47</f>
        <v>3183.5959328611698</v>
      </c>
      <c r="AI16" s="639">
        <f ca="1">ROUND(+AH16+AE16,5)</f>
        <v>2992526.82601</v>
      </c>
    </row>
    <row r="17" spans="1:35" ht="15.75">
      <c r="A17" s="327"/>
      <c r="B17" s="796"/>
      <c r="C17" s="797"/>
      <c r="D17" s="327" t="s">
        <v>150</v>
      </c>
      <c r="E17" s="327"/>
      <c r="F17" s="363">
        <f t="shared" si="0"/>
        <v>11</v>
      </c>
      <c r="G17" s="359"/>
      <c r="H17" s="359"/>
      <c r="I17" s="359"/>
      <c r="K17" s="359"/>
      <c r="L17" s="403"/>
      <c r="M17" s="403"/>
      <c r="N17" s="405"/>
      <c r="O17" s="327"/>
      <c r="P17" s="327"/>
      <c r="R17" s="393">
        <v>2</v>
      </c>
      <c r="S17" s="390">
        <f ca="1">AI12/Investment*100</f>
        <v>212.14609398542837</v>
      </c>
      <c r="T17" s="392">
        <f ca="1">EXP(y_inter2-(slope*LN(+S17)))</f>
        <v>7.7342745482611672</v>
      </c>
      <c r="U17" s="388">
        <f ca="1">(+S17*T17/100)/100</f>
        <v>0.16407961352245201</v>
      </c>
      <c r="V17" s="388">
        <f>regDebt_weighted</f>
        <v>3.5860000000000003E-2</v>
      </c>
      <c r="W17" s="388">
        <f ca="1">+U17-V17</f>
        <v>0.12821961352245201</v>
      </c>
      <c r="X17" s="388">
        <f ca="1">+((W17*(1-0.34))-Pfd_weighted)/Equity_percent</f>
        <v>0.22800856082796023</v>
      </c>
      <c r="Y17" s="388">
        <f ca="1">+X17*equityP</f>
        <v>0.13680513649677614</v>
      </c>
      <c r="Z17" s="388">
        <f ca="1">+Y17/(1-taxrate)</f>
        <v>0.17317105885667866</v>
      </c>
      <c r="AA17" s="388">
        <f>debtP*Debt_Rate</f>
        <v>2.0000000000000004E-2</v>
      </c>
      <c r="AB17" s="388">
        <f ca="1">+AA17+Z17</f>
        <v>0.19317105885667868</v>
      </c>
      <c r="AC17" s="388">
        <f ca="1">+AB17/(S17/100)</f>
        <v>9.105567546765532E-2</v>
      </c>
      <c r="AD17" s="388">
        <f ca="1">1-AC17</f>
        <v>0.90894432453234464</v>
      </c>
      <c r="AE17" s="386">
        <f ca="1">expenses/(AD17)</f>
        <v>2984333.1883512628</v>
      </c>
      <c r="AF17" s="387">
        <f ca="1">+AE17-Revenue</f>
        <v>120006.60835126322</v>
      </c>
      <c r="AG17" s="375">
        <f ca="1">+AF17/$J$49</f>
        <v>135221.82916983086</v>
      </c>
      <c r="AH17" s="375">
        <f ca="1">+AG17*$J$47</f>
        <v>3056.0133392381777</v>
      </c>
      <c r="AI17" s="386">
        <f ca="1">ROUND(+AH17+AE17,5)</f>
        <v>2987389.20169</v>
      </c>
    </row>
    <row r="18" spans="1:35" ht="15.75">
      <c r="A18" s="327"/>
      <c r="B18" s="798" t="s">
        <v>151</v>
      </c>
      <c r="C18" s="798"/>
      <c r="D18" s="327"/>
      <c r="E18" s="327"/>
      <c r="F18" s="363">
        <f t="shared" si="0"/>
        <v>12</v>
      </c>
      <c r="G18" s="359"/>
      <c r="H18" s="642" t="s">
        <v>152</v>
      </c>
      <c r="I18" s="643"/>
      <c r="J18" s="643"/>
      <c r="K18" s="643"/>
      <c r="L18" s="643"/>
      <c r="M18" s="644"/>
      <c r="O18" s="327"/>
      <c r="P18" s="327"/>
      <c r="R18" s="357">
        <v>3</v>
      </c>
      <c r="S18" s="390">
        <f ca="1">AI13/Investment*100</f>
        <v>211.88536085925426</v>
      </c>
      <c r="T18" s="313">
        <f ca="1">EXP(y_inter3-(slope*LN(S18)))</f>
        <v>7.6655208105227919</v>
      </c>
      <c r="U18" s="388">
        <f ca="1">(+S18*T18/100)/100</f>
        <v>0.16242116431117448</v>
      </c>
      <c r="V18" s="388">
        <f>regDebt_weighted</f>
        <v>3.5860000000000003E-2</v>
      </c>
      <c r="W18" s="388">
        <f ca="1">+U18-V18</f>
        <v>0.12656116431117448</v>
      </c>
      <c r="X18" s="388">
        <f ca="1">+((W18*(1-0.34))-Pfd_weighted)/Equity_percent</f>
        <v>0.2248266524574859</v>
      </c>
      <c r="Y18" s="388">
        <f ca="1">+X18*equityP</f>
        <v>0.13489599147449152</v>
      </c>
      <c r="Z18" s="388">
        <f ca="1">+Y18/(1-taxrate)</f>
        <v>0.17075441958796395</v>
      </c>
      <c r="AA18" s="388">
        <f>debtP*Debt_Rate</f>
        <v>2.0000000000000004E-2</v>
      </c>
      <c r="AB18" s="388">
        <f ca="1">+AA18+Z18</f>
        <v>0.19075441958796396</v>
      </c>
      <c r="AC18" s="388">
        <f ca="1">+AB18/(S18/100)</f>
        <v>9.0027182064113143E-2</v>
      </c>
      <c r="AD18" s="388">
        <f ca="1">1-AC18</f>
        <v>0.9099728179358868</v>
      </c>
      <c r="AE18" s="386">
        <f ca="1">expenses/(AD18)</f>
        <v>2980960.1568302186</v>
      </c>
      <c r="AF18" s="387">
        <f ca="1">+AE18-Revenue</f>
        <v>116633.57683021901</v>
      </c>
      <c r="AG18" s="375">
        <f ca="1">+AF18/$J$49</f>
        <v>131421.14270439846</v>
      </c>
      <c r="AH18" s="375">
        <f ca="1">+AG18*$J$47</f>
        <v>2970.1178251194056</v>
      </c>
      <c r="AI18" s="386">
        <f ca="1">ROUND(+AH18+AE18,5)</f>
        <v>2983930.2746600001</v>
      </c>
    </row>
    <row r="19" spans="1:35" ht="15.75">
      <c r="A19" s="327"/>
      <c r="B19" s="327"/>
      <c r="C19" s="327"/>
      <c r="D19" s="327"/>
      <c r="E19" s="327"/>
      <c r="F19" s="363">
        <f t="shared" si="0"/>
        <v>13</v>
      </c>
      <c r="G19" s="359"/>
      <c r="H19" s="362"/>
      <c r="I19" s="403" t="s">
        <v>154</v>
      </c>
      <c r="J19" s="364">
        <f>+Revenue</f>
        <v>2864326.5799999996</v>
      </c>
      <c r="K19" s="418"/>
      <c r="L19" s="403" t="s">
        <v>155</v>
      </c>
      <c r="M19" s="417">
        <f ca="1">+J7</f>
        <v>116577.29154298129</v>
      </c>
      <c r="O19" s="327"/>
      <c r="P19" s="327"/>
      <c r="R19" s="371">
        <v>4</v>
      </c>
      <c r="S19" s="390">
        <f ca="1">AI14/Investment*100</f>
        <v>211.71890575213942</v>
      </c>
      <c r="T19" s="389">
        <f ca="1">EXP(y_inter4-(slope*LN(S19)))</f>
        <v>7.6214737176318463</v>
      </c>
      <c r="U19" s="388">
        <f ca="1">(+S19*T19/100)/100</f>
        <v>0.16136100757157046</v>
      </c>
      <c r="V19" s="388">
        <f>regDebt_weighted</f>
        <v>3.5860000000000003E-2</v>
      </c>
      <c r="W19" s="388">
        <f ca="1">+U19-V19</f>
        <v>0.12550100757157046</v>
      </c>
      <c r="X19" s="388">
        <f ca="1">+((W19*(1-0.34))-Pfd_weighted)/Equity_percent</f>
        <v>0.22279263080592004</v>
      </c>
      <c r="Y19" s="388">
        <f ca="1">+X19*equityP</f>
        <v>0.13367557848355202</v>
      </c>
      <c r="Z19" s="388">
        <f ca="1">+Y19/(1-taxrate)</f>
        <v>0.16920959301715444</v>
      </c>
      <c r="AA19" s="388">
        <f>debtP*Debt_Rate</f>
        <v>2.0000000000000004E-2</v>
      </c>
      <c r="AB19" s="388">
        <f ca="1">+AA19+Z19</f>
        <v>0.18920959301715445</v>
      </c>
      <c r="AC19" s="388">
        <f ca="1">+AB19/(S19/100)</f>
        <v>8.9368302913233111E-2</v>
      </c>
      <c r="AD19" s="388">
        <f ca="1">1-AC19</f>
        <v>0.91063169708676694</v>
      </c>
      <c r="AE19" s="386">
        <f ca="1">expenses/(AD19)</f>
        <v>2978803.3106505577</v>
      </c>
      <c r="AF19" s="387">
        <f ca="1">+AE19-Revenue</f>
        <v>114476.73065055814</v>
      </c>
      <c r="AG19" s="375">
        <f ca="1">+AF19/$J$49</f>
        <v>128990.83749322186</v>
      </c>
      <c r="AH19" s="375">
        <f ca="1">+AG19*$J$47</f>
        <v>2915.192927346814</v>
      </c>
      <c r="AI19" s="386">
        <f ca="1">ROUND(+AH19+AE19,5)</f>
        <v>2981718.5035799998</v>
      </c>
    </row>
    <row r="20" spans="1:35" ht="15.75">
      <c r="A20" s="327"/>
      <c r="B20" s="416"/>
      <c r="C20" s="327"/>
      <c r="D20" s="327"/>
      <c r="E20" s="327"/>
      <c r="F20" s="363">
        <f t="shared" si="0"/>
        <v>14</v>
      </c>
      <c r="G20" s="359"/>
      <c r="H20" s="362"/>
      <c r="I20" s="403" t="s">
        <v>157</v>
      </c>
      <c r="J20" s="364">
        <f ca="1">+J21-J19</f>
        <v>119545.97604212817</v>
      </c>
      <c r="K20" s="418"/>
      <c r="L20" s="403" t="s">
        <v>158</v>
      </c>
      <c r="M20" s="417">
        <f ca="1">+L8</f>
        <v>2968.6844991470571</v>
      </c>
      <c r="O20" s="327"/>
      <c r="P20" s="327"/>
      <c r="R20" s="310" t="s">
        <v>160</v>
      </c>
    </row>
    <row r="21" spans="1:35" ht="16.5" thickBot="1">
      <c r="A21" s="327"/>
      <c r="B21" s="416" t="s">
        <v>161</v>
      </c>
      <c r="C21" s="327"/>
      <c r="D21" s="327"/>
      <c r="E21" s="327"/>
      <c r="F21" s="363">
        <f t="shared" si="0"/>
        <v>15</v>
      </c>
      <c r="G21" s="359"/>
      <c r="H21" s="362"/>
      <c r="I21" s="414" t="s">
        <v>152</v>
      </c>
      <c r="J21" s="415">
        <f ca="1">+M7</f>
        <v>2983872.5560421278</v>
      </c>
      <c r="L21" s="414" t="s">
        <v>157</v>
      </c>
      <c r="M21" s="413">
        <f ca="1">+M19+M20</f>
        <v>119545.97604212834</v>
      </c>
      <c r="O21" s="327"/>
      <c r="P21" s="327"/>
      <c r="R21" s="635">
        <v>1</v>
      </c>
      <c r="S21" s="636">
        <f ca="1">AI16/Investment*100</f>
        <v>212.57502837923505</v>
      </c>
      <c r="T21" s="637">
        <f ca="1">EXP(y_inter1-(slope*LN(+S21)))</f>
        <v>7.8350776531701554</v>
      </c>
      <c r="U21" s="638">
        <f ca="1">(+S21*T21/100)/100</f>
        <v>0.16655418544761563</v>
      </c>
      <c r="V21" s="638">
        <f>regDebt_weighted</f>
        <v>3.5860000000000003E-2</v>
      </c>
      <c r="W21" s="638">
        <f ca="1">+U21-V21</f>
        <v>0.13069418544761563</v>
      </c>
      <c r="X21" s="638">
        <f ca="1">+((W21*(1-0.34))-Pfd_weighted)/Equity_percent</f>
        <v>0.23275628603321602</v>
      </c>
      <c r="Y21" s="638">
        <f ca="1">+X21*equityP</f>
        <v>0.13965377161992962</v>
      </c>
      <c r="Z21" s="638">
        <f ca="1">+Y21/(1-taxrate)</f>
        <v>0.17677692610117673</v>
      </c>
      <c r="AA21" s="638">
        <f>debtP*Debt_Rate</f>
        <v>2.0000000000000004E-2</v>
      </c>
      <c r="AB21" s="638">
        <f ca="1">+AA21+Z21</f>
        <v>0.19677692610117675</v>
      </c>
      <c r="AC21" s="638">
        <f ca="1">+AB21/(S21/100)</f>
        <v>9.2568222900634226E-2</v>
      </c>
      <c r="AD21" s="638">
        <f ca="1">1-AC21</f>
        <v>0.90743177709936573</v>
      </c>
      <c r="AE21" s="639">
        <f ca="1">expenses/(AD21)</f>
        <v>2989307.6069435054</v>
      </c>
      <c r="AF21" s="640">
        <f ca="1">+AE21-Revenue</f>
        <v>124981.02694350574</v>
      </c>
      <c r="AG21" s="641">
        <f ca="1">+AF21/$J$49</f>
        <v>140826.93700798077</v>
      </c>
      <c r="AH21" s="641">
        <f ca="1">+AG21*$J$47</f>
        <v>3182.6887763803657</v>
      </c>
      <c r="AI21" s="639">
        <f ca="1">ROUND(+AH21+AE21,5)</f>
        <v>2992490.2957199998</v>
      </c>
    </row>
    <row r="22" spans="1:35" ht="16.5" thickTop="1">
      <c r="A22" s="327"/>
      <c r="B22" s="327" t="s">
        <v>163</v>
      </c>
      <c r="C22" s="327"/>
      <c r="D22" s="327"/>
      <c r="E22" s="327"/>
      <c r="F22" s="363">
        <f t="shared" si="0"/>
        <v>16</v>
      </c>
      <c r="G22" s="359"/>
      <c r="H22" s="320"/>
      <c r="I22" s="352"/>
      <c r="J22" s="511" t="s">
        <v>164</v>
      </c>
      <c r="K22" s="510">
        <f ca="1">+(J21/J19)-1</f>
        <v>4.1736154276838189E-2</v>
      </c>
      <c r="L22" s="352"/>
      <c r="M22" s="369"/>
      <c r="O22" s="327"/>
      <c r="P22" s="327"/>
      <c r="R22" s="393">
        <v>2</v>
      </c>
      <c r="S22" s="390">
        <f ca="1">AI17/Investment*100</f>
        <v>212.21007571577576</v>
      </c>
      <c r="T22" s="392">
        <f ca="1">EXP(y_inter2-(slope*LN(+S22)))</f>
        <v>7.732680223464266</v>
      </c>
      <c r="U22" s="388">
        <f ca="1">(+S22*T22/100)/100</f>
        <v>0.16409526557072338</v>
      </c>
      <c r="V22" s="388">
        <f>regDebt_weighted</f>
        <v>3.5860000000000003E-2</v>
      </c>
      <c r="W22" s="388">
        <f ca="1">+U22-V22</f>
        <v>0.12823526557072337</v>
      </c>
      <c r="X22" s="388">
        <f ca="1">+((W22*(1-0.34))-Pfd_weighted)/Equity_percent</f>
        <v>0.22803859092057388</v>
      </c>
      <c r="Y22" s="388">
        <f ca="1">+X22*equityP</f>
        <v>0.13682315455234431</v>
      </c>
      <c r="Z22" s="388">
        <f ca="1">+Y22/(1-taxrate)</f>
        <v>0.17319386652195481</v>
      </c>
      <c r="AA22" s="388">
        <f>debtP*Debt_Rate</f>
        <v>2.0000000000000004E-2</v>
      </c>
      <c r="AB22" s="388">
        <f ca="1">+AA22+Z22</f>
        <v>0.1931938665219548</v>
      </c>
      <c r="AC22" s="388">
        <f ca="1">+AB22/(S22/100)</f>
        <v>9.1038969695628233E-2</v>
      </c>
      <c r="AD22" s="388">
        <f ca="1">1-AC22</f>
        <v>0.90896103030437181</v>
      </c>
      <c r="AE22" s="386">
        <f ca="1">expenses/(AD22)</f>
        <v>2984278.3393662837</v>
      </c>
      <c r="AF22" s="387">
        <f ca="1">+AE22-Revenue</f>
        <v>119951.75936628412</v>
      </c>
      <c r="AG22" s="375">
        <f ca="1">+AF22/$J$49</f>
        <v>135160.02607266081</v>
      </c>
      <c r="AH22" s="375">
        <f ca="1">+AG22*$J$47</f>
        <v>3054.6165892421345</v>
      </c>
      <c r="AI22" s="386">
        <f ca="1">ROUND(+AH22+AE22,5)</f>
        <v>2987332.9559599999</v>
      </c>
    </row>
    <row r="23" spans="1:35" ht="15.75">
      <c r="A23" s="327"/>
      <c r="B23" s="327" t="s">
        <v>166</v>
      </c>
      <c r="C23" s="327"/>
      <c r="D23" s="327"/>
      <c r="E23" s="327"/>
      <c r="F23" s="363">
        <f t="shared" si="0"/>
        <v>17</v>
      </c>
      <c r="H23" s="359"/>
      <c r="I23" s="359"/>
      <c r="J23" s="359"/>
      <c r="K23" s="359"/>
      <c r="L23" s="359"/>
      <c r="M23" s="359"/>
      <c r="N23" s="359"/>
      <c r="O23" s="327"/>
      <c r="P23" s="327"/>
      <c r="R23" s="357">
        <v>3</v>
      </c>
      <c r="S23" s="390">
        <f ca="1">AI18/Investment*100</f>
        <v>211.96436981092864</v>
      </c>
      <c r="T23" s="313">
        <f ca="1">EXP(y_inter3-(slope*LN(S23)))</f>
        <v>7.6635672483706871</v>
      </c>
      <c r="U23" s="388">
        <f ca="1">(+S23*T23/100)/100</f>
        <v>0.16244032023045651</v>
      </c>
      <c r="V23" s="388">
        <f>regDebt_weighted</f>
        <v>3.5860000000000003E-2</v>
      </c>
      <c r="W23" s="388">
        <f ca="1">+U23-V23</f>
        <v>0.12658032023045651</v>
      </c>
      <c r="X23" s="388">
        <f ca="1">+((W23*(1-0.34))-Pfd_weighted)/Equity_percent</f>
        <v>0.22486340509331773</v>
      </c>
      <c r="Y23" s="388">
        <f ca="1">+X23*equityP</f>
        <v>0.13491804305599064</v>
      </c>
      <c r="Z23" s="388">
        <f ca="1">+Y23/(1-taxrate)</f>
        <v>0.17078233298226664</v>
      </c>
      <c r="AA23" s="388">
        <f>debtP*Debt_Rate</f>
        <v>2.0000000000000004E-2</v>
      </c>
      <c r="AB23" s="388">
        <f ca="1">+AA23+Z23</f>
        <v>0.19078233298226666</v>
      </c>
      <c r="AC23" s="388">
        <f ca="1">+AB23/(S23/100)</f>
        <v>9.0006793666522228E-2</v>
      </c>
      <c r="AD23" s="388">
        <f ca="1">1-AC23</f>
        <v>0.9099932063334778</v>
      </c>
      <c r="AE23" s="386">
        <f ca="1">expenses/(AD23)</f>
        <v>2980893.3684185501</v>
      </c>
      <c r="AF23" s="387">
        <f ca="1">+AE23-Revenue</f>
        <v>116566.78841855051</v>
      </c>
      <c r="AG23" s="375">
        <f ca="1">+AF23/$J$49</f>
        <v>131345.88642212166</v>
      </c>
      <c r="AH23" s="375">
        <f ca="1">+AG23*$J$47</f>
        <v>2968.41703313995</v>
      </c>
      <c r="AI23" s="386">
        <f ca="1">ROUND(+AH23+AE23,5)</f>
        <v>2983861.7854499999</v>
      </c>
    </row>
    <row r="24" spans="1:35" ht="15.75">
      <c r="A24" s="327"/>
      <c r="B24" s="327" t="s">
        <v>168</v>
      </c>
      <c r="C24" s="327"/>
      <c r="D24" s="327"/>
      <c r="E24" s="327"/>
      <c r="F24" s="363">
        <f t="shared" si="0"/>
        <v>18</v>
      </c>
      <c r="H24" s="359"/>
      <c r="J24" s="412" t="s">
        <v>169</v>
      </c>
      <c r="K24" s="411" t="s">
        <v>170</v>
      </c>
      <c r="L24" s="411"/>
      <c r="M24" s="411"/>
      <c r="N24" s="411"/>
      <c r="O24" s="327"/>
      <c r="P24" s="327"/>
      <c r="R24" s="371">
        <v>4</v>
      </c>
      <c r="S24" s="390">
        <f ca="1">AI19/Investment*100</f>
        <v>211.80725599794195</v>
      </c>
      <c r="T24" s="389">
        <f ca="1">EXP(y_inter4-(slope*LN(S24)))</f>
        <v>7.6193001104298252</v>
      </c>
      <c r="U24" s="388">
        <f ca="1">(+S24*T24/100)/100</f>
        <v>0.16138230490149574</v>
      </c>
      <c r="V24" s="388">
        <f>regDebt_weighted</f>
        <v>3.5860000000000003E-2</v>
      </c>
      <c r="W24" s="388">
        <f ca="1">+U24-V24</f>
        <v>0.12552230490149574</v>
      </c>
      <c r="X24" s="388">
        <f ca="1">+((W24*(1-0.34))-Pfd_weighted)/Equity_percent</f>
        <v>0.22283349196217206</v>
      </c>
      <c r="Y24" s="388">
        <f ca="1">+X24*equityP</f>
        <v>0.13370009517730322</v>
      </c>
      <c r="Z24" s="388">
        <f ca="1">+Y24/(1-taxrate)</f>
        <v>0.16924062680671292</v>
      </c>
      <c r="AA24" s="388">
        <f>debtP*Debt_Rate</f>
        <v>2.0000000000000004E-2</v>
      </c>
      <c r="AB24" s="388">
        <f ca="1">+AA24+Z24</f>
        <v>0.18924062680671294</v>
      </c>
      <c r="AC24" s="388">
        <f ca="1">+AB24/(S24/100)</f>
        <v>8.9345677000107926E-2</v>
      </c>
      <c r="AD24" s="388">
        <f ca="1">1-AC24</f>
        <v>0.91065432299989202</v>
      </c>
      <c r="AE24" s="386">
        <f ca="1">expenses/(AD24)</f>
        <v>2978729.2999713994</v>
      </c>
      <c r="AF24" s="387">
        <f ca="1">+AE24-Revenue</f>
        <v>114402.71997139975</v>
      </c>
      <c r="AG24" s="375">
        <f ca="1">+AF24/$J$49</f>
        <v>128907.44325725941</v>
      </c>
      <c r="AH24" s="375">
        <f ca="1">+AG24*$J$47</f>
        <v>2913.3082176140629</v>
      </c>
      <c r="AI24" s="386">
        <f ca="1">ROUND(+AH24+AE24,5)</f>
        <v>2981642.6081900001</v>
      </c>
    </row>
    <row r="25" spans="1:35" ht="15.75">
      <c r="A25" s="327"/>
      <c r="B25" s="327" t="s">
        <v>172</v>
      </c>
      <c r="C25" s="327"/>
      <c r="D25" s="327"/>
      <c r="E25" s="327"/>
      <c r="F25" s="363">
        <f t="shared" si="0"/>
        <v>19</v>
      </c>
      <c r="H25" s="409" t="s">
        <v>173</v>
      </c>
      <c r="I25" s="410" t="s">
        <v>23</v>
      </c>
      <c r="J25" s="408" t="s">
        <v>174</v>
      </c>
      <c r="K25" s="409" t="s">
        <v>175</v>
      </c>
      <c r="L25" s="408" t="s">
        <v>176</v>
      </c>
      <c r="M25" s="408" t="s">
        <v>174</v>
      </c>
      <c r="O25" s="327"/>
      <c r="P25" s="327"/>
      <c r="R25" s="310" t="s">
        <v>177</v>
      </c>
      <c r="W25" s="316"/>
      <c r="X25" s="314"/>
      <c r="Y25" s="313"/>
      <c r="Z25" s="313"/>
      <c r="AA25" s="314"/>
      <c r="AC25" s="314"/>
      <c r="AD25" s="314"/>
      <c r="AE25" s="313"/>
      <c r="AF25" s="316"/>
    </row>
    <row r="26" spans="1:35" ht="15.75">
      <c r="A26" s="327"/>
      <c r="B26" s="327"/>
      <c r="C26" s="327"/>
      <c r="D26" s="327"/>
      <c r="E26" s="327"/>
      <c r="F26" s="363">
        <f t="shared" si="0"/>
        <v>20</v>
      </c>
      <c r="H26" s="403" t="s">
        <v>123</v>
      </c>
      <c r="I26" s="404">
        <f>1-I27</f>
        <v>0.6</v>
      </c>
      <c r="J26" s="407">
        <f>+I26*J28</f>
        <v>844650.5261204947</v>
      </c>
      <c r="K26" s="405">
        <f ca="1">+K34</f>
        <v>0.22461757222148415</v>
      </c>
      <c r="L26" s="404">
        <f ca="1">+K26*I26</f>
        <v>0.13477054333289049</v>
      </c>
      <c r="M26" s="364">
        <f ca="1">+J26*K26</f>
        <v>189723.3505527848</v>
      </c>
      <c r="O26" s="327"/>
      <c r="P26" s="327"/>
      <c r="R26" s="635">
        <v>1</v>
      </c>
      <c r="S26" s="636">
        <f ca="1">AI21/Investment*100</f>
        <v>212.57243343927797</v>
      </c>
      <c r="T26" s="637">
        <f ca="1">EXP(y_inter1-(slope*LN(+S26)))</f>
        <v>7.8351430428722679</v>
      </c>
      <c r="U26" s="638">
        <f ca="1">(+S26*T26/100)/100</f>
        <v>0.16655354229681868</v>
      </c>
      <c r="V26" s="638">
        <f>regDebt_weighted</f>
        <v>3.5860000000000003E-2</v>
      </c>
      <c r="W26" s="638">
        <f ca="1">+U26-V26</f>
        <v>0.13069354229681868</v>
      </c>
      <c r="X26" s="638">
        <f ca="1">+((W26*(1-0.34))-Pfd_weighted)/Equity_percent</f>
        <v>0.23275505208110558</v>
      </c>
      <c r="Y26" s="638">
        <f ca="1">+X26*equityP</f>
        <v>0.13965303124866335</v>
      </c>
      <c r="Z26" s="638">
        <f ca="1">+Y26/(1-taxrate)</f>
        <v>0.17677598892235866</v>
      </c>
      <c r="AA26" s="638">
        <f>debtP*Debt_Rate</f>
        <v>2.0000000000000004E-2</v>
      </c>
      <c r="AB26" s="638">
        <f ca="1">+AA26+Z26</f>
        <v>0.19677598892235865</v>
      </c>
      <c r="AC26" s="638">
        <f ca="1">+AB26/(S26/100)</f>
        <v>9.2568912035608977E-2</v>
      </c>
      <c r="AD26" s="638">
        <f ca="1">1-AC26</f>
        <v>0.90743108796439098</v>
      </c>
      <c r="AE26" s="639">
        <f ca="1">expenses/(AD26)</f>
        <v>2989309.8771284805</v>
      </c>
      <c r="AF26" s="640">
        <f ca="1">+AE26-Revenue</f>
        <v>124983.29712848086</v>
      </c>
      <c r="AG26" s="641">
        <f ca="1">+AF26/$J$49</f>
        <v>140829.4950218194</v>
      </c>
      <c r="AH26" s="641">
        <f ca="1">+AG26*$J$47</f>
        <v>3182.7465874931186</v>
      </c>
      <c r="AI26" s="639">
        <f ca="1">ROUND(+AH26+AE26,5)</f>
        <v>2992492.62372</v>
      </c>
    </row>
    <row r="27" spans="1:35" ht="15.75">
      <c r="A27" s="327"/>
      <c r="B27" s="327"/>
      <c r="C27" s="327"/>
      <c r="D27" s="327"/>
      <c r="E27" s="327"/>
      <c r="F27" s="363">
        <f t="shared" si="0"/>
        <v>21</v>
      </c>
      <c r="H27" s="403" t="s">
        <v>125</v>
      </c>
      <c r="I27" s="404">
        <f>IF(A65=TRUE,C8,0)</f>
        <v>0.4</v>
      </c>
      <c r="J27" s="406">
        <f>+I27*J28</f>
        <v>563100.35074699658</v>
      </c>
      <c r="K27" s="405">
        <f>IF(A65=TRUE,C9,0)</f>
        <v>0.05</v>
      </c>
      <c r="L27" s="404">
        <f>+K27*I27</f>
        <v>2.0000000000000004E-2</v>
      </c>
      <c r="M27" s="364">
        <f>+K27*J27</f>
        <v>28155.017537349831</v>
      </c>
      <c r="O27" s="327"/>
      <c r="P27" s="327"/>
      <c r="R27" s="393">
        <v>2</v>
      </c>
      <c r="S27" s="390">
        <f ca="1">AI22/Investment*100</f>
        <v>212.20608028370572</v>
      </c>
      <c r="T27" s="392">
        <f ca="1">EXP(y_inter2-(slope*LN(+S27)))</f>
        <v>7.7327797596990404</v>
      </c>
      <c r="U27" s="388">
        <f ca="1">(+S27*T27/100)/100</f>
        <v>0.16409428825029093</v>
      </c>
      <c r="V27" s="388">
        <f>regDebt_weighted</f>
        <v>3.5860000000000003E-2</v>
      </c>
      <c r="W27" s="388">
        <f ca="1">+U27-V27</f>
        <v>0.12823428825029093</v>
      </c>
      <c r="X27" s="388">
        <f ca="1">+((W27*(1-0.34))-Pfd_weighted)/Equity_percent</f>
        <v>0.22803671582904655</v>
      </c>
      <c r="Y27" s="388">
        <f ca="1">+X27*equityP</f>
        <v>0.13682202949742792</v>
      </c>
      <c r="Z27" s="388">
        <f ca="1">+Y27/(1-taxrate)</f>
        <v>0.17319244240180748</v>
      </c>
      <c r="AA27" s="388">
        <f>debtP*Debt_Rate</f>
        <v>2.0000000000000004E-2</v>
      </c>
      <c r="AB27" s="388">
        <f ca="1">+AA27+Z27</f>
        <v>0.1931924424018075</v>
      </c>
      <c r="AC27" s="388">
        <f ca="1">+AB27/(S27/100)</f>
        <v>9.1040012681786395E-2</v>
      </c>
      <c r="AD27" s="388">
        <f ca="1">1-AC27</f>
        <v>0.90895998731821359</v>
      </c>
      <c r="AE27" s="386">
        <f ca="1">expenses/(AD27)</f>
        <v>2984281.7636765325</v>
      </c>
      <c r="AF27" s="387">
        <f ca="1">+AE27-Revenue</f>
        <v>119955.18367653294</v>
      </c>
      <c r="AG27" s="375">
        <f ca="1">+AF27/$J$49</f>
        <v>135163.8845393057</v>
      </c>
      <c r="AH27" s="375">
        <f ca="1">+AG27*$J$47</f>
        <v>3054.7037905883089</v>
      </c>
      <c r="AI27" s="386">
        <f ca="1">ROUND(+AH27+AE27,5)</f>
        <v>2987336.46747</v>
      </c>
    </row>
    <row r="28" spans="1:35" ht="16.5" thickBot="1">
      <c r="A28" s="327"/>
      <c r="B28" s="327"/>
      <c r="C28" s="327"/>
      <c r="D28" s="327"/>
      <c r="E28" s="327"/>
      <c r="F28" s="363">
        <f t="shared" si="0"/>
        <v>22</v>
      </c>
      <c r="H28" s="403" t="s">
        <v>27</v>
      </c>
      <c r="I28" s="402">
        <f>SUM(I26:I27)</f>
        <v>1</v>
      </c>
      <c r="J28" s="367">
        <f>IF(A65=TRUE,C7,0)</f>
        <v>1407750.8768674913</v>
      </c>
      <c r="K28" s="401"/>
      <c r="L28" s="400">
        <f ca="1">SUM(L26:L27)</f>
        <v>0.15477054333289048</v>
      </c>
      <c r="M28" s="367">
        <f ca="1">SUM(M26:M27)</f>
        <v>217878.36809013464</v>
      </c>
      <c r="O28" s="327"/>
      <c r="P28" s="327"/>
      <c r="R28" s="357">
        <v>3</v>
      </c>
      <c r="S28" s="390">
        <f ca="1">AI23/Investment*100</f>
        <v>211.9595046596348</v>
      </c>
      <c r="T28" s="313">
        <f ca="1">EXP(y_inter3-(slope*LN(S28)))</f>
        <v>7.6636875078650659</v>
      </c>
      <c r="U28" s="388">
        <f ca="1">(+S28*T28/100)/100</f>
        <v>0.16243914080333105</v>
      </c>
      <c r="V28" s="388">
        <f>regDebt_weighted</f>
        <v>3.5860000000000003E-2</v>
      </c>
      <c r="W28" s="388">
        <f ca="1">+U28-V28</f>
        <v>0.12657914080333105</v>
      </c>
      <c r="X28" s="388">
        <f ca="1">+((W28*(1-0.34))-Pfd_weighted)/Equity_percent</f>
        <v>0.2248611422389491</v>
      </c>
      <c r="Y28" s="388">
        <f ca="1">+X28*equityP</f>
        <v>0.13491668534336945</v>
      </c>
      <c r="Z28" s="388">
        <f ca="1">+Y28/(1-taxrate)</f>
        <v>0.17078061435869551</v>
      </c>
      <c r="AA28" s="388">
        <f>debtP*Debt_Rate</f>
        <v>2.0000000000000004E-2</v>
      </c>
      <c r="AB28" s="388">
        <f ca="1">+AA28+Z28</f>
        <v>0.19078061435869553</v>
      </c>
      <c r="AC28" s="388">
        <f ca="1">+AB28/(S28/100)</f>
        <v>9.0008048785097702E-2</v>
      </c>
      <c r="AD28" s="388">
        <f ca="1">1-AC28</f>
        <v>0.90999195121490228</v>
      </c>
      <c r="AE28" s="386">
        <f ca="1">expenses/(AD28)</f>
        <v>2980897.4798556161</v>
      </c>
      <c r="AF28" s="387">
        <f ca="1">+AE28-Revenue</f>
        <v>116570.8998556165</v>
      </c>
      <c r="AG28" s="375">
        <f ca="1">+AF28/$J$49</f>
        <v>131350.51913400495</v>
      </c>
      <c r="AH28" s="375">
        <f ca="1">+AG28*$J$47</f>
        <v>2968.5217324285122</v>
      </c>
      <c r="AI28" s="386">
        <f ca="1">ROUND(+AH28+AE28,5)</f>
        <v>2983866.00159</v>
      </c>
    </row>
    <row r="29" spans="1:35" ht="16.5" thickTop="1">
      <c r="A29" s="327"/>
      <c r="B29" s="327"/>
      <c r="C29" s="327"/>
      <c r="D29" s="327"/>
      <c r="E29" s="327"/>
      <c r="F29" s="363">
        <f t="shared" si="0"/>
        <v>23</v>
      </c>
      <c r="G29" s="359"/>
      <c r="H29" s="359"/>
      <c r="I29" s="359"/>
      <c r="J29" s="359"/>
      <c r="K29" s="359"/>
      <c r="L29" s="359"/>
      <c r="M29" s="359"/>
      <c r="N29" s="359"/>
      <c r="O29" s="327"/>
      <c r="P29" s="327"/>
      <c r="R29" s="371">
        <v>4</v>
      </c>
      <c r="S29" s="390">
        <f ca="1">AI24/Investment*100</f>
        <v>211.80186474646084</v>
      </c>
      <c r="T29" s="389">
        <f ca="1">EXP(y_inter4-(slope*LN(S29)))</f>
        <v>7.6194327031455327</v>
      </c>
      <c r="U29" s="388">
        <f ca="1">(+S29*T29/100)/100</f>
        <v>0.1613810054836391</v>
      </c>
      <c r="V29" s="388">
        <f>regDebt_weighted</f>
        <v>3.5860000000000003E-2</v>
      </c>
      <c r="W29" s="388">
        <f ca="1">+U29-V29</f>
        <v>0.12552100548363909</v>
      </c>
      <c r="X29" s="388">
        <f ca="1">+((W29*(1-0.34))-Pfd_weighted)/Equity_percent</f>
        <v>0.22283099889302849</v>
      </c>
      <c r="Y29" s="388">
        <f ca="1">+X29*equityP</f>
        <v>0.1336985993358171</v>
      </c>
      <c r="Z29" s="388">
        <f ca="1">+Y29/(1-taxrate)</f>
        <v>0.16923873333647732</v>
      </c>
      <c r="AA29" s="388">
        <f>debtP*Debt_Rate</f>
        <v>2.0000000000000004E-2</v>
      </c>
      <c r="AB29" s="388">
        <f ca="1">+AA29+Z29</f>
        <v>0.18923873333647734</v>
      </c>
      <c r="AC29" s="388">
        <f ca="1">+AB29/(S29/100)</f>
        <v>8.9347057242865693E-2</v>
      </c>
      <c r="AD29" s="388">
        <f ca="1">1-AC29</f>
        <v>0.91065294275713426</v>
      </c>
      <c r="AE29" s="386">
        <f ca="1">expenses/(AD29)</f>
        <v>2978733.8147204886</v>
      </c>
      <c r="AF29" s="387">
        <f ca="1">+AE29-Revenue</f>
        <v>114407.23472048901</v>
      </c>
      <c r="AG29" s="375">
        <f ca="1">+AF29/$J$49</f>
        <v>128912.53041569576</v>
      </c>
      <c r="AH29" s="375">
        <f ca="1">+AG29*$J$47</f>
        <v>2913.4231873947242</v>
      </c>
      <c r="AI29" s="386">
        <f ca="1">ROUND(+AH29+AE29,5)</f>
        <v>2981647.2379100001</v>
      </c>
    </row>
    <row r="30" spans="1:35" ht="15.75">
      <c r="A30" s="327"/>
      <c r="B30" s="327"/>
      <c r="C30" s="327"/>
      <c r="D30" s="327"/>
      <c r="E30" s="327"/>
      <c r="F30" s="363">
        <f t="shared" si="0"/>
        <v>24</v>
      </c>
      <c r="G30" s="359"/>
      <c r="H30" s="359"/>
      <c r="I30" s="359"/>
      <c r="J30" s="399" t="s">
        <v>178</v>
      </c>
      <c r="K30" s="399" t="s">
        <v>179</v>
      </c>
      <c r="L30" s="359"/>
      <c r="M30" s="359"/>
      <c r="N30" s="359"/>
      <c r="O30" s="327"/>
      <c r="P30" s="327"/>
      <c r="R30" s="310" t="s">
        <v>180</v>
      </c>
      <c r="W30" s="316"/>
      <c r="X30" s="314"/>
      <c r="Y30" s="313"/>
      <c r="Z30" s="313"/>
      <c r="AA30" s="314"/>
      <c r="AC30" s="314"/>
      <c r="AD30" s="314"/>
      <c r="AE30" s="313"/>
      <c r="AF30" s="316"/>
      <c r="AH30" s="313"/>
    </row>
    <row r="31" spans="1:35" ht="15.75">
      <c r="A31" s="327"/>
      <c r="B31" s="327"/>
      <c r="C31" s="327"/>
      <c r="D31" s="327"/>
      <c r="E31" s="327"/>
      <c r="F31" s="363">
        <f t="shared" si="0"/>
        <v>25</v>
      </c>
      <c r="G31" s="359"/>
      <c r="H31" s="385" t="s">
        <v>181</v>
      </c>
      <c r="I31" s="398"/>
      <c r="J31" s="397" t="s">
        <v>182</v>
      </c>
      <c r="K31" s="397" t="s">
        <v>182</v>
      </c>
      <c r="L31" s="359"/>
      <c r="M31" s="359"/>
      <c r="N31" s="359"/>
      <c r="O31" s="327"/>
      <c r="P31" s="327"/>
      <c r="R31" s="635">
        <v>1</v>
      </c>
      <c r="S31" s="636">
        <f ca="1">AI26/Investment*100</f>
        <v>212.57259880944667</v>
      </c>
      <c r="T31" s="637">
        <f ca="1">EXP(y_inter1-(slope*LN(+S31)))</f>
        <v>7.8351388756813893</v>
      </c>
      <c r="U31" s="638">
        <f ca="1">(+S31*T31/100)/100</f>
        <v>0.16655358328365191</v>
      </c>
      <c r="V31" s="638">
        <f>regDebt_weighted</f>
        <v>3.5860000000000003E-2</v>
      </c>
      <c r="W31" s="638">
        <f ca="1">+U31-V31</f>
        <v>0.13069358328365191</v>
      </c>
      <c r="X31" s="638">
        <f ca="1">+((W31*(1-0.34))-Pfd_weighted)/Equity_percent</f>
        <v>0.23275513071863443</v>
      </c>
      <c r="Y31" s="638">
        <f ca="1">+X31*equityP</f>
        <v>0.13965307843118066</v>
      </c>
      <c r="Z31" s="638">
        <f ca="1">+Y31/(1-taxrate)</f>
        <v>0.17677604864706412</v>
      </c>
      <c r="AA31" s="638">
        <f>debtP*Debt_Rate</f>
        <v>2.0000000000000004E-2</v>
      </c>
      <c r="AB31" s="638">
        <f ca="1">+AA31+Z31</f>
        <v>0.19677604864706411</v>
      </c>
      <c r="AC31" s="638">
        <f ca="1">+AB31/(S31/100)</f>
        <v>9.2568868118066888E-2</v>
      </c>
      <c r="AD31" s="638">
        <f ca="1">1-AC31</f>
        <v>0.90743113188193314</v>
      </c>
      <c r="AE31" s="639">
        <f ca="1">expenses/(AD31)</f>
        <v>2989309.7324528815</v>
      </c>
      <c r="AF31" s="640">
        <f ca="1">+AE31-Revenue</f>
        <v>124983.15245288191</v>
      </c>
      <c r="AG31" s="641">
        <f ca="1">+AF31/$J$49</f>
        <v>140829.33200330404</v>
      </c>
      <c r="AH31" s="641">
        <f ca="1">+AG31*$J$47</f>
        <v>3182.7429032746713</v>
      </c>
      <c r="AI31" s="639">
        <f ca="1">ROUND(+AH31+AE31,5)</f>
        <v>2992492.47536</v>
      </c>
    </row>
    <row r="32" spans="1:35" ht="15.75">
      <c r="A32" s="327"/>
      <c r="B32" s="327"/>
      <c r="C32" s="327"/>
      <c r="D32" s="327"/>
      <c r="E32" s="327"/>
      <c r="F32" s="363">
        <f t="shared" si="0"/>
        <v>26</v>
      </c>
      <c r="G32" s="359"/>
      <c r="H32" s="361"/>
      <c r="I32" s="361"/>
      <c r="J32" s="361"/>
      <c r="K32" s="361"/>
      <c r="L32" s="359"/>
      <c r="M32" s="359"/>
      <c r="N32" s="359"/>
      <c r="O32" s="327"/>
      <c r="P32" s="327"/>
      <c r="R32" s="393">
        <v>2</v>
      </c>
      <c r="S32" s="390">
        <f ca="1">AI27/Investment*100</f>
        <v>212.2063297248574</v>
      </c>
      <c r="T32" s="392">
        <f ca="1">EXP(y_inter2-(slope*LN(+S32)))</f>
        <v>7.7327735454019226</v>
      </c>
      <c r="U32" s="388">
        <f ca="1">(+S32*T32/100)/100</f>
        <v>0.16409434926632152</v>
      </c>
      <c r="V32" s="388">
        <f>regDebt_weighted</f>
        <v>3.5860000000000003E-2</v>
      </c>
      <c r="W32" s="388">
        <f ca="1">+U32-V32</f>
        <v>0.12823434926632152</v>
      </c>
      <c r="X32" s="388">
        <f ca="1">+((W32*(1-0.34))-Pfd_weighted)/Equity_percent</f>
        <v>0.22803683289468663</v>
      </c>
      <c r="Y32" s="388">
        <f ca="1">+X32*equityP</f>
        <v>0.13682209973681198</v>
      </c>
      <c r="Z32" s="388">
        <f ca="1">+Y32/(1-taxrate)</f>
        <v>0.17319253131242021</v>
      </c>
      <c r="AA32" s="388">
        <f>debtP*Debt_Rate</f>
        <v>2.0000000000000004E-2</v>
      </c>
      <c r="AB32" s="388">
        <f ca="1">+AA32+Z32</f>
        <v>0.1931925313124202</v>
      </c>
      <c r="AC32" s="388">
        <f ca="1">+AB32/(S32/100)</f>
        <v>9.103994756561215E-2</v>
      </c>
      <c r="AD32" s="388">
        <f ca="1">1-AC32</f>
        <v>0.90896005243438782</v>
      </c>
      <c r="AE32" s="386">
        <f ca="1">expenses/(AD32)</f>
        <v>2984281.5498882472</v>
      </c>
      <c r="AF32" s="387">
        <f ca="1">+AE32-Revenue</f>
        <v>119954.96988824755</v>
      </c>
      <c r="AG32" s="375">
        <f ca="1">+AF32/$J$49</f>
        <v>135163.64364554657</v>
      </c>
      <c r="AH32" s="375">
        <f ca="1">+AG32*$J$47</f>
        <v>3054.698346389353</v>
      </c>
      <c r="AI32" s="386">
        <f ca="1">ROUND(+AH32+AE32,5)</f>
        <v>2987336.24823</v>
      </c>
    </row>
    <row r="33" spans="1:46" ht="15.75">
      <c r="A33" s="327"/>
      <c r="B33" s="327"/>
      <c r="C33" s="327"/>
      <c r="D33" s="327"/>
      <c r="E33" s="327"/>
      <c r="F33" s="363">
        <f t="shared" si="0"/>
        <v>27</v>
      </c>
      <c r="G33" s="359"/>
      <c r="H33" s="361" t="s">
        <v>183</v>
      </c>
      <c r="I33" s="361"/>
      <c r="J33" s="360">
        <f ca="1">+K9/J28</f>
        <v>0.19059562447201325</v>
      </c>
      <c r="K33" s="360">
        <f ca="1">+(M14+M11)/J28</f>
        <v>0.15477054333289048</v>
      </c>
      <c r="L33" s="359"/>
      <c r="M33" s="359"/>
      <c r="N33" s="359"/>
      <c r="O33" s="327"/>
      <c r="P33" s="327"/>
      <c r="R33" s="357">
        <v>3</v>
      </c>
      <c r="S33" s="390">
        <f ca="1">AI28/Investment*100</f>
        <v>211.959804154387</v>
      </c>
      <c r="T33" s="313">
        <f ca="1">EXP(y_inter3-(slope*LN(S33)))</f>
        <v>7.6636801046542713</v>
      </c>
      <c r="U33" s="388">
        <f ca="1">(+S33*T33/100)/100</f>
        <v>0.16243921340843914</v>
      </c>
      <c r="V33" s="388">
        <f>regDebt_weighted</f>
        <v>3.5860000000000003E-2</v>
      </c>
      <c r="W33" s="388">
        <f ca="1">+U33-V33</f>
        <v>0.12657921340843914</v>
      </c>
      <c r="X33" s="388">
        <f ca="1">+((W33*(1-0.34))-Pfd_weighted)/Equity_percent</f>
        <v>0.22486128153944718</v>
      </c>
      <c r="Y33" s="388">
        <f ca="1">+X33*equityP</f>
        <v>0.1349167689236683</v>
      </c>
      <c r="Z33" s="388">
        <f ca="1">+Y33/(1-taxrate)</f>
        <v>0.17078072015654214</v>
      </c>
      <c r="AA33" s="388">
        <f>debtP*Debt_Rate</f>
        <v>2.0000000000000004E-2</v>
      </c>
      <c r="AB33" s="388">
        <f ca="1">+AA33+Z33</f>
        <v>0.19078072015654213</v>
      </c>
      <c r="AC33" s="388">
        <f ca="1">+AB33/(S33/100)</f>
        <v>9.0007971519723395E-2</v>
      </c>
      <c r="AD33" s="388">
        <f ca="1">1-AC33</f>
        <v>0.9099920284802766</v>
      </c>
      <c r="AE33" s="386">
        <f ca="1">expenses/(AD33)</f>
        <v>2980897.2267543226</v>
      </c>
      <c r="AF33" s="387">
        <f ca="1">+AE33-Revenue</f>
        <v>116570.64675432304</v>
      </c>
      <c r="AG33" s="375">
        <f ca="1">+AF33/$J$49</f>
        <v>131350.23394287808</v>
      </c>
      <c r="AH33" s="375">
        <f ca="1">+AG33*$J$47</f>
        <v>2968.5152871090449</v>
      </c>
      <c r="AI33" s="386">
        <f ca="1">ROUND(+AH33+AE33,5)</f>
        <v>2983865.7420399999</v>
      </c>
    </row>
    <row r="34" spans="1:46" ht="15.75">
      <c r="A34" s="327"/>
      <c r="B34" s="327"/>
      <c r="C34" s="327"/>
      <c r="D34" s="327"/>
      <c r="E34" s="327"/>
      <c r="F34" s="363">
        <f t="shared" si="0"/>
        <v>28</v>
      </c>
      <c r="G34" s="359"/>
      <c r="H34" s="361" t="s">
        <v>184</v>
      </c>
      <c r="I34" s="361"/>
      <c r="J34" s="360">
        <f ca="1">+(M9-M11)/J26</f>
        <v>0.28432604078668877</v>
      </c>
      <c r="K34" s="360">
        <f ca="1">+M14/J26</f>
        <v>0.22461757222148415</v>
      </c>
      <c r="L34" s="359"/>
      <c r="M34" s="359"/>
      <c r="N34" s="359"/>
      <c r="O34" s="396"/>
      <c r="P34" s="327"/>
      <c r="R34" s="371">
        <v>4</v>
      </c>
      <c r="S34" s="390">
        <f ca="1">AI29/Investment*100</f>
        <v>211.80219361999067</v>
      </c>
      <c r="T34" s="389">
        <f ca="1">EXP(y_inter4-(slope*LN(S34)))</f>
        <v>7.6194246146503097</v>
      </c>
      <c r="U34" s="388">
        <f ca="1">(+S34*T34/100)/100</f>
        <v>0.16138108475050877</v>
      </c>
      <c r="V34" s="388">
        <f>regDebt_weighted</f>
        <v>3.5860000000000003E-2</v>
      </c>
      <c r="W34" s="388">
        <f ca="1">+U34-V34</f>
        <v>0.12552108475050877</v>
      </c>
      <c r="X34" s="388">
        <f ca="1">+((W34*(1-0.34))-Pfd_weighted)/Equity_percent</f>
        <v>0.22283115097481335</v>
      </c>
      <c r="Y34" s="388">
        <f ca="1">+X34*equityP</f>
        <v>0.13369869058488801</v>
      </c>
      <c r="Z34" s="388">
        <f ca="1">+Y34/(1-taxrate)</f>
        <v>0.16923884884163037</v>
      </c>
      <c r="AA34" s="388">
        <f>debtP*Debt_Rate</f>
        <v>2.0000000000000004E-2</v>
      </c>
      <c r="AB34" s="388">
        <f ca="1">+AA34+Z34</f>
        <v>0.18923884884163039</v>
      </c>
      <c r="AC34" s="388">
        <f ca="1">+AB34/(S34/100)</f>
        <v>8.934697304464996E-2</v>
      </c>
      <c r="AD34" s="388">
        <f ca="1">1-AC34</f>
        <v>0.91065302695535</v>
      </c>
      <c r="AE34" s="386">
        <f ca="1">expenses/(AD34)</f>
        <v>2978733.5393092562</v>
      </c>
      <c r="AF34" s="387">
        <f ca="1">+AE34-Revenue</f>
        <v>114406.95930925664</v>
      </c>
      <c r="AG34" s="375">
        <f ca="1">+AF34/$J$49</f>
        <v>128912.22008603036</v>
      </c>
      <c r="AH34" s="375">
        <f ca="1">+AG34*$J$47</f>
        <v>2913.4161739442861</v>
      </c>
      <c r="AI34" s="386">
        <f ca="1">ROUND(+AH34+AE34,5)</f>
        <v>2981646.95548</v>
      </c>
    </row>
    <row r="35" spans="1:46" ht="15.75">
      <c r="A35" s="327"/>
      <c r="B35" s="327"/>
      <c r="C35" s="327"/>
      <c r="D35" s="327"/>
      <c r="E35" s="327"/>
      <c r="F35" s="363">
        <f t="shared" si="0"/>
        <v>29</v>
      </c>
      <c r="G35" s="359"/>
      <c r="H35" s="395" t="s">
        <v>127</v>
      </c>
      <c r="I35" s="361"/>
      <c r="J35" s="360">
        <f ca="1">+K8/K7</f>
        <v>0.90998999999999997</v>
      </c>
      <c r="K35" s="360">
        <f ca="1">+M8/M7</f>
        <v>0.91007955184470835</v>
      </c>
      <c r="L35" s="359"/>
      <c r="M35" s="359"/>
      <c r="N35" s="359"/>
      <c r="O35" s="327"/>
      <c r="P35" s="327"/>
      <c r="R35" s="310" t="s">
        <v>185</v>
      </c>
      <c r="X35" s="314"/>
      <c r="Y35" s="315"/>
      <c r="Z35" s="313"/>
      <c r="AA35" s="314"/>
      <c r="AC35" s="314"/>
      <c r="AD35" s="314"/>
      <c r="AE35" s="313"/>
      <c r="AF35" s="316"/>
      <c r="AH35" s="313"/>
    </row>
    <row r="36" spans="1:46" ht="15.75">
      <c r="A36" s="327"/>
      <c r="B36" s="327"/>
      <c r="C36" s="327"/>
      <c r="D36" s="327"/>
      <c r="E36" s="327"/>
      <c r="F36" s="363">
        <f t="shared" si="0"/>
        <v>30</v>
      </c>
      <c r="G36" s="359"/>
      <c r="H36" s="361" t="s">
        <v>186</v>
      </c>
      <c r="I36" s="361"/>
      <c r="J36" s="360">
        <f ca="1">+K9/K7</f>
        <v>9.0010000000000007E-2</v>
      </c>
      <c r="K36" s="360">
        <f ca="1">+J36</f>
        <v>9.0010000000000007E-2</v>
      </c>
      <c r="L36" s="359"/>
      <c r="M36" s="359"/>
      <c r="N36" s="359"/>
      <c r="O36" s="327"/>
      <c r="P36" s="327"/>
      <c r="R36" s="635">
        <v>1</v>
      </c>
      <c r="S36" s="636">
        <f ca="1">AI31/Investment*100</f>
        <v>212.57258827065019</v>
      </c>
      <c r="T36" s="637">
        <f ca="1">EXP(y_inter1-(slope*LN(+S36)))</f>
        <v>7.8351391412501457</v>
      </c>
      <c r="U36" s="638">
        <f ca="1">(+S36*T36/100)/100</f>
        <v>0.16655358067162229</v>
      </c>
      <c r="V36" s="638">
        <f>regDebt_weighted</f>
        <v>3.5860000000000003E-2</v>
      </c>
      <c r="W36" s="638">
        <f ca="1">+U36-V36</f>
        <v>0.13069358067162229</v>
      </c>
      <c r="X36" s="638">
        <f ca="1">+((W36*(1-0.34))-Pfd_weighted)/Equity_percent</f>
        <v>0.23275512570718226</v>
      </c>
      <c r="Y36" s="638">
        <f ca="1">+X36*equityP</f>
        <v>0.13965307542430935</v>
      </c>
      <c r="Z36" s="638">
        <f ca="1">+Y36/(1-taxrate)</f>
        <v>0.1767760448408979</v>
      </c>
      <c r="AA36" s="638">
        <f>debtP*Debt_Rate</f>
        <v>2.0000000000000004E-2</v>
      </c>
      <c r="AB36" s="638">
        <f ca="1">+AA36+Z36</f>
        <v>0.19677604484089789</v>
      </c>
      <c r="AC36" s="638">
        <f ca="1">+AB36/(S36/100)</f>
        <v>9.2568870916865387E-2</v>
      </c>
      <c r="AD36" s="638">
        <f ca="1">1-AC36</f>
        <v>0.90743112908313461</v>
      </c>
      <c r="AE36" s="639">
        <f ca="1">expenses/(AD36)</f>
        <v>2989309.7416728386</v>
      </c>
      <c r="AF36" s="640">
        <f ca="1">+AE36-Revenue</f>
        <v>124983.16167283896</v>
      </c>
      <c r="AG36" s="641">
        <f ca="1">+AF36/$J$49</f>
        <v>140829.34239222741</v>
      </c>
      <c r="AH36" s="641">
        <f ca="1">+AG36*$J$47</f>
        <v>3182.7431380643397</v>
      </c>
      <c r="AI36" s="639">
        <f ca="1">ROUND(+AH36+AE36,5)</f>
        <v>2992492.4848099998</v>
      </c>
    </row>
    <row r="37" spans="1:46" ht="15.75">
      <c r="A37" s="327"/>
      <c r="B37" s="327"/>
      <c r="C37" s="327"/>
      <c r="D37" s="327"/>
      <c r="E37" s="327"/>
      <c r="F37" s="363">
        <f t="shared" si="0"/>
        <v>31</v>
      </c>
      <c r="G37" s="359"/>
      <c r="H37" s="361" t="s">
        <v>187</v>
      </c>
      <c r="I37" s="366"/>
      <c r="J37" s="394">
        <f ca="1">+S39/100</f>
        <v>2.1180217355749202</v>
      </c>
      <c r="K37" s="394">
        <f ca="1">+J37</f>
        <v>2.1180217355749202</v>
      </c>
      <c r="L37" s="359"/>
      <c r="M37" s="359"/>
      <c r="N37" s="359"/>
      <c r="O37" s="327"/>
      <c r="P37" s="327"/>
      <c r="R37" s="393">
        <v>2</v>
      </c>
      <c r="S37" s="390">
        <f ca="1">AI32/Investment*100</f>
        <v>212.20631415107914</v>
      </c>
      <c r="T37" s="392">
        <f ca="1">EXP(y_inter2-(slope*LN(+S37)))</f>
        <v>7.7327739333892076</v>
      </c>
      <c r="U37" s="388">
        <f ca="1">(+S37*T37/100)/100</f>
        <v>0.1640943454568066</v>
      </c>
      <c r="V37" s="388">
        <f>regDebt_weighted</f>
        <v>3.5860000000000003E-2</v>
      </c>
      <c r="W37" s="388">
        <f ca="1">+U37-V37</f>
        <v>0.12823434545680659</v>
      </c>
      <c r="X37" s="388">
        <f ca="1">+((W37*(1-0.34))-Pfd_weighted)/Equity_percent</f>
        <v>0.22803682558573357</v>
      </c>
      <c r="Y37" s="388">
        <f ca="1">+X37*equityP</f>
        <v>0.13682209535144013</v>
      </c>
      <c r="Z37" s="388">
        <f ca="1">+Y37/(1-taxrate)</f>
        <v>0.17319252576131661</v>
      </c>
      <c r="AA37" s="388">
        <f>debtP*Debt_Rate</f>
        <v>2.0000000000000004E-2</v>
      </c>
      <c r="AB37" s="388">
        <f ca="1">+AA37+Z37</f>
        <v>0.19319252576131662</v>
      </c>
      <c r="AC37" s="388">
        <f ca="1">+AB37/(S37/100)</f>
        <v>9.1039951631116056E-2</v>
      </c>
      <c r="AD37" s="388">
        <f ca="1">1-AC37</f>
        <v>0.908960048368884</v>
      </c>
      <c r="AE37" s="386">
        <f ca="1">expenses/(AD37)</f>
        <v>2984281.5632360373</v>
      </c>
      <c r="AF37" s="387">
        <f ca="1">+AE37-Revenue</f>
        <v>119954.98323603766</v>
      </c>
      <c r="AG37" s="375">
        <f ca="1">+AF37/$J$49</f>
        <v>135163.65868565661</v>
      </c>
      <c r="AH37" s="375">
        <f ca="1">+AG37*$J$47</f>
        <v>3054.6986862958397</v>
      </c>
      <c r="AI37" s="386">
        <f ca="1">ROUND(+AH37+AE37,5)</f>
        <v>2987336.26192</v>
      </c>
    </row>
    <row r="38" spans="1:46" ht="15.75">
      <c r="A38" s="327"/>
      <c r="B38" s="327"/>
      <c r="C38" s="327"/>
      <c r="D38" s="327"/>
      <c r="E38" s="327"/>
      <c r="F38" s="363">
        <f t="shared" si="0"/>
        <v>32</v>
      </c>
      <c r="G38" s="359"/>
      <c r="H38" s="361" t="s">
        <v>188</v>
      </c>
      <c r="I38" s="359"/>
      <c r="J38" s="360">
        <f>+C10</f>
        <v>0.21</v>
      </c>
      <c r="K38" s="360">
        <f>+J38</f>
        <v>0.21</v>
      </c>
      <c r="L38" s="359"/>
      <c r="M38" s="359"/>
      <c r="N38" s="359"/>
      <c r="O38" s="327"/>
      <c r="P38" s="327"/>
      <c r="Q38" s="391"/>
      <c r="R38" s="357">
        <v>3</v>
      </c>
      <c r="S38" s="390">
        <f ca="1">AI33/Investment*100</f>
        <v>211.95978571717595</v>
      </c>
      <c r="T38" s="313">
        <f ca="1">EXP(y_inter3-(slope*LN(S38)))</f>
        <v>7.6636805604031855</v>
      </c>
      <c r="U38" s="388">
        <f ca="1">(+S38*T38/100)/100</f>
        <v>0.16243920893879463</v>
      </c>
      <c r="V38" s="388">
        <f>regDebt_weighted</f>
        <v>3.5860000000000003E-2</v>
      </c>
      <c r="W38" s="388">
        <f ca="1">+U38-V38</f>
        <v>0.12657920893879462</v>
      </c>
      <c r="X38" s="388">
        <f ca="1">+((W38*(1-0.34))-Pfd_weighted)/Equity_percent</f>
        <v>0.22486127296396644</v>
      </c>
      <c r="Y38" s="388">
        <f ca="1">+X38*equityP</f>
        <v>0.13491676377837986</v>
      </c>
      <c r="Z38" s="388">
        <f ca="1">+Y38/(1-taxrate)</f>
        <v>0.17078071364351879</v>
      </c>
      <c r="AA38" s="388">
        <f>debtP*Debt_Rate</f>
        <v>2.0000000000000004E-2</v>
      </c>
      <c r="AB38" s="388">
        <f ca="1">+AA38+Z38</f>
        <v>0.19078071364351878</v>
      </c>
      <c r="AC38" s="388">
        <f ca="1">+AB38/(S38/100)</f>
        <v>9.0007976276255994E-2</v>
      </c>
      <c r="AD38" s="388">
        <f ca="1">1-AC38</f>
        <v>0.90999202372374399</v>
      </c>
      <c r="AE38" s="386">
        <f ca="1">expenses/(AD38)</f>
        <v>2980897.2423354867</v>
      </c>
      <c r="AF38" s="387">
        <f ca="1">+AE38-Revenue</f>
        <v>116570.66233548708</v>
      </c>
      <c r="AG38" s="375">
        <f ca="1">+AF38/$J$49</f>
        <v>131350.25149952376</v>
      </c>
      <c r="AH38" s="375">
        <f ca="1">+AG38*$J$47</f>
        <v>2968.5156838892372</v>
      </c>
      <c r="AI38" s="386">
        <f ca="1">ROUND(+AH38+AE38,5)</f>
        <v>2983865.7580200001</v>
      </c>
    </row>
    <row r="39" spans="1:46" ht="15.75">
      <c r="A39" s="327"/>
      <c r="B39" s="327"/>
      <c r="C39" s="327"/>
      <c r="D39" s="327"/>
      <c r="E39" s="327"/>
      <c r="F39" s="363">
        <f t="shared" si="0"/>
        <v>33</v>
      </c>
      <c r="G39" s="359"/>
      <c r="H39" s="359"/>
      <c r="I39" s="359"/>
      <c r="J39" s="359"/>
      <c r="K39" s="359"/>
      <c r="L39" s="359"/>
      <c r="M39" s="359"/>
      <c r="N39" s="359"/>
      <c r="O39" s="327"/>
      <c r="P39" s="327"/>
      <c r="R39" s="371">
        <v>4</v>
      </c>
      <c r="S39" s="390">
        <f ca="1">AI34/Investment*100</f>
        <v>211.80217355749201</v>
      </c>
      <c r="T39" s="389">
        <f ca="1">EXP(y_inter4-(slope*LN(S39)))</f>
        <v>7.6194251080777571</v>
      </c>
      <c r="U39" s="388">
        <f ca="1">(+S39*T39/100)/100</f>
        <v>0.16138107991493975</v>
      </c>
      <c r="V39" s="388">
        <f>regDebt_weighted</f>
        <v>3.5860000000000003E-2</v>
      </c>
      <c r="W39" s="388">
        <f ca="1">+U39-V39</f>
        <v>0.12552107991493974</v>
      </c>
      <c r="X39" s="388">
        <f ca="1">+((W39*(1-0.34))-Pfd_weighted)/Equity_percent</f>
        <v>0.22283114169726809</v>
      </c>
      <c r="Y39" s="388">
        <f ca="1">+X39*equityP</f>
        <v>0.13369868501836085</v>
      </c>
      <c r="Z39" s="388">
        <f ca="1">+Y39/(1-taxrate)</f>
        <v>0.16923884179539347</v>
      </c>
      <c r="AA39" s="388">
        <f>debtP*Debt_Rate</f>
        <v>2.0000000000000004E-2</v>
      </c>
      <c r="AB39" s="388">
        <f ca="1">+AA39+Z39</f>
        <v>0.18923884179539346</v>
      </c>
      <c r="AC39" s="388">
        <f ca="1">+AB39/(S39/100)</f>
        <v>8.934697818104595E-2</v>
      </c>
      <c r="AD39" s="388">
        <f ca="1">1-AC39</f>
        <v>0.91065302181895402</v>
      </c>
      <c r="AE39" s="386">
        <f ca="1">expenses/(AD39)</f>
        <v>2978733.5561103369</v>
      </c>
      <c r="AF39" s="387">
        <f ca="1">+AE39-Revenue</f>
        <v>114406.9761103373</v>
      </c>
      <c r="AG39" s="375">
        <f ca="1">+AF39/$J$49</f>
        <v>128912.23901726166</v>
      </c>
      <c r="AH39" s="375">
        <f ca="1">+AG39*$J$47</f>
        <v>2913.4166017901139</v>
      </c>
      <c r="AI39" s="386">
        <f ca="1">ROUND(+AH39+AE39,5)</f>
        <v>2981646.9727099999</v>
      </c>
    </row>
    <row r="40" spans="1:46" ht="15.75">
      <c r="A40" s="327"/>
      <c r="B40" s="327"/>
      <c r="C40" s="327"/>
      <c r="D40" s="327"/>
      <c r="E40" s="327"/>
      <c r="F40" s="363">
        <f t="shared" si="0"/>
        <v>34</v>
      </c>
      <c r="G40" s="366"/>
      <c r="H40" s="359"/>
      <c r="I40" s="359"/>
      <c r="J40" s="359"/>
      <c r="K40" s="359"/>
      <c r="L40" s="359"/>
      <c r="M40" s="359"/>
      <c r="N40" s="359"/>
      <c r="O40" s="327"/>
      <c r="P40" s="327"/>
      <c r="X40" s="314"/>
      <c r="Y40" s="315"/>
      <c r="Z40" s="313"/>
      <c r="AA40" s="314"/>
      <c r="AC40" s="314"/>
      <c r="AD40" s="314"/>
      <c r="AE40" s="313"/>
      <c r="AF40" s="316"/>
      <c r="AH40" s="313"/>
    </row>
    <row r="41" spans="1:46" ht="15.75">
      <c r="A41" s="327"/>
      <c r="B41" s="327"/>
      <c r="C41" s="327"/>
      <c r="D41" s="327"/>
      <c r="E41" s="327"/>
      <c r="F41" s="363">
        <f t="shared" si="0"/>
        <v>35</v>
      </c>
      <c r="G41" s="359"/>
      <c r="H41" s="385" t="s">
        <v>189</v>
      </c>
      <c r="I41" s="384"/>
      <c r="J41" s="359"/>
      <c r="K41" s="359"/>
      <c r="L41" s="359"/>
      <c r="M41" s="359"/>
      <c r="N41" s="359"/>
      <c r="O41" s="327"/>
      <c r="P41" s="327"/>
      <c r="R41" s="645" t="s">
        <v>190</v>
      </c>
      <c r="S41" s="646"/>
      <c r="T41" s="643"/>
      <c r="U41" s="643"/>
      <c r="V41" s="644"/>
      <c r="X41" s="383"/>
      <c r="Y41" s="315"/>
      <c r="Z41" s="313"/>
      <c r="AA41" s="314"/>
      <c r="AC41" s="314"/>
      <c r="AD41" s="314"/>
      <c r="AE41" s="313"/>
      <c r="AF41" s="316"/>
      <c r="AH41" s="313"/>
    </row>
    <row r="42" spans="1:46" ht="15.75">
      <c r="A42" s="327"/>
      <c r="B42" s="327"/>
      <c r="C42" s="327"/>
      <c r="D42" s="327"/>
      <c r="E42" s="327"/>
      <c r="F42" s="363">
        <f t="shared" si="0"/>
        <v>36</v>
      </c>
      <c r="G42" s="359"/>
      <c r="H42" s="359"/>
      <c r="I42" s="359"/>
      <c r="J42" s="382" t="s">
        <v>28</v>
      </c>
      <c r="K42" s="381" t="s">
        <v>128</v>
      </c>
      <c r="L42" s="359"/>
      <c r="M42" s="359"/>
      <c r="N42" s="359"/>
      <c r="O42" s="327"/>
      <c r="P42" s="327"/>
      <c r="R42" s="380" t="s">
        <v>191</v>
      </c>
      <c r="S42" s="379"/>
      <c r="V42" s="356"/>
      <c r="X42" s="314"/>
      <c r="Y42" s="315"/>
      <c r="Z42" s="313"/>
      <c r="AA42" s="314"/>
      <c r="AC42" s="314"/>
      <c r="AD42" s="314"/>
      <c r="AE42" s="313"/>
      <c r="AH42" s="313"/>
    </row>
    <row r="43" spans="1:46" ht="15.75">
      <c r="A43" s="327"/>
      <c r="B43" s="327"/>
      <c r="C43" s="327"/>
      <c r="D43" s="327"/>
      <c r="E43" s="327"/>
      <c r="F43" s="363">
        <f t="shared" si="0"/>
        <v>37</v>
      </c>
      <c r="G43" s="359"/>
      <c r="H43" s="361" t="s">
        <v>192</v>
      </c>
      <c r="I43" s="373"/>
      <c r="J43" s="365">
        <f>IF($A$65=TRUE,C11,0)</f>
        <v>1.7500000000000002E-2</v>
      </c>
      <c r="K43" s="372">
        <f ca="1">+J43*($J$7/$J$49)</f>
        <v>2298.7601210209637</v>
      </c>
      <c r="L43" s="359"/>
      <c r="M43" s="359"/>
      <c r="N43" s="359"/>
      <c r="O43" s="327"/>
      <c r="P43" s="327"/>
      <c r="R43" s="357">
        <v>0</v>
      </c>
      <c r="S43" s="377">
        <v>1</v>
      </c>
      <c r="U43" s="378" t="s">
        <v>186</v>
      </c>
      <c r="V43" s="323">
        <f ca="1">VLOOKUP(R49,R36:AE39,12)</f>
        <v>9.0007976276255994E-2</v>
      </c>
      <c r="AA43" s="314"/>
      <c r="AC43" s="314"/>
      <c r="AH43" s="313"/>
      <c r="AL43" s="314"/>
      <c r="AM43" s="314"/>
      <c r="AN43" s="314"/>
      <c r="AO43" s="314"/>
      <c r="AP43" s="314"/>
      <c r="AQ43" s="314"/>
      <c r="AR43" s="314"/>
      <c r="AS43" s="314"/>
      <c r="AT43" s="314"/>
    </row>
    <row r="44" spans="1:46" ht="15.75">
      <c r="A44" s="327"/>
      <c r="B44" s="327"/>
      <c r="C44" s="327"/>
      <c r="D44" s="327"/>
      <c r="E44" s="327"/>
      <c r="F44" s="363">
        <f t="shared" si="0"/>
        <v>38</v>
      </c>
      <c r="G44" s="359"/>
      <c r="H44" s="361" t="s">
        <v>193</v>
      </c>
      <c r="I44" s="373"/>
      <c r="J44" s="365">
        <f>IF($A$65=TRUE,C12,0)</f>
        <v>5.1000000000000004E-3</v>
      </c>
      <c r="K44" s="372">
        <f ca="1">+J44*($J$7/$J$49)</f>
        <v>669.92437812610945</v>
      </c>
      <c r="L44" s="359"/>
      <c r="M44" s="359"/>
      <c r="N44" s="359"/>
      <c r="O44" s="327"/>
      <c r="P44" s="327"/>
      <c r="R44" s="357">
        <v>50</v>
      </c>
      <c r="S44" s="377">
        <v>2</v>
      </c>
      <c r="U44" s="378" t="s">
        <v>127</v>
      </c>
      <c r="V44" s="323">
        <f ca="1">ROUND(1-V43,5)</f>
        <v>0.90998999999999997</v>
      </c>
      <c r="Y44" s="374"/>
      <c r="Z44" s="310"/>
      <c r="AA44" s="310"/>
      <c r="AC44" s="314"/>
      <c r="AF44" s="316"/>
      <c r="AH44" s="313"/>
      <c r="AL44" s="314"/>
      <c r="AM44" s="314"/>
      <c r="AN44" s="314"/>
      <c r="AO44" s="314"/>
      <c r="AP44" s="314"/>
      <c r="AQ44" s="314"/>
      <c r="AR44" s="314"/>
      <c r="AS44" s="314"/>
      <c r="AT44" s="314"/>
    </row>
    <row r="45" spans="1:46" ht="15.75">
      <c r="A45" s="327"/>
      <c r="B45" s="327"/>
      <c r="C45" s="327"/>
      <c r="D45" s="327"/>
      <c r="E45" s="327"/>
      <c r="F45" s="363">
        <f t="shared" si="0"/>
        <v>39</v>
      </c>
      <c r="G45" s="359"/>
      <c r="H45" s="361" t="s">
        <v>194</v>
      </c>
      <c r="I45" s="373"/>
      <c r="J45" s="365">
        <f>IF($A$65=TRUE,C13,0)</f>
        <v>0</v>
      </c>
      <c r="K45" s="372">
        <f ca="1">+J45*($J$7/$J$49)</f>
        <v>0</v>
      </c>
      <c r="L45" s="359"/>
      <c r="M45" s="359"/>
      <c r="N45" s="359"/>
      <c r="O45" s="327"/>
      <c r="P45" s="327"/>
      <c r="R45" s="357">
        <v>125</v>
      </c>
      <c r="S45" s="377">
        <v>3</v>
      </c>
      <c r="U45" s="309" t="s">
        <v>195</v>
      </c>
      <c r="V45" s="376">
        <f ca="1">+M7/Revenue-1</f>
        <v>4.1736154276838189E-2</v>
      </c>
      <c r="W45" s="375"/>
      <c r="X45" s="314"/>
      <c r="Y45" s="374"/>
      <c r="Z45" s="313"/>
      <c r="AA45" s="314"/>
      <c r="AC45" s="314"/>
      <c r="AD45" s="314"/>
      <c r="AE45" s="313"/>
      <c r="AF45" s="316"/>
      <c r="AH45" s="313"/>
      <c r="AL45" s="314"/>
      <c r="AM45" s="314"/>
      <c r="AN45" s="314"/>
      <c r="AO45" s="314"/>
      <c r="AP45" s="314"/>
      <c r="AQ45" s="314"/>
      <c r="AR45" s="314"/>
      <c r="AS45" s="314"/>
      <c r="AT45" s="314"/>
    </row>
    <row r="46" spans="1:46" ht="15.75">
      <c r="A46" s="327"/>
      <c r="B46" s="327"/>
      <c r="C46" s="327"/>
      <c r="D46" s="327"/>
      <c r="E46" s="327"/>
      <c r="F46" s="363">
        <f t="shared" si="0"/>
        <v>40</v>
      </c>
      <c r="G46" s="359"/>
      <c r="H46" s="361" t="s">
        <v>196</v>
      </c>
      <c r="I46" s="373"/>
      <c r="J46" s="365">
        <f>IF($A$65=TRUE,C14,0)</f>
        <v>0</v>
      </c>
      <c r="K46" s="372">
        <f ca="1">+J46*($J$7/$J$49)</f>
        <v>0</v>
      </c>
      <c r="L46" s="359"/>
      <c r="M46" s="359"/>
      <c r="N46" s="359"/>
      <c r="O46" s="327"/>
      <c r="P46" s="327"/>
      <c r="R46" s="371">
        <v>401</v>
      </c>
      <c r="S46" s="370">
        <v>4</v>
      </c>
      <c r="T46" s="352"/>
      <c r="U46" s="352"/>
      <c r="V46" s="369"/>
      <c r="X46" s="314"/>
      <c r="Y46" s="315"/>
      <c r="Z46" s="313"/>
      <c r="AA46" s="314"/>
      <c r="AC46" s="314"/>
      <c r="AD46" s="314"/>
      <c r="AE46" s="313"/>
      <c r="AF46" s="316"/>
      <c r="AH46" s="313"/>
      <c r="AL46" s="314"/>
      <c r="AM46" s="314"/>
      <c r="AN46" s="314"/>
      <c r="AO46" s="314"/>
      <c r="AP46" s="314"/>
      <c r="AQ46" s="314"/>
      <c r="AR46" s="314"/>
      <c r="AS46" s="314"/>
      <c r="AT46" s="314"/>
    </row>
    <row r="47" spans="1:46" ht="16.5" thickBot="1">
      <c r="A47" s="327"/>
      <c r="B47" s="327"/>
      <c r="C47" s="327"/>
      <c r="D47" s="327"/>
      <c r="E47" s="327"/>
      <c r="F47" s="363">
        <f t="shared" si="0"/>
        <v>41</v>
      </c>
      <c r="G47" s="359"/>
      <c r="H47" s="361" t="s">
        <v>197</v>
      </c>
      <c r="I47" s="366"/>
      <c r="J47" s="368">
        <f>SUM(J43:J46)</f>
        <v>2.2600000000000002E-2</v>
      </c>
      <c r="K47" s="367">
        <f ca="1">+K43+K44+K45+K46</f>
        <v>2968.684499147073</v>
      </c>
      <c r="L47" s="359"/>
      <c r="M47" s="359"/>
      <c r="N47" s="359"/>
      <c r="O47" s="327"/>
      <c r="P47" s="327"/>
      <c r="R47" s="357"/>
      <c r="S47" s="310"/>
      <c r="X47" s="314"/>
      <c r="Y47" s="315"/>
      <c r="Z47" s="313"/>
      <c r="AA47" s="314"/>
      <c r="AC47" s="314"/>
      <c r="AD47" s="314"/>
      <c r="AE47" s="313"/>
      <c r="AF47" s="316"/>
      <c r="AH47" s="313"/>
      <c r="AL47" s="314"/>
      <c r="AM47" s="314"/>
      <c r="AN47" s="314"/>
      <c r="AO47" s="314"/>
      <c r="AP47" s="314"/>
      <c r="AQ47" s="314"/>
      <c r="AR47" s="314"/>
      <c r="AS47" s="314"/>
      <c r="AT47" s="314"/>
    </row>
    <row r="48" spans="1:46" ht="16.5" thickTop="1">
      <c r="A48" s="327"/>
      <c r="B48" s="327"/>
      <c r="C48" s="327"/>
      <c r="D48" s="327"/>
      <c r="E48" s="327"/>
      <c r="F48" s="363">
        <f t="shared" si="0"/>
        <v>42</v>
      </c>
      <c r="G48" s="359"/>
      <c r="H48" s="361"/>
      <c r="I48" s="366"/>
      <c r="J48" s="365"/>
      <c r="K48" s="364"/>
      <c r="L48" s="359"/>
      <c r="M48" s="359"/>
      <c r="N48" s="359"/>
      <c r="O48" s="327"/>
      <c r="P48" s="327"/>
      <c r="R48" s="647">
        <f ca="1">VLOOKUP(R49,R36:S39,2)</f>
        <v>211.95978571717595</v>
      </c>
      <c r="S48" s="648" t="s">
        <v>198</v>
      </c>
      <c r="T48" s="644"/>
      <c r="V48" s="643"/>
      <c r="X48" s="309" t="s">
        <v>199</v>
      </c>
      <c r="AC48" s="314"/>
      <c r="AF48" s="316"/>
      <c r="AH48" s="313"/>
    </row>
    <row r="49" spans="1:46" ht="15.75">
      <c r="A49" s="327"/>
      <c r="B49" s="327"/>
      <c r="C49" s="327"/>
      <c r="D49" s="327"/>
      <c r="E49" s="327"/>
      <c r="F49" s="363">
        <f t="shared" si="0"/>
        <v>43</v>
      </c>
      <c r="G49" s="362"/>
      <c r="H49" s="361" t="s">
        <v>200</v>
      </c>
      <c r="I49" s="359"/>
      <c r="J49" s="360">
        <f ca="1">((K35)-J47)</f>
        <v>0.88747955184470839</v>
      </c>
      <c r="K49" s="359"/>
      <c r="L49" s="359"/>
      <c r="M49" s="359"/>
      <c r="N49" s="359"/>
      <c r="O49" s="327"/>
      <c r="P49" s="327"/>
      <c r="R49" s="357">
        <f ca="1">VLOOKUP(S36,R43:S46,2)</f>
        <v>3</v>
      </c>
      <c r="S49" s="358" t="s">
        <v>201</v>
      </c>
      <c r="T49" s="356"/>
      <c r="X49" s="309" t="s">
        <v>202</v>
      </c>
      <c r="AA49" s="310"/>
      <c r="AC49" s="314"/>
      <c r="AH49" s="313"/>
    </row>
    <row r="50" spans="1:46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55"/>
      <c r="L50" s="327"/>
      <c r="M50" s="327"/>
      <c r="N50" s="354"/>
      <c r="O50" s="327"/>
      <c r="P50" s="327"/>
      <c r="R50" s="357"/>
      <c r="T50" s="356"/>
      <c r="X50" s="309" t="s">
        <v>203</v>
      </c>
      <c r="AA50" s="314"/>
      <c r="AC50" s="314"/>
      <c r="AD50" s="314"/>
      <c r="AE50" s="313"/>
      <c r="AH50" s="313"/>
    </row>
    <row r="51" spans="1:46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55"/>
      <c r="L51" s="327"/>
      <c r="M51" s="327"/>
      <c r="N51" s="354"/>
      <c r="O51" s="327"/>
      <c r="P51" s="327"/>
      <c r="R51" s="353">
        <f ca="1">+V44</f>
        <v>0.90998999999999997</v>
      </c>
      <c r="S51" s="352" t="s">
        <v>127</v>
      </c>
      <c r="T51" s="351"/>
      <c r="X51" s="309" t="s">
        <v>204</v>
      </c>
      <c r="AA51" s="314"/>
      <c r="AC51" s="314"/>
      <c r="AD51" s="314"/>
      <c r="AE51" s="313"/>
      <c r="AF51" s="314"/>
      <c r="AH51" s="313"/>
      <c r="AL51" s="314"/>
      <c r="AM51" s="314"/>
      <c r="AN51" s="314"/>
      <c r="AO51" s="314"/>
      <c r="AP51" s="314"/>
      <c r="AQ51" s="314"/>
      <c r="AR51" s="314"/>
      <c r="AS51" s="314"/>
      <c r="AT51" s="314"/>
    </row>
    <row r="52" spans="1:46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Z52" s="313"/>
      <c r="AA52" s="314"/>
      <c r="AC52" s="314"/>
      <c r="AD52" s="314"/>
      <c r="AE52" s="313"/>
      <c r="AF52" s="316"/>
      <c r="AH52" s="313"/>
      <c r="AL52" s="314"/>
      <c r="AM52" s="314"/>
      <c r="AN52" s="314"/>
      <c r="AO52" s="314"/>
      <c r="AP52" s="314"/>
      <c r="AQ52" s="314"/>
      <c r="AR52" s="314"/>
      <c r="AS52" s="314"/>
      <c r="AT52" s="314"/>
    </row>
    <row r="53" spans="1:46">
      <c r="A53" s="327"/>
      <c r="B53" s="327"/>
      <c r="C53" s="327"/>
      <c r="D53" s="327"/>
      <c r="E53" s="327"/>
      <c r="F53" s="327"/>
      <c r="G53" s="327"/>
      <c r="H53" s="327"/>
      <c r="I53" s="327"/>
      <c r="J53" s="330"/>
      <c r="K53" s="330"/>
      <c r="L53" s="330"/>
      <c r="M53" s="330"/>
      <c r="N53" s="327"/>
      <c r="O53" s="327"/>
      <c r="P53" s="327"/>
      <c r="R53" s="309"/>
      <c r="Z53" s="313"/>
      <c r="AA53" s="314"/>
      <c r="AC53" s="314"/>
      <c r="AD53" s="314"/>
      <c r="AE53" s="313"/>
      <c r="AF53" s="316"/>
      <c r="AH53" s="313"/>
      <c r="AL53" s="314"/>
      <c r="AM53" s="314"/>
      <c r="AN53" s="314"/>
      <c r="AO53" s="314"/>
      <c r="AP53" s="314"/>
      <c r="AQ53" s="314"/>
      <c r="AR53" s="314"/>
      <c r="AS53" s="314"/>
      <c r="AT53" s="314"/>
    </row>
    <row r="54" spans="1:46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30"/>
      <c r="L54" s="330"/>
      <c r="M54" s="330"/>
      <c r="N54" s="327"/>
      <c r="O54" s="327"/>
      <c r="P54" s="327"/>
      <c r="R54" s="309"/>
      <c r="S54" s="309" t="s">
        <v>205</v>
      </c>
      <c r="T54" s="314"/>
      <c r="U54" s="350"/>
      <c r="W54" s="349" t="s">
        <v>206</v>
      </c>
      <c r="X54" s="348"/>
      <c r="Y54" s="348"/>
      <c r="Z54" s="348"/>
      <c r="AC54" s="314"/>
      <c r="AF54" s="316"/>
      <c r="AH54" s="313"/>
      <c r="AL54" s="314"/>
      <c r="AM54" s="314"/>
      <c r="AN54" s="314"/>
      <c r="AO54" s="314"/>
      <c r="AP54" s="314"/>
      <c r="AQ54" s="314"/>
      <c r="AR54" s="314"/>
      <c r="AS54" s="314"/>
      <c r="AT54" s="314"/>
    </row>
    <row r="55" spans="1:46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39"/>
      <c r="M55" s="339"/>
      <c r="N55" s="327"/>
      <c r="O55" s="327"/>
      <c r="P55" s="327"/>
      <c r="R55" s="649"/>
      <c r="S55" s="650" t="s">
        <v>23</v>
      </c>
      <c r="T55" s="650" t="s">
        <v>207</v>
      </c>
      <c r="U55" s="651" t="s">
        <v>176</v>
      </c>
      <c r="W55" s="652" t="s">
        <v>208</v>
      </c>
      <c r="X55" s="653">
        <v>5.7225999999999999</v>
      </c>
      <c r="Y55" s="654" t="s">
        <v>209</v>
      </c>
      <c r="Z55" s="655">
        <v>5.6985000000000001</v>
      </c>
      <c r="AA55" s="310"/>
      <c r="AC55" s="314"/>
      <c r="AH55" s="313"/>
    </row>
    <row r="56" spans="1:46">
      <c r="A56" s="327"/>
      <c r="B56" s="327"/>
      <c r="C56" s="327"/>
      <c r="D56" s="327"/>
      <c r="E56" s="327"/>
      <c r="F56" s="327"/>
      <c r="G56" s="327"/>
      <c r="H56" s="327"/>
      <c r="I56" s="327"/>
      <c r="J56" s="339"/>
      <c r="K56" s="327"/>
      <c r="L56" s="339"/>
      <c r="M56" s="339"/>
      <c r="N56" s="327"/>
      <c r="O56" s="327"/>
      <c r="P56" s="327"/>
      <c r="R56" s="311" t="s">
        <v>125</v>
      </c>
      <c r="S56" s="343">
        <v>0.56200000000000006</v>
      </c>
      <c r="T56" s="343">
        <v>6.3799999999999996E-2</v>
      </c>
      <c r="U56" s="323">
        <f>ROUND(+S56*T56,5)</f>
        <v>3.5860000000000003E-2</v>
      </c>
      <c r="W56" s="347" t="s">
        <v>210</v>
      </c>
      <c r="X56" s="346">
        <v>5.7082699999999997</v>
      </c>
      <c r="Y56" s="345" t="s">
        <v>211</v>
      </c>
      <c r="Z56" s="344">
        <v>5.6921999999999997</v>
      </c>
      <c r="AA56" s="314"/>
      <c r="AC56" s="314"/>
      <c r="AD56" s="314"/>
      <c r="AE56" s="313"/>
      <c r="AH56" s="313"/>
    </row>
    <row r="57" spans="1:46">
      <c r="A57" s="327"/>
      <c r="B57" s="327"/>
      <c r="C57" s="327"/>
      <c r="D57" s="327"/>
      <c r="E57" s="330"/>
      <c r="F57" s="327"/>
      <c r="G57" s="327"/>
      <c r="H57" s="327"/>
      <c r="I57" s="327"/>
      <c r="J57" s="339"/>
      <c r="K57" s="327"/>
      <c r="L57" s="339"/>
      <c r="M57" s="339"/>
      <c r="N57" s="327"/>
      <c r="O57" s="327"/>
      <c r="P57" s="327"/>
      <c r="R57" s="311" t="s">
        <v>212</v>
      </c>
      <c r="S57" s="343">
        <v>9.4E-2</v>
      </c>
      <c r="T57" s="343">
        <v>6.59E-2</v>
      </c>
      <c r="U57" s="323">
        <f>ROUND(+S57*T57,5)</f>
        <v>6.1900000000000002E-3</v>
      </c>
      <c r="W57" s="311"/>
      <c r="Y57" s="342"/>
      <c r="Z57" s="341"/>
      <c r="AA57" s="314"/>
      <c r="AC57" s="314"/>
      <c r="AD57" s="314"/>
      <c r="AE57" s="313"/>
      <c r="AF57" s="316"/>
      <c r="AH57" s="313"/>
      <c r="AL57" s="314"/>
    </row>
    <row r="58" spans="1:46" ht="15.75">
      <c r="A58" s="327"/>
      <c r="B58" s="327"/>
      <c r="C58" s="327"/>
      <c r="D58" s="327"/>
      <c r="E58" s="330"/>
      <c r="F58" s="330"/>
      <c r="G58" s="330"/>
      <c r="H58" s="340"/>
      <c r="I58" s="330"/>
      <c r="J58" s="339"/>
      <c r="K58" s="327"/>
      <c r="L58" s="327"/>
      <c r="M58" s="327"/>
      <c r="N58" s="327"/>
      <c r="O58" s="327"/>
      <c r="P58" s="327"/>
      <c r="R58" s="311" t="s">
        <v>123</v>
      </c>
      <c r="S58" s="334">
        <v>0.34399999999999997</v>
      </c>
      <c r="T58" s="322"/>
      <c r="U58" s="338"/>
      <c r="W58" s="320"/>
      <c r="X58" s="337" t="s">
        <v>213</v>
      </c>
      <c r="Y58" s="336">
        <v>0.68367</v>
      </c>
      <c r="Z58" s="335"/>
      <c r="AA58" s="314"/>
      <c r="AC58" s="314"/>
      <c r="AD58" s="314"/>
      <c r="AE58" s="313"/>
      <c r="AF58" s="316"/>
      <c r="AH58" s="313"/>
    </row>
    <row r="59" spans="1:46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R59" s="320"/>
      <c r="S59" s="334">
        <f>SUM(S56:S58)</f>
        <v>1</v>
      </c>
      <c r="T59" s="333"/>
      <c r="U59" s="332"/>
      <c r="X59" s="314"/>
      <c r="Y59" s="315"/>
      <c r="Z59" s="313"/>
      <c r="AA59" s="314"/>
      <c r="AC59" s="314"/>
      <c r="AD59" s="314"/>
      <c r="AE59" s="313"/>
      <c r="AF59" s="316"/>
      <c r="AH59" s="313"/>
    </row>
    <row r="60" spans="1:46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X60" s="331"/>
      <c r="AC60" s="314"/>
      <c r="AF60" s="316"/>
      <c r="AH60" s="313"/>
      <c r="AL60" s="316"/>
      <c r="AM60" s="316"/>
      <c r="AN60" s="316"/>
      <c r="AO60" s="316"/>
      <c r="AP60" s="316"/>
      <c r="AQ60" s="316"/>
      <c r="AR60" s="316"/>
      <c r="AS60" s="316"/>
      <c r="AT60" s="316"/>
    </row>
    <row r="61" spans="1:46">
      <c r="A61" s="327"/>
      <c r="B61" s="327"/>
      <c r="C61" s="327"/>
      <c r="D61" s="327"/>
      <c r="E61" s="330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W61" s="649" t="s">
        <v>181</v>
      </c>
      <c r="X61" s="656"/>
      <c r="Y61" s="643" t="s">
        <v>214</v>
      </c>
      <c r="Z61" s="644" t="s">
        <v>106</v>
      </c>
      <c r="AC61" s="314"/>
      <c r="AH61" s="313"/>
      <c r="AL61" s="316"/>
      <c r="AM61" s="316"/>
      <c r="AN61" s="316"/>
      <c r="AO61" s="316"/>
      <c r="AP61" s="316"/>
      <c r="AQ61" s="316"/>
      <c r="AR61" s="316"/>
      <c r="AS61" s="316"/>
      <c r="AT61" s="316"/>
    </row>
    <row r="62" spans="1:46">
      <c r="A62" s="327"/>
      <c r="B62" s="327"/>
      <c r="C62" s="327"/>
      <c r="D62" s="327"/>
      <c r="E62" s="327"/>
      <c r="F62" s="330"/>
      <c r="G62" s="330"/>
      <c r="H62" s="330"/>
      <c r="I62" s="330"/>
      <c r="J62" s="330"/>
      <c r="K62" s="330"/>
      <c r="L62" s="330"/>
      <c r="M62" s="330"/>
      <c r="N62" s="330"/>
      <c r="O62" s="327"/>
      <c r="P62" s="327"/>
      <c r="W62" s="329"/>
      <c r="X62" s="326"/>
      <c r="Y62" s="326"/>
      <c r="Z62" s="328"/>
      <c r="AC62" s="314"/>
      <c r="AD62" s="314"/>
      <c r="AE62" s="313"/>
      <c r="AH62" s="313"/>
      <c r="AL62" s="316"/>
      <c r="AM62" s="316"/>
      <c r="AN62" s="316"/>
      <c r="AO62" s="316"/>
      <c r="AP62" s="316"/>
      <c r="AQ62" s="316"/>
      <c r="AR62" s="316"/>
      <c r="AS62" s="316"/>
      <c r="AT62" s="316"/>
    </row>
    <row r="63" spans="1:46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W63" s="311" t="s">
        <v>183</v>
      </c>
      <c r="X63" s="326"/>
      <c r="Y63" s="323">
        <f t="shared" ref="Y63:Z68" ca="1" si="1">+J33</f>
        <v>0.19059562447201325</v>
      </c>
      <c r="Z63" s="323">
        <f t="shared" ca="1" si="1"/>
        <v>0.15477054333289048</v>
      </c>
      <c r="AC63" s="314"/>
      <c r="AD63" s="314"/>
      <c r="AE63" s="313"/>
      <c r="AF63" s="316"/>
      <c r="AH63" s="313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4" spans="1:46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W64" s="311" t="s">
        <v>184</v>
      </c>
      <c r="X64" s="326"/>
      <c r="Y64" s="323">
        <f t="shared" ca="1" si="1"/>
        <v>0.28432604078668877</v>
      </c>
      <c r="Z64" s="323">
        <f t="shared" ca="1" si="1"/>
        <v>0.22461757222148415</v>
      </c>
      <c r="AC64" s="314"/>
      <c r="AD64" s="314"/>
      <c r="AE64" s="313"/>
      <c r="AF64" s="316"/>
      <c r="AH64" s="313"/>
    </row>
    <row r="65" spans="1:38">
      <c r="A65" s="309" t="b">
        <v>1</v>
      </c>
      <c r="F65" s="327"/>
      <c r="G65" s="327"/>
      <c r="H65" s="327"/>
      <c r="I65" s="327"/>
      <c r="J65" s="327"/>
      <c r="K65" s="327"/>
      <c r="L65" s="327"/>
      <c r="M65" s="327"/>
      <c r="N65" s="327"/>
      <c r="W65" s="311" t="s">
        <v>127</v>
      </c>
      <c r="X65" s="326"/>
      <c r="Y65" s="323">
        <f t="shared" ca="1" si="1"/>
        <v>0.90998999999999997</v>
      </c>
      <c r="Z65" s="323">
        <f t="shared" ca="1" si="1"/>
        <v>0.91007955184470835</v>
      </c>
      <c r="AC65" s="314"/>
      <c r="AD65" s="314"/>
      <c r="AE65" s="313"/>
      <c r="AF65" s="316"/>
      <c r="AH65" s="313"/>
    </row>
    <row r="66" spans="1:38">
      <c r="H66" s="316"/>
      <c r="I66" s="316"/>
      <c r="J66" s="316"/>
      <c r="K66" s="316"/>
      <c r="L66" s="316"/>
      <c r="M66" s="316"/>
      <c r="N66" s="316"/>
      <c r="O66" s="316"/>
      <c r="W66" s="311" t="s">
        <v>186</v>
      </c>
      <c r="X66" s="326"/>
      <c r="Y66" s="323">
        <f t="shared" ca="1" si="1"/>
        <v>9.0010000000000007E-2</v>
      </c>
      <c r="Z66" s="323">
        <f t="shared" ca="1" si="1"/>
        <v>9.0010000000000007E-2</v>
      </c>
      <c r="AC66" s="314"/>
      <c r="AF66" s="316"/>
      <c r="AH66" s="313"/>
      <c r="AL66" s="316"/>
    </row>
    <row r="67" spans="1:38">
      <c r="H67" s="316"/>
      <c r="I67" s="316"/>
      <c r="J67" s="316"/>
      <c r="K67" s="316"/>
      <c r="L67" s="316"/>
      <c r="M67" s="316"/>
      <c r="N67" s="316"/>
      <c r="O67" s="316"/>
      <c r="W67" s="311" t="s">
        <v>187</v>
      </c>
      <c r="X67" s="325"/>
      <c r="Y67" s="323">
        <f t="shared" ca="1" si="1"/>
        <v>2.1180217355749202</v>
      </c>
      <c r="Z67" s="323">
        <f t="shared" ca="1" si="1"/>
        <v>2.1180217355749202</v>
      </c>
      <c r="AC67" s="314"/>
      <c r="AH67" s="313"/>
    </row>
    <row r="68" spans="1:38">
      <c r="O68" s="316"/>
      <c r="W68" s="311" t="s">
        <v>188</v>
      </c>
      <c r="X68" s="324"/>
      <c r="Y68" s="323">
        <f t="shared" si="1"/>
        <v>0.21</v>
      </c>
      <c r="Z68" s="323">
        <f t="shared" si="1"/>
        <v>0.21</v>
      </c>
      <c r="AC68" s="314"/>
      <c r="AD68" s="314"/>
      <c r="AE68" s="313"/>
      <c r="AH68" s="313"/>
    </row>
    <row r="69" spans="1:38" ht="15.75">
      <c r="O69" s="316"/>
      <c r="W69" s="311"/>
      <c r="Y69" s="322"/>
      <c r="Z69" s="321"/>
      <c r="AC69" s="314"/>
      <c r="AD69" s="314"/>
      <c r="AE69" s="313"/>
      <c r="AF69" s="316"/>
      <c r="AH69" s="313"/>
    </row>
    <row r="70" spans="1:38">
      <c r="O70" s="316"/>
      <c r="W70" s="320"/>
      <c r="X70" s="319"/>
      <c r="Y70" s="318"/>
      <c r="Z70" s="317"/>
      <c r="AA70" s="314"/>
      <c r="AC70" s="314"/>
      <c r="AD70" s="314"/>
      <c r="AE70" s="313"/>
      <c r="AF70" s="316"/>
      <c r="AH70" s="313"/>
    </row>
    <row r="71" spans="1:38">
      <c r="X71" s="314"/>
      <c r="Y71" s="315"/>
      <c r="Z71" s="313"/>
      <c r="AA71" s="314"/>
      <c r="AC71" s="314"/>
      <c r="AD71" s="314"/>
      <c r="AE71" s="313"/>
      <c r="AF71" s="316"/>
      <c r="AH71" s="313"/>
    </row>
    <row r="72" spans="1:38">
      <c r="AC72" s="314"/>
      <c r="AF72" s="316"/>
      <c r="AH72" s="313"/>
    </row>
    <row r="73" spans="1:38">
      <c r="Y73" s="310"/>
      <c r="Z73" s="310"/>
      <c r="AA73" s="310"/>
      <c r="AC73" s="314"/>
      <c r="AH73" s="313"/>
    </row>
    <row r="74" spans="1:38">
      <c r="X74" s="314"/>
      <c r="Y74" s="315"/>
      <c r="Z74" s="313"/>
      <c r="AA74" s="314"/>
      <c r="AC74" s="314"/>
      <c r="AD74" s="314"/>
      <c r="AE74" s="313"/>
      <c r="AH74" s="313"/>
    </row>
    <row r="75" spans="1:38">
      <c r="X75" s="314"/>
      <c r="Y75" s="315"/>
      <c r="Z75" s="313"/>
      <c r="AA75" s="314"/>
      <c r="AC75" s="314"/>
      <c r="AD75" s="314"/>
      <c r="AE75" s="313"/>
      <c r="AF75" s="316"/>
      <c r="AH75" s="313"/>
    </row>
    <row r="76" spans="1:38">
      <c r="X76" s="314"/>
      <c r="Y76" s="315"/>
      <c r="Z76" s="313"/>
      <c r="AA76" s="314"/>
      <c r="AC76" s="314"/>
      <c r="AD76" s="314"/>
      <c r="AE76" s="313"/>
      <c r="AF76" s="316"/>
      <c r="AH76" s="313"/>
    </row>
    <row r="77" spans="1:38">
      <c r="X77" s="314"/>
      <c r="Y77" s="315"/>
      <c r="Z77" s="313"/>
      <c r="AA77" s="314"/>
      <c r="AC77" s="314"/>
      <c r="AD77" s="314"/>
      <c r="AE77" s="313"/>
      <c r="AF77" s="316"/>
      <c r="AH77" s="313"/>
    </row>
    <row r="78" spans="1:38">
      <c r="AC78" s="314"/>
      <c r="AF78" s="316"/>
      <c r="AH78" s="313"/>
    </row>
    <row r="80" spans="1:38">
      <c r="X80" s="314"/>
      <c r="Y80" s="315"/>
      <c r="Z80" s="313"/>
      <c r="AA80" s="314"/>
      <c r="AD80" s="314"/>
      <c r="AE80" s="313"/>
    </row>
    <row r="81" spans="24:32">
      <c r="X81" s="314"/>
      <c r="Y81" s="315"/>
      <c r="Z81" s="313"/>
      <c r="AA81" s="314"/>
      <c r="AD81" s="314"/>
      <c r="AE81" s="313"/>
      <c r="AF81" s="316"/>
    </row>
    <row r="82" spans="24:32">
      <c r="X82" s="314"/>
      <c r="Y82" s="315"/>
      <c r="Z82" s="313"/>
      <c r="AA82" s="314"/>
      <c r="AD82" s="314"/>
      <c r="AE82" s="313"/>
      <c r="AF82" s="316"/>
    </row>
    <row r="83" spans="24:32">
      <c r="X83" s="314"/>
      <c r="Y83" s="315"/>
      <c r="Z83" s="313"/>
      <c r="AA83" s="314"/>
      <c r="AD83" s="314"/>
      <c r="AE83" s="313"/>
      <c r="AF83" s="316"/>
    </row>
    <row r="84" spans="24:32">
      <c r="AF84" s="316"/>
    </row>
    <row r="86" spans="24:32">
      <c r="X86" s="314"/>
      <c r="Y86" s="315"/>
      <c r="Z86" s="313"/>
      <c r="AA86" s="314"/>
      <c r="AD86" s="314"/>
      <c r="AE86" s="313"/>
    </row>
    <row r="87" spans="24:32">
      <c r="X87" s="314"/>
      <c r="Y87" s="315"/>
      <c r="Z87" s="313"/>
      <c r="AA87" s="314"/>
      <c r="AD87" s="314"/>
      <c r="AE87" s="313"/>
      <c r="AF87" s="316"/>
    </row>
    <row r="88" spans="24:32">
      <c r="X88" s="314"/>
      <c r="Y88" s="315"/>
      <c r="Z88" s="313"/>
      <c r="AA88" s="314"/>
      <c r="AD88" s="314"/>
      <c r="AE88" s="313"/>
      <c r="AF88" s="316"/>
    </row>
    <row r="89" spans="24:32">
      <c r="X89" s="314"/>
      <c r="Y89" s="315"/>
      <c r="Z89" s="313"/>
      <c r="AA89" s="314"/>
      <c r="AD89" s="314"/>
      <c r="AE89" s="313"/>
      <c r="AF89" s="316"/>
    </row>
    <row r="90" spans="24:32">
      <c r="AF90" s="316"/>
    </row>
    <row r="92" spans="24:32">
      <c r="X92" s="314"/>
      <c r="Y92" s="315"/>
      <c r="Z92" s="313"/>
      <c r="AA92" s="314"/>
      <c r="AD92" s="314"/>
      <c r="AE92" s="313"/>
    </row>
    <row r="93" spans="24:32">
      <c r="X93" s="314"/>
      <c r="Y93" s="315"/>
      <c r="Z93" s="313"/>
      <c r="AA93" s="314"/>
      <c r="AD93" s="314"/>
      <c r="AE93" s="313"/>
      <c r="AF93" s="316"/>
    </row>
    <row r="94" spans="24:32">
      <c r="X94" s="314"/>
      <c r="Y94" s="315"/>
      <c r="Z94" s="313"/>
      <c r="AA94" s="314"/>
      <c r="AD94" s="314"/>
      <c r="AE94" s="313"/>
      <c r="AF94" s="316"/>
    </row>
    <row r="95" spans="24:32">
      <c r="X95" s="314"/>
      <c r="Y95" s="315"/>
      <c r="Z95" s="313"/>
      <c r="AA95" s="314"/>
      <c r="AD95" s="314"/>
      <c r="AE95" s="313"/>
      <c r="AF95" s="316"/>
    </row>
    <row r="96" spans="24:32">
      <c r="AF96" s="316"/>
    </row>
    <row r="98" spans="24:32">
      <c r="X98" s="314"/>
      <c r="Y98" s="315"/>
      <c r="Z98" s="313"/>
      <c r="AA98" s="314"/>
      <c r="AD98" s="314"/>
      <c r="AE98" s="313"/>
    </row>
    <row r="99" spans="24:32">
      <c r="X99" s="314"/>
      <c r="Y99" s="315"/>
      <c r="Z99" s="313"/>
      <c r="AA99" s="314"/>
      <c r="AD99" s="314"/>
      <c r="AE99" s="313"/>
      <c r="AF99" s="316"/>
    </row>
    <row r="100" spans="24:32">
      <c r="X100" s="314"/>
      <c r="Y100" s="315"/>
      <c r="Z100" s="313"/>
      <c r="AA100" s="314"/>
      <c r="AD100" s="314"/>
      <c r="AE100" s="313"/>
      <c r="AF100" s="316"/>
    </row>
    <row r="101" spans="24:32">
      <c r="X101" s="314"/>
      <c r="Y101" s="315"/>
      <c r="Z101" s="313"/>
      <c r="AA101" s="314"/>
      <c r="AD101" s="314"/>
      <c r="AE101" s="313"/>
      <c r="AF101" s="316"/>
    </row>
    <row r="102" spans="24:32">
      <c r="AF102" s="316"/>
    </row>
    <row r="104" spans="24:32">
      <c r="X104" s="314"/>
      <c r="Y104" s="315"/>
      <c r="Z104" s="313"/>
      <c r="AA104" s="314"/>
      <c r="AD104" s="314"/>
      <c r="AE104" s="313"/>
    </row>
    <row r="105" spans="24:32">
      <c r="X105" s="314"/>
      <c r="Y105" s="315"/>
      <c r="Z105" s="313"/>
      <c r="AA105" s="314"/>
      <c r="AD105" s="314"/>
      <c r="AE105" s="313"/>
      <c r="AF105" s="316"/>
    </row>
    <row r="106" spans="24:32">
      <c r="X106" s="314"/>
      <c r="Y106" s="315"/>
      <c r="Z106" s="313"/>
      <c r="AA106" s="314"/>
      <c r="AD106" s="314"/>
      <c r="AE106" s="313"/>
      <c r="AF106" s="316"/>
    </row>
    <row r="107" spans="24:32">
      <c r="X107" s="314"/>
      <c r="Y107" s="315"/>
      <c r="Z107" s="313"/>
      <c r="AA107" s="314"/>
      <c r="AD107" s="314"/>
      <c r="AE107" s="313"/>
      <c r="AF107" s="316"/>
    </row>
    <row r="108" spans="24:32">
      <c r="AF108" s="316"/>
    </row>
    <row r="110" spans="24:32">
      <c r="X110" s="314"/>
      <c r="Y110" s="315"/>
      <c r="Z110" s="313"/>
      <c r="AA110" s="314"/>
      <c r="AD110" s="314"/>
      <c r="AE110" s="313"/>
    </row>
    <row r="111" spans="24:32">
      <c r="X111" s="314"/>
      <c r="Y111" s="315"/>
      <c r="Z111" s="313"/>
      <c r="AA111" s="314"/>
      <c r="AD111" s="314"/>
      <c r="AE111" s="313"/>
    </row>
    <row r="112" spans="24:32">
      <c r="X112" s="314"/>
      <c r="Y112" s="315"/>
      <c r="Z112" s="313"/>
      <c r="AA112" s="314"/>
      <c r="AD112" s="314"/>
      <c r="AE112" s="313"/>
    </row>
    <row r="113" spans="24:31">
      <c r="X113" s="314"/>
      <c r="Y113" s="315"/>
      <c r="Z113" s="313"/>
      <c r="AA113" s="314"/>
      <c r="AD113" s="314"/>
      <c r="AE113" s="313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9137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19137" r:id="rId4" name="CheckBox1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">
    <tabColor theme="5" tint="0.59999389629810485"/>
    <pageSetUpPr fitToPage="1"/>
  </sheetPr>
  <dimension ref="A1:AU113"/>
  <sheetViews>
    <sheetView workbookViewId="0">
      <selection activeCell="L7" sqref="L7"/>
    </sheetView>
  </sheetViews>
  <sheetFormatPr defaultColWidth="16.7109375" defaultRowHeight="15"/>
  <cols>
    <col min="1" max="1" width="4.85546875" style="309" customWidth="1"/>
    <col min="2" max="2" width="33.5703125" style="312" bestFit="1" customWidth="1"/>
    <col min="3" max="3" width="21.28515625" style="312" customWidth="1"/>
    <col min="4" max="4" width="21.28515625" style="312" hidden="1" customWidth="1"/>
    <col min="5" max="5" width="7.28515625" style="312" customWidth="1"/>
    <col min="6" max="6" width="5.7109375" style="309" customWidth="1"/>
    <col min="7" max="7" width="8.5703125" style="309" customWidth="1"/>
    <col min="8" max="8" width="15" style="309" customWidth="1"/>
    <col min="9" max="9" width="17.7109375" style="309" customWidth="1"/>
    <col min="10" max="10" width="13.28515625" style="309" customWidth="1"/>
    <col min="11" max="11" width="15.140625" style="309" bestFit="1" customWidth="1"/>
    <col min="12" max="13" width="18.42578125" style="309" customWidth="1"/>
    <col min="14" max="14" width="6.140625" style="309" customWidth="1"/>
    <col min="15" max="15" width="6.28515625" style="312" customWidth="1"/>
    <col min="16" max="16" width="27" style="312" bestFit="1" customWidth="1"/>
    <col min="17" max="17" width="40.42578125" style="312" customWidth="1"/>
    <col min="18" max="18" width="16.7109375" style="311"/>
    <col min="19" max="19" width="13.85546875" style="310" customWidth="1"/>
    <col min="20" max="20" width="16.7109375" style="309"/>
    <col min="21" max="21" width="13.42578125" style="309" customWidth="1"/>
    <col min="22" max="22" width="15.7109375" style="309" customWidth="1"/>
    <col min="23" max="23" width="16.7109375" style="309"/>
    <col min="24" max="25" width="17.7109375" style="309" customWidth="1"/>
    <col min="26" max="26" width="16" style="309" customWidth="1"/>
    <col min="27" max="27" width="16.7109375" style="309"/>
    <col min="28" max="28" width="15.85546875" style="309" customWidth="1"/>
    <col min="29" max="30" width="16.7109375" style="309"/>
    <col min="31" max="31" width="16.42578125" style="309" customWidth="1"/>
    <col min="32" max="32" width="17.28515625" style="309" customWidth="1"/>
    <col min="33" max="33" width="20.7109375" style="309" customWidth="1"/>
    <col min="34" max="34" width="18.140625" style="309" customWidth="1"/>
    <col min="35" max="35" width="16.42578125" style="309" customWidth="1"/>
    <col min="36" max="36" width="16.7109375" style="309"/>
    <col min="37" max="37" width="13.85546875" style="309" customWidth="1"/>
    <col min="38" max="38" width="16.42578125" style="309" customWidth="1"/>
    <col min="39" max="50" width="15.140625" style="309" customWidth="1"/>
    <col min="51" max="16384" width="16.7109375" style="309"/>
  </cols>
  <sheetData>
    <row r="1" spans="1:36" s="441" customFormat="1" ht="15.75" thickBot="1">
      <c r="A1" s="327"/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4"/>
      <c r="P1" s="444"/>
      <c r="Q1" s="444"/>
      <c r="R1" s="443"/>
      <c r="S1" s="442"/>
    </row>
    <row r="2" spans="1:36" ht="19.5" thickBot="1">
      <c r="A2" s="327"/>
      <c r="B2" s="795" t="s">
        <v>86</v>
      </c>
      <c r="C2" s="795"/>
      <c r="D2" s="327"/>
      <c r="E2" s="327"/>
      <c r="F2" s="438" t="s">
        <v>87</v>
      </c>
      <c r="G2" s="439"/>
      <c r="H2" s="439"/>
      <c r="I2" s="440" t="s">
        <v>88</v>
      </c>
      <c r="J2" s="439"/>
      <c r="K2" s="439"/>
      <c r="L2" s="439"/>
      <c r="M2" s="438" t="s">
        <v>87</v>
      </c>
      <c r="O2" s="327"/>
      <c r="P2" s="327"/>
      <c r="Q2" s="327"/>
      <c r="S2" s="548" t="s">
        <v>89</v>
      </c>
      <c r="T2" s="549"/>
      <c r="U2" s="550"/>
      <c r="AG2" s="792" t="s">
        <v>90</v>
      </c>
      <c r="AH2" s="793"/>
      <c r="AI2" s="793"/>
      <c r="AJ2" s="794"/>
    </row>
    <row r="3" spans="1:36" ht="15.75">
      <c r="A3" s="327"/>
      <c r="B3" s="327"/>
      <c r="C3" s="327"/>
      <c r="D3" s="327"/>
      <c r="E3" s="327"/>
      <c r="F3" s="437"/>
      <c r="G3" s="359"/>
      <c r="K3" s="436" t="s">
        <v>91</v>
      </c>
      <c r="M3" s="436" t="s">
        <v>92</v>
      </c>
      <c r="O3" s="327"/>
      <c r="P3" s="327"/>
      <c r="Q3" s="327"/>
      <c r="S3" s="309"/>
      <c r="U3" s="309" t="s">
        <v>93</v>
      </c>
      <c r="W3" s="310" t="s">
        <v>93</v>
      </c>
      <c r="X3" s="310" t="s">
        <v>93</v>
      </c>
      <c r="Y3" s="310" t="s">
        <v>93</v>
      </c>
      <c r="Z3" s="310" t="s">
        <v>94</v>
      </c>
      <c r="AA3" s="310" t="s">
        <v>94</v>
      </c>
      <c r="AB3" s="310" t="s">
        <v>94</v>
      </c>
      <c r="AC3" s="310" t="s">
        <v>94</v>
      </c>
      <c r="AD3" s="310" t="s">
        <v>94</v>
      </c>
      <c r="AE3" s="310" t="s">
        <v>94</v>
      </c>
      <c r="AF3" s="310" t="s">
        <v>95</v>
      </c>
      <c r="AG3" s="310" t="s">
        <v>29</v>
      </c>
      <c r="AH3" s="310" t="s">
        <v>96</v>
      </c>
      <c r="AI3" s="310"/>
    </row>
    <row r="4" spans="1:36" ht="19.5" thickBot="1">
      <c r="A4" s="327"/>
      <c r="B4" s="435" t="s">
        <v>97</v>
      </c>
      <c r="C4" s="551"/>
      <c r="D4" s="423"/>
      <c r="E4" s="327"/>
      <c r="F4" s="362"/>
      <c r="G4" s="359"/>
      <c r="H4" s="432" t="s">
        <v>98</v>
      </c>
      <c r="I4" s="432" t="s">
        <v>99</v>
      </c>
      <c r="J4" s="432" t="s">
        <v>100</v>
      </c>
      <c r="K4" s="432" t="s">
        <v>101</v>
      </c>
      <c r="L4" s="432" t="s">
        <v>102</v>
      </c>
      <c r="M4" s="432" t="s">
        <v>103</v>
      </c>
      <c r="O4" s="434"/>
      <c r="P4" s="434"/>
      <c r="Q4" s="327"/>
      <c r="S4" s="309"/>
      <c r="U4" s="310" t="s">
        <v>104</v>
      </c>
      <c r="W4" s="310" t="s">
        <v>105</v>
      </c>
      <c r="X4" s="310" t="s">
        <v>20</v>
      </c>
      <c r="Y4" s="310" t="s">
        <v>106</v>
      </c>
      <c r="Z4" s="310" t="s">
        <v>107</v>
      </c>
      <c r="AA4" s="310" t="s">
        <v>107</v>
      </c>
      <c r="AB4" s="310" t="s">
        <v>107</v>
      </c>
      <c r="AC4" s="310" t="s">
        <v>20</v>
      </c>
      <c r="AD4" s="310" t="s">
        <v>104</v>
      </c>
      <c r="AE4" s="310" t="s">
        <v>104</v>
      </c>
      <c r="AF4" s="310" t="s">
        <v>108</v>
      </c>
      <c r="AG4" s="310" t="s">
        <v>109</v>
      </c>
      <c r="AH4" s="310" t="s">
        <v>110</v>
      </c>
      <c r="AI4" s="310" t="s">
        <v>111</v>
      </c>
      <c r="AJ4" s="310" t="s">
        <v>112</v>
      </c>
    </row>
    <row r="5" spans="1:36" ht="15.75">
      <c r="A5" s="327"/>
      <c r="B5" s="425" t="s">
        <v>113</v>
      </c>
      <c r="C5" s="512">
        <f>'Results of Operations Regulated'!D21</f>
        <v>2133094.6323921541</v>
      </c>
      <c r="D5" s="423"/>
      <c r="E5" s="327"/>
      <c r="F5" s="433" t="s">
        <v>114</v>
      </c>
      <c r="G5" s="361"/>
      <c r="H5" s="361"/>
      <c r="I5" s="432" t="s">
        <v>115</v>
      </c>
      <c r="J5" s="432" t="s">
        <v>29</v>
      </c>
      <c r="K5" s="431" t="s">
        <v>116</v>
      </c>
      <c r="L5" s="431" t="s">
        <v>117</v>
      </c>
      <c r="M5" s="431" t="s">
        <v>29</v>
      </c>
      <c r="O5" s="419"/>
      <c r="P5" s="419"/>
      <c r="Q5" s="327"/>
      <c r="S5" s="324"/>
      <c r="U5" s="310" t="s">
        <v>118</v>
      </c>
      <c r="V5" s="310" t="s">
        <v>119</v>
      </c>
      <c r="W5" s="310" t="s">
        <v>120</v>
      </c>
      <c r="X5" s="310" t="s">
        <v>121</v>
      </c>
      <c r="Y5" s="310" t="s">
        <v>122</v>
      </c>
      <c r="Z5" s="310" t="s">
        <v>123</v>
      </c>
      <c r="AA5" s="310" t="s">
        <v>124</v>
      </c>
      <c r="AB5" s="310" t="s">
        <v>125</v>
      </c>
      <c r="AC5" s="310" t="s">
        <v>126</v>
      </c>
      <c r="AD5" s="310" t="s">
        <v>118</v>
      </c>
      <c r="AE5" s="310" t="s">
        <v>127</v>
      </c>
      <c r="AF5" s="310" t="s">
        <v>128</v>
      </c>
      <c r="AG5" s="310" t="s">
        <v>129</v>
      </c>
      <c r="AH5" s="310" t="s">
        <v>129</v>
      </c>
      <c r="AI5" s="310" t="s">
        <v>128</v>
      </c>
      <c r="AJ5" s="310" t="s">
        <v>95</v>
      </c>
    </row>
    <row r="6" spans="1:36" ht="15.75">
      <c r="A6" s="327"/>
      <c r="B6" s="425" t="s">
        <v>130</v>
      </c>
      <c r="C6" s="512">
        <f>'Results of Operations Regulated'!D102</f>
        <v>2043698.3210641288</v>
      </c>
      <c r="D6" s="423"/>
      <c r="E6" s="327"/>
      <c r="F6" s="430" t="s">
        <v>131</v>
      </c>
      <c r="G6" s="361"/>
      <c r="H6" s="361"/>
      <c r="I6" s="429"/>
      <c r="J6" s="427" t="s">
        <v>2</v>
      </c>
      <c r="K6" s="428"/>
      <c r="L6" s="427" t="s">
        <v>132</v>
      </c>
      <c r="M6" s="427" t="s">
        <v>133</v>
      </c>
      <c r="O6" s="419"/>
      <c r="P6" s="419"/>
      <c r="Q6" s="327"/>
      <c r="S6" s="554">
        <v>1</v>
      </c>
      <c r="T6" s="555">
        <f>Revenue/Investment*100</f>
        <v>194.33975024203227</v>
      </c>
      <c r="U6" s="556">
        <f>EXP(y_inter1-(slope*LN(+T6)))</f>
        <v>8.3305306298577424</v>
      </c>
      <c r="V6" s="557">
        <f>(+T6*U6/100)/100</f>
        <v>0.16189532419901537</v>
      </c>
      <c r="W6" s="557">
        <f>regDebt_weighted</f>
        <v>3.5860000000000003E-2</v>
      </c>
      <c r="X6" s="557">
        <f>+V6-W6</f>
        <v>0.12603532419901536</v>
      </c>
      <c r="Y6" s="557">
        <f>+((X6*(1-0.34))-Pfd_weighted)/Equity_percent</f>
        <v>0.22381777317252946</v>
      </c>
      <c r="Z6" s="557">
        <f>Y6*equityP</f>
        <v>0.13429066390351768</v>
      </c>
      <c r="AA6" s="557">
        <f>+Z6/(1-taxrate)</f>
        <v>0.16998818215635147</v>
      </c>
      <c r="AB6" s="557">
        <f>debtP*Debt_Rate</f>
        <v>2.0000000000000004E-2</v>
      </c>
      <c r="AC6" s="557">
        <f>AB6+AA6</f>
        <v>0.18998818215635149</v>
      </c>
      <c r="AD6" s="557">
        <f>AC6/(T6/100)</f>
        <v>9.7760845076593286E-2</v>
      </c>
      <c r="AE6" s="557">
        <f>1-AD6</f>
        <v>0.90223915492340667</v>
      </c>
      <c r="AF6" s="558">
        <f>expenses/(AE6)</f>
        <v>2265140.356536204</v>
      </c>
      <c r="AG6" s="559">
        <f>+AF6-Revenue</f>
        <v>132045.72414404992</v>
      </c>
      <c r="AH6" s="560">
        <f ca="1">+AG6/$J$49</f>
        <v>149077.58558391299</v>
      </c>
      <c r="AI6" s="560">
        <f ca="1">+AH6*$J$47</f>
        <v>3369.1534341964339</v>
      </c>
      <c r="AJ6" s="558">
        <f ca="1">ROUND(+AI6+AF6,5)</f>
        <v>2268509.50997</v>
      </c>
    </row>
    <row r="7" spans="1:36" ht="15.75" customHeight="1">
      <c r="A7" s="327"/>
      <c r="B7" s="425" t="s">
        <v>3</v>
      </c>
      <c r="C7" s="512">
        <f>'Results of Operations Regulated'!D108</f>
        <v>1097611.0804586201</v>
      </c>
      <c r="D7" s="423"/>
      <c r="E7" s="327"/>
      <c r="F7" s="594">
        <v>1</v>
      </c>
      <c r="G7" s="361"/>
      <c r="H7" s="403" t="s">
        <v>113</v>
      </c>
      <c r="I7" s="364">
        <f>IF(A65=TRUE,C5,0)</f>
        <v>2133094.6323921541</v>
      </c>
      <c r="J7" s="364">
        <f ca="1">(+$I8/($S51))-I7</f>
        <v>117104.45931823738</v>
      </c>
      <c r="K7" s="364">
        <f ca="1">+I7+J7</f>
        <v>2250199.0917103915</v>
      </c>
      <c r="L7" s="364">
        <f ca="1">((+J7/J49*K35)-J7)</f>
        <v>2987.926294692792</v>
      </c>
      <c r="M7" s="364">
        <f ca="1">IFERROR(+K7+L7,0.00001)</f>
        <v>2253187.0180050842</v>
      </c>
      <c r="O7" s="419"/>
      <c r="P7" s="419"/>
      <c r="Q7" s="327"/>
      <c r="S7" s="393">
        <v>2</v>
      </c>
      <c r="T7" s="390">
        <f>Revenue/Investment*100</f>
        <v>194.33975024203227</v>
      </c>
      <c r="U7" s="313">
        <f>EXP(y_inter1-(slope*LN(+T7)))</f>
        <v>8.3305306298577424</v>
      </c>
      <c r="V7" s="388">
        <f>(+T7*U7/100)/100</f>
        <v>0.16189532419901537</v>
      </c>
      <c r="W7" s="388">
        <f>regDebt_weighted</f>
        <v>3.5860000000000003E-2</v>
      </c>
      <c r="X7" s="388">
        <f>+V7-W7</f>
        <v>0.12603532419901536</v>
      </c>
      <c r="Y7" s="388">
        <f>+((X7*(1-0.34))-Pfd_weighted)/Equity_percent</f>
        <v>0.22381777317252946</v>
      </c>
      <c r="Z7" s="388">
        <f>Y7*equityP</f>
        <v>0.13429066390351768</v>
      </c>
      <c r="AA7" s="388">
        <f>+Z7/(1-taxrate)</f>
        <v>0.16998818215635147</v>
      </c>
      <c r="AB7" s="388">
        <f>debtP*Debt_Rate</f>
        <v>2.0000000000000004E-2</v>
      </c>
      <c r="AC7" s="388">
        <f>AB7+AA7</f>
        <v>0.18998818215635149</v>
      </c>
      <c r="AD7" s="388">
        <f>AC7/(T7/100)</f>
        <v>9.7760845076593286E-2</v>
      </c>
      <c r="AE7" s="388">
        <f>1-AD7</f>
        <v>0.90223915492340667</v>
      </c>
      <c r="AF7" s="386">
        <f>expenses/(AE7)</f>
        <v>2265140.356536204</v>
      </c>
      <c r="AG7" s="387">
        <f>+AF7-Revenue</f>
        <v>132045.72414404992</v>
      </c>
      <c r="AH7" s="375">
        <f ca="1">+AG7/$J$49</f>
        <v>149077.58558391299</v>
      </c>
      <c r="AI7" s="375">
        <f ca="1">+AH7*$J$47</f>
        <v>3369.1534341964339</v>
      </c>
      <c r="AJ7" s="386">
        <f ca="1">ROUND(+AI7+AF7,5)</f>
        <v>2268509.50997</v>
      </c>
    </row>
    <row r="8" spans="1:36" ht="15.75">
      <c r="A8" s="327"/>
      <c r="B8" s="425" t="s">
        <v>134</v>
      </c>
      <c r="C8" s="552">
        <v>0.4</v>
      </c>
      <c r="D8" s="423"/>
      <c r="E8" s="327"/>
      <c r="F8" s="363">
        <f t="shared" ref="F8:F49" si="0">+F7+1</f>
        <v>2</v>
      </c>
      <c r="G8" s="361"/>
      <c r="H8" s="403" t="s">
        <v>130</v>
      </c>
      <c r="I8" s="364">
        <f>IF(A65=TRUE,C6,0)</f>
        <v>2043698.3210641288</v>
      </c>
      <c r="J8" s="359"/>
      <c r="K8" s="364">
        <f>+I8</f>
        <v>2043698.3210641288</v>
      </c>
      <c r="L8" s="364">
        <f ca="1">+L7</f>
        <v>2987.926294692792</v>
      </c>
      <c r="M8" s="364">
        <f ca="1">IFERROR(+K8+L8,0.00001)</f>
        <v>2046686.2473588216</v>
      </c>
      <c r="O8" s="419"/>
      <c r="P8" s="419"/>
      <c r="Q8" s="327"/>
      <c r="S8" s="357">
        <v>3</v>
      </c>
      <c r="T8" s="390">
        <f>Revenue/Investment*100</f>
        <v>194.33975024203227</v>
      </c>
      <c r="U8" s="313">
        <f>EXP(y_inter1-(slope*LN(+T8)))</f>
        <v>8.3305306298577424</v>
      </c>
      <c r="V8" s="388">
        <f>(+T8*U8/100)/100</f>
        <v>0.16189532419901537</v>
      </c>
      <c r="W8" s="388">
        <f>regDebt_weighted</f>
        <v>3.5860000000000003E-2</v>
      </c>
      <c r="X8" s="388">
        <f>+V8-W8</f>
        <v>0.12603532419901536</v>
      </c>
      <c r="Y8" s="388">
        <f>+((X8*(1-0.34))-Pfd_weighted)/Equity_percent</f>
        <v>0.22381777317252946</v>
      </c>
      <c r="Z8" s="388">
        <f>Y8*equityP</f>
        <v>0.13429066390351768</v>
      </c>
      <c r="AA8" s="388">
        <f>+Z8/(1-taxrate)</f>
        <v>0.16998818215635147</v>
      </c>
      <c r="AB8" s="388">
        <f>debtP*Debt_Rate</f>
        <v>2.0000000000000004E-2</v>
      </c>
      <c r="AC8" s="388">
        <f>AB8+AA8</f>
        <v>0.18998818215635149</v>
      </c>
      <c r="AD8" s="388">
        <f>AC8/(T8/100)</f>
        <v>9.7760845076593286E-2</v>
      </c>
      <c r="AE8" s="388">
        <f>1-AD8</f>
        <v>0.90223915492340667</v>
      </c>
      <c r="AF8" s="386">
        <f>expenses/(AE8)</f>
        <v>2265140.356536204</v>
      </c>
      <c r="AG8" s="387">
        <f>+AF8-Revenue</f>
        <v>132045.72414404992</v>
      </c>
      <c r="AH8" s="375">
        <f ca="1">+AG8/$J$49</f>
        <v>149077.58558391299</v>
      </c>
      <c r="AI8" s="375">
        <f ca="1">+AH8*$J$47</f>
        <v>3369.1534341964339</v>
      </c>
      <c r="AJ8" s="386">
        <f ca="1">ROUND(+AI8+AF8,5)</f>
        <v>2268509.50997</v>
      </c>
    </row>
    <row r="9" spans="1:36" ht="15.75">
      <c r="A9" s="327"/>
      <c r="B9" s="425" t="s">
        <v>135</v>
      </c>
      <c r="C9" s="552">
        <v>0.05</v>
      </c>
      <c r="D9" s="423"/>
      <c r="E9" s="327"/>
      <c r="F9" s="363">
        <f t="shared" si="0"/>
        <v>3</v>
      </c>
      <c r="G9" s="361"/>
      <c r="H9" s="403" t="s">
        <v>136</v>
      </c>
      <c r="I9" s="595">
        <f>+I7-I8</f>
        <v>89396.311328025302</v>
      </c>
      <c r="J9" s="359"/>
      <c r="K9" s="595">
        <f ca="1">+K7-K8</f>
        <v>206500.77064626268</v>
      </c>
      <c r="L9" s="361"/>
      <c r="M9" s="596">
        <f ca="1">+M7-M8</f>
        <v>206500.77064626268</v>
      </c>
      <c r="O9" s="419"/>
      <c r="P9" s="419"/>
      <c r="Q9" s="327"/>
      <c r="S9" s="371">
        <v>4</v>
      </c>
      <c r="T9" s="390">
        <f>Revenue/Investment*100</f>
        <v>194.33975024203227</v>
      </c>
      <c r="U9" s="313">
        <f>EXP(y_inter1-(slope*LN(+T9)))</f>
        <v>8.3305306298577424</v>
      </c>
      <c r="V9" s="388">
        <f>(+T9*U9/100)/100</f>
        <v>0.16189532419901537</v>
      </c>
      <c r="W9" s="388">
        <f>regDebt_weighted</f>
        <v>3.5860000000000003E-2</v>
      </c>
      <c r="X9" s="388">
        <f>+V9-W9</f>
        <v>0.12603532419901536</v>
      </c>
      <c r="Y9" s="388">
        <f>+((X9*(1-0.34))-Pfd_weighted)/Equity_percent</f>
        <v>0.22381777317252946</v>
      </c>
      <c r="Z9" s="388">
        <f>Y9*equityP</f>
        <v>0.13429066390351768</v>
      </c>
      <c r="AA9" s="388">
        <f>+Z9/(1-taxrate)</f>
        <v>0.16998818215635147</v>
      </c>
      <c r="AB9" s="388">
        <f>debtP*Debt_Rate</f>
        <v>2.0000000000000004E-2</v>
      </c>
      <c r="AC9" s="388">
        <f>AB9+AA9</f>
        <v>0.18998818215635149</v>
      </c>
      <c r="AD9" s="388">
        <f>AC9/(T9/100)</f>
        <v>9.7760845076593286E-2</v>
      </c>
      <c r="AE9" s="388">
        <f>1-AD9</f>
        <v>0.90223915492340667</v>
      </c>
      <c r="AF9" s="386">
        <f>expenses/(AE9)</f>
        <v>2265140.356536204</v>
      </c>
      <c r="AG9" s="387">
        <f>+AF9-Revenue</f>
        <v>132045.72414404992</v>
      </c>
      <c r="AH9" s="375">
        <f ca="1">+AG9/$J$49</f>
        <v>149077.58558391299</v>
      </c>
      <c r="AI9" s="375">
        <f ca="1">+AH9*$J$47</f>
        <v>3369.1534341964339</v>
      </c>
      <c r="AJ9" s="386">
        <f ca="1">ROUND(+AI9+AF9,5)</f>
        <v>2268509.50997</v>
      </c>
    </row>
    <row r="10" spans="1:36" ht="15.75" customHeight="1">
      <c r="A10" s="327"/>
      <c r="B10" s="426" t="s">
        <v>137</v>
      </c>
      <c r="C10" s="552">
        <v>0.21</v>
      </c>
      <c r="D10" s="423"/>
      <c r="E10" s="327"/>
      <c r="F10" s="363">
        <f t="shared" si="0"/>
        <v>4</v>
      </c>
      <c r="G10" s="361"/>
      <c r="H10" s="361"/>
      <c r="I10" s="359"/>
      <c r="J10" s="359"/>
      <c r="K10" s="364"/>
      <c r="L10" s="361"/>
      <c r="M10" s="361"/>
      <c r="N10" s="361"/>
      <c r="O10" s="419"/>
      <c r="P10" s="419"/>
      <c r="Q10" s="327"/>
      <c r="S10" s="310" t="s">
        <v>138</v>
      </c>
    </row>
    <row r="11" spans="1:36" ht="15.75">
      <c r="A11" s="327"/>
      <c r="B11" s="425" t="s">
        <v>139</v>
      </c>
      <c r="C11" s="553">
        <v>1.7500000000000002E-2</v>
      </c>
      <c r="D11" s="423"/>
      <c r="E11" s="327"/>
      <c r="F11" s="363">
        <f t="shared" si="0"/>
        <v>5</v>
      </c>
      <c r="G11" s="361"/>
      <c r="H11" s="403" t="s">
        <v>140</v>
      </c>
      <c r="I11" s="364">
        <f>+K11</f>
        <v>21952.221609172404</v>
      </c>
      <c r="J11" s="359"/>
      <c r="K11" s="364">
        <f>+M27</f>
        <v>21952.221609172404</v>
      </c>
      <c r="L11" s="361"/>
      <c r="M11" s="364">
        <f>+K11</f>
        <v>21952.221609172404</v>
      </c>
      <c r="O11" s="419"/>
      <c r="P11" s="419"/>
      <c r="Q11" s="327"/>
      <c r="S11" s="554">
        <v>1</v>
      </c>
      <c r="T11" s="555">
        <f ca="1">IF((AJ6/Investment*100)&gt;0,(AJ6/Investment*100),0)</f>
        <v>206.67698699088731</v>
      </c>
      <c r="U11" s="556">
        <f ca="1">EXP(y_inter1-(slope*LN(T11)))</f>
        <v>7.9872602869537781</v>
      </c>
      <c r="V11" s="557">
        <f ca="1">(+T11*U11/100)/100</f>
        <v>0.16507828904195768</v>
      </c>
      <c r="W11" s="557">
        <f>regDebt_weighted</f>
        <v>3.5860000000000003E-2</v>
      </c>
      <c r="X11" s="557">
        <f ca="1">+V11-W11</f>
        <v>0.12921828904195767</v>
      </c>
      <c r="Y11" s="557">
        <f ca="1">+((X11*(1-0.34))-Pfd_weighted)/Equity_percent</f>
        <v>0.22992462432468622</v>
      </c>
      <c r="Z11" s="557">
        <f ca="1">+Y11*equityP</f>
        <v>0.13795477459481173</v>
      </c>
      <c r="AA11" s="557">
        <f ca="1">+Z11/(1-taxrate)</f>
        <v>0.17462629695545787</v>
      </c>
      <c r="AB11" s="557">
        <f>debtP*Debt_Rate</f>
        <v>2.0000000000000004E-2</v>
      </c>
      <c r="AC11" s="557">
        <f ca="1">+AB11+AA11</f>
        <v>0.19462629695545786</v>
      </c>
      <c r="AD11" s="557">
        <f ca="1">+AC11/(T11/100)</f>
        <v>9.4169312117966572E-2</v>
      </c>
      <c r="AE11" s="557">
        <f ca="1">1-AD11</f>
        <v>0.90583068788203347</v>
      </c>
      <c r="AF11" s="558">
        <f ca="1">expenses/(AE11)</f>
        <v>2256159.2893729387</v>
      </c>
      <c r="AG11" s="559">
        <f ca="1">+AF11-Revenue</f>
        <v>123064.65698078461</v>
      </c>
      <c r="AH11" s="560">
        <f ca="1">+AG11/$J$49</f>
        <v>138938.09930107082</v>
      </c>
      <c r="AI11" s="560">
        <f ca="1">+AH11*$J$47</f>
        <v>3140.0010442042008</v>
      </c>
      <c r="AJ11" s="558">
        <f ca="1">ROUND(+AI11+AF11,5)</f>
        <v>2259299.29042</v>
      </c>
    </row>
    <row r="12" spans="1:36" ht="15.75" customHeight="1">
      <c r="A12" s="327"/>
      <c r="B12" s="425" t="s">
        <v>141</v>
      </c>
      <c r="C12" s="553">
        <v>5.1000000000000004E-3</v>
      </c>
      <c r="D12" s="423"/>
      <c r="E12" s="327"/>
      <c r="F12" s="363">
        <f t="shared" si="0"/>
        <v>6</v>
      </c>
      <c r="G12" s="361"/>
      <c r="H12" s="403" t="s">
        <v>142</v>
      </c>
      <c r="I12" s="364" t="e">
        <f ca="1">IF(I14&lt;0,0,+J38*I14)</f>
        <v>#REF!</v>
      </c>
      <c r="J12" s="364" t="e">
        <f ca="1">+K12-I12</f>
        <v>#REF!</v>
      </c>
      <c r="K12" s="364">
        <f ca="1">+(K9-K11)*taxrate</f>
        <v>38755.195297788952</v>
      </c>
      <c r="L12" s="361"/>
      <c r="M12" s="364">
        <f ca="1">+K12</f>
        <v>38755.195297788952</v>
      </c>
      <c r="O12" s="419"/>
      <c r="P12" s="419"/>
      <c r="Q12" s="327"/>
      <c r="S12" s="393">
        <v>2</v>
      </c>
      <c r="T12" s="390">
        <f ca="1">IF((AJ7/Investment*100)&gt;0,(AJ7/Investment*100),0)</f>
        <v>206.67698699088731</v>
      </c>
      <c r="U12" s="392">
        <f ca="1">EXP(y_inter2-(slope*LN(+T12)))</f>
        <v>7.8736190313073502</v>
      </c>
      <c r="V12" s="388">
        <f ca="1">(+T12*U12/100)/100</f>
        <v>0.1627295858104712</v>
      </c>
      <c r="W12" s="388">
        <f>regDebt_weighted</f>
        <v>3.5860000000000003E-2</v>
      </c>
      <c r="X12" s="388">
        <f ca="1">+V12-W12</f>
        <v>0.1268695858104712</v>
      </c>
      <c r="Y12" s="388">
        <f ca="1">+((X12*(1-0.34))-Pfd_weighted)/Equity_percent</f>
        <v>0.22541839138055519</v>
      </c>
      <c r="Z12" s="388">
        <f ca="1">+Y12*equityP</f>
        <v>0.13525103482833312</v>
      </c>
      <c r="AA12" s="388">
        <f ca="1">+Z12/(1-taxrate)</f>
        <v>0.17120384155485205</v>
      </c>
      <c r="AB12" s="388">
        <f>debtP*Debt_Rate</f>
        <v>2.0000000000000004E-2</v>
      </c>
      <c r="AC12" s="388">
        <f ca="1">+AB12+AA12</f>
        <v>0.19120384155485204</v>
      </c>
      <c r="AD12" s="388">
        <f ca="1">+AC12/(T12/100)</f>
        <v>9.2513368004190272E-2</v>
      </c>
      <c r="AE12" s="388">
        <f ca="1">1-AD12</f>
        <v>0.9074866319958097</v>
      </c>
      <c r="AF12" s="386">
        <f ca="1">expenses/(AE12)</f>
        <v>2252042.343113618</v>
      </c>
      <c r="AG12" s="387">
        <f ca="1">+AF12-Revenue</f>
        <v>118947.7107214639</v>
      </c>
      <c r="AH12" s="375">
        <f ca="1">+AG12/$J$49</f>
        <v>134290.13048347612</v>
      </c>
      <c r="AI12" s="375">
        <f ca="1">+AH12*$J$47</f>
        <v>3034.9569489265605</v>
      </c>
      <c r="AJ12" s="386">
        <f ca="1">ROUND(+AI12+AF12,5)</f>
        <v>2255077.3000599998</v>
      </c>
    </row>
    <row r="13" spans="1:36" ht="15.75">
      <c r="A13" s="327"/>
      <c r="B13" s="425" t="s">
        <v>143</v>
      </c>
      <c r="C13" s="553">
        <v>0</v>
      </c>
      <c r="D13" s="423"/>
      <c r="E13" s="327"/>
      <c r="F13" s="363">
        <f t="shared" si="0"/>
        <v>7</v>
      </c>
      <c r="G13" s="361"/>
      <c r="H13" s="361"/>
      <c r="I13" s="359"/>
      <c r="J13" s="359"/>
      <c r="K13" s="364"/>
      <c r="L13" s="361"/>
      <c r="M13" s="361"/>
      <c r="O13" s="419"/>
      <c r="P13" s="803" t="s">
        <v>144</v>
      </c>
      <c r="Q13" s="804"/>
      <c r="S13" s="357">
        <v>3</v>
      </c>
      <c r="T13" s="390">
        <f ca="1">IF((AJ8/Investment*100)&gt;0,(AJ8/Investment*100),0)</f>
        <v>206.67698699088731</v>
      </c>
      <c r="U13" s="313">
        <f ca="1">EXP(y_inter3-(slope*LN(T13)))</f>
        <v>7.797068332449947</v>
      </c>
      <c r="V13" s="388">
        <f ca="1">(+T13*U13/100)/100</f>
        <v>0.16114745903128169</v>
      </c>
      <c r="W13" s="388">
        <f>regDebt_weighted</f>
        <v>3.5860000000000003E-2</v>
      </c>
      <c r="X13" s="388">
        <f ca="1">+V13-W13</f>
        <v>0.12528745903128169</v>
      </c>
      <c r="Y13" s="388">
        <f ca="1">+((X13*(1-0.34))-Pfd_weighted)/Equity_percent</f>
        <v>0.222382915583273</v>
      </c>
      <c r="Z13" s="388">
        <f ca="1">+Y13*equityP</f>
        <v>0.13342974934996379</v>
      </c>
      <c r="AA13" s="388">
        <f ca="1">+Z13/(1-taxrate)</f>
        <v>0.16889841689868834</v>
      </c>
      <c r="AB13" s="388">
        <f>debtP*Debt_Rate</f>
        <v>2.0000000000000004E-2</v>
      </c>
      <c r="AC13" s="388">
        <f ca="1">+AB13+AA13</f>
        <v>0.18889841689868836</v>
      </c>
      <c r="AD13" s="388">
        <f ca="1">+AC13/(T13/100)</f>
        <v>9.1397895648158034E-2</v>
      </c>
      <c r="AE13" s="388">
        <f ca="1">1-AD13</f>
        <v>0.90860210435184197</v>
      </c>
      <c r="AF13" s="386">
        <f ca="1">expenses/(AE13)</f>
        <v>2249277.5564525202</v>
      </c>
      <c r="AG13" s="387">
        <f ca="1">+AF13-Revenue</f>
        <v>116182.92406036612</v>
      </c>
      <c r="AH13" s="375">
        <f ca="1">+AG13/$J$49</f>
        <v>131168.72899347841</v>
      </c>
      <c r="AI13" s="375">
        <f ca="1">+AH13*$J$47</f>
        <v>2964.413275252612</v>
      </c>
      <c r="AJ13" s="386">
        <f ca="1">ROUND(+AI13+AF13,5)</f>
        <v>2252241.96973</v>
      </c>
    </row>
    <row r="14" spans="1:36" ht="16.5" customHeight="1" thickBot="1">
      <c r="A14" s="327"/>
      <c r="B14" s="424" t="s">
        <v>145</v>
      </c>
      <c r="C14" s="553">
        <v>0</v>
      </c>
      <c r="D14" s="423"/>
      <c r="E14" s="327"/>
      <c r="F14" s="363">
        <f t="shared" si="0"/>
        <v>8</v>
      </c>
      <c r="G14" s="361"/>
      <c r="H14" s="361" t="s">
        <v>146</v>
      </c>
      <c r="I14" s="597" t="e">
        <f ca="1">+I9-SUM(I11:I13)</f>
        <v>#REF!</v>
      </c>
      <c r="J14" s="359"/>
      <c r="K14" s="597">
        <f ca="1">+K9-SUM(K11:K13)</f>
        <v>145793.35373930132</v>
      </c>
      <c r="L14" s="361"/>
      <c r="M14" s="597">
        <f ca="1">+M9-SUM(M11:M13)</f>
        <v>145793.35373930132</v>
      </c>
      <c r="O14" s="419"/>
      <c r="P14" s="803"/>
      <c r="Q14" s="804"/>
      <c r="S14" s="371">
        <v>4</v>
      </c>
      <c r="T14" s="390">
        <f ca="1">IF((AJ9/Investment*100)&gt;0,(AJ9/Investment*100),0)</f>
        <v>206.67698699088731</v>
      </c>
      <c r="U14" s="389">
        <f ca="1">EXP(y_inter4-(slope*LN(T14)))</f>
        <v>7.7481012103487767</v>
      </c>
      <c r="V14" s="388">
        <f ca="1">(+T14*U14/100)/100</f>
        <v>0.16013542130553321</v>
      </c>
      <c r="W14" s="388">
        <f>regDebt_weighted</f>
        <v>3.5860000000000003E-2</v>
      </c>
      <c r="X14" s="388">
        <f ca="1">+V14-W14</f>
        <v>0.12427542130553321</v>
      </c>
      <c r="Y14" s="388">
        <f ca="1">+((X14*(1-0.34))-Pfd_weighted)/Equity_percent</f>
        <v>0.22044121529549976</v>
      </c>
      <c r="Z14" s="388">
        <f ca="1">+Y14*equityP</f>
        <v>0.13226472917729984</v>
      </c>
      <c r="AA14" s="388">
        <f ca="1">+Z14/(1-taxrate)</f>
        <v>0.16742370781936688</v>
      </c>
      <c r="AB14" s="388">
        <f>debtP*Debt_Rate</f>
        <v>2.0000000000000004E-2</v>
      </c>
      <c r="AC14" s="388">
        <f ca="1">+AB14+AA14</f>
        <v>0.1874237078193669</v>
      </c>
      <c r="AD14" s="388">
        <f ca="1">+AC14/(T14/100)</f>
        <v>9.0684362370557825E-2</v>
      </c>
      <c r="AE14" s="388">
        <f ca="1">1-AD14</f>
        <v>0.90931563762944223</v>
      </c>
      <c r="AF14" s="386">
        <f ca="1">expenses/(AE14)</f>
        <v>2247512.5649350835</v>
      </c>
      <c r="AG14" s="387">
        <f ca="1">+AF14-Revenue</f>
        <v>114417.93254292943</v>
      </c>
      <c r="AH14" s="375">
        <f ca="1">+AG14/$J$49</f>
        <v>129176.08079755117</v>
      </c>
      <c r="AI14" s="375">
        <f ca="1">+AH14*$J$47</f>
        <v>2919.3794260246568</v>
      </c>
      <c r="AJ14" s="386">
        <f ca="1">ROUND(+AI14+AF14,5)</f>
        <v>2250431.9443600001</v>
      </c>
    </row>
    <row r="15" spans="1:36" ht="16.5" thickTop="1">
      <c r="A15" s="327"/>
      <c r="B15" s="797"/>
      <c r="C15" s="797"/>
      <c r="D15" s="327"/>
      <c r="E15" s="327"/>
      <c r="F15" s="363">
        <f t="shared" si="0"/>
        <v>9</v>
      </c>
      <c r="G15" s="359"/>
      <c r="H15" s="359"/>
      <c r="I15" s="359"/>
      <c r="J15" s="359"/>
      <c r="K15" s="422"/>
      <c r="L15" s="359"/>
      <c r="M15" s="359"/>
      <c r="O15" s="419"/>
      <c r="P15" s="803"/>
      <c r="Q15" s="804"/>
      <c r="S15" s="310" t="s">
        <v>147</v>
      </c>
    </row>
    <row r="16" spans="1:36" ht="15.75">
      <c r="A16" s="327"/>
      <c r="B16" s="598" t="s">
        <v>148</v>
      </c>
      <c r="C16" s="797"/>
      <c r="D16" s="797"/>
      <c r="E16" s="327"/>
      <c r="F16" s="363">
        <f t="shared" si="0"/>
        <v>10</v>
      </c>
      <c r="G16" s="359"/>
      <c r="H16" s="403" t="s">
        <v>149</v>
      </c>
      <c r="I16" s="405">
        <f>+I8/I7</f>
        <v>0.95809078979877604</v>
      </c>
      <c r="J16" s="421"/>
      <c r="K16" s="405">
        <f ca="1">+K8/K7</f>
        <v>0.90822999999999998</v>
      </c>
      <c r="L16" s="420"/>
      <c r="M16" s="405">
        <f ca="1">+M8/M7</f>
        <v>0.908351695178373</v>
      </c>
      <c r="O16" s="419"/>
      <c r="P16" s="803"/>
      <c r="Q16" s="804"/>
      <c r="S16" s="599">
        <v>1</v>
      </c>
      <c r="T16" s="600">
        <f ca="1">AJ11/Investment*100</f>
        <v>205.8378719606207</v>
      </c>
      <c r="U16" s="601">
        <f ca="1">EXP(y_inter1-(slope*LN(+T16)))</f>
        <v>8.0095067496611474</v>
      </c>
      <c r="V16" s="602">
        <f ca="1">(+T16*U16/100)/100</f>
        <v>0.16486598248044784</v>
      </c>
      <c r="W16" s="602">
        <f>regDebt_weighted</f>
        <v>3.5860000000000003E-2</v>
      </c>
      <c r="X16" s="602">
        <f ca="1">+V16-W16</f>
        <v>0.12900598248044784</v>
      </c>
      <c r="Y16" s="602">
        <f ca="1">+((X16*(1-0.34))-Pfd_weighted)/Equity_percent</f>
        <v>0.22951729196830109</v>
      </c>
      <c r="Z16" s="602">
        <f ca="1">+Y16*equityP</f>
        <v>0.13771037518098064</v>
      </c>
      <c r="AA16" s="602">
        <f ca="1">+Z16/(1-taxrate)</f>
        <v>0.17431693060883624</v>
      </c>
      <c r="AB16" s="602">
        <f>debtP*Debt_Rate</f>
        <v>2.0000000000000004E-2</v>
      </c>
      <c r="AC16" s="602">
        <f ca="1">+AB16+AA16</f>
        <v>0.19431693060883626</v>
      </c>
      <c r="AD16" s="602">
        <f ca="1">+AC16/(T16/100)</f>
        <v>9.4402904945505586E-2</v>
      </c>
      <c r="AE16" s="602">
        <f ca="1">1-AD16</f>
        <v>0.90559709505449437</v>
      </c>
      <c r="AF16" s="603">
        <f ca="1">expenses/(AE16)</f>
        <v>2256741.2508552149</v>
      </c>
      <c r="AG16" s="604">
        <f ca="1">+AF16-Revenue</f>
        <v>123646.61846306082</v>
      </c>
      <c r="AH16" s="605">
        <f ca="1">+AG16/$J$49</f>
        <v>139595.1248370581</v>
      </c>
      <c r="AI16" s="605">
        <f ca="1">+AH16*$J$47</f>
        <v>3154.8498213175135</v>
      </c>
      <c r="AJ16" s="603">
        <f ca="1">ROUND(+AI16+AF16,5)</f>
        <v>2259896.1006800001</v>
      </c>
    </row>
    <row r="17" spans="1:36" ht="15.75">
      <c r="A17" s="327"/>
      <c r="B17" s="802"/>
      <c r="C17" s="797"/>
      <c r="D17" s="327" t="s">
        <v>150</v>
      </c>
      <c r="E17" s="327"/>
      <c r="F17" s="363">
        <f t="shared" si="0"/>
        <v>11</v>
      </c>
      <c r="G17" s="359"/>
      <c r="H17" s="359"/>
      <c r="I17" s="359"/>
      <c r="K17" s="359"/>
      <c r="L17" s="403"/>
      <c r="M17" s="403"/>
      <c r="N17" s="405"/>
      <c r="O17" s="327"/>
      <c r="P17" s="803"/>
      <c r="Q17" s="804"/>
      <c r="S17" s="393">
        <v>2</v>
      </c>
      <c r="T17" s="390">
        <f ca="1">AJ12/Investment*100</f>
        <v>205.45321928763238</v>
      </c>
      <c r="U17" s="392">
        <f ca="1">EXP(y_inter2-(slope*LN(+T17)))</f>
        <v>7.9056521101612871</v>
      </c>
      <c r="V17" s="388">
        <f ca="1">(+T17*U17/100)/100</f>
        <v>0.16242416766007006</v>
      </c>
      <c r="W17" s="388">
        <f>regDebt_weighted</f>
        <v>3.5860000000000003E-2</v>
      </c>
      <c r="X17" s="388">
        <f ca="1">+V17-W17</f>
        <v>0.12656416766007006</v>
      </c>
      <c r="Y17" s="388">
        <f ca="1">+((X17*(1-0.34))-Pfd_weighted)/Equity_percent</f>
        <v>0.224832414696646</v>
      </c>
      <c r="Z17" s="388">
        <f ca="1">+Y17*equityP</f>
        <v>0.1348994488179876</v>
      </c>
      <c r="AA17" s="388">
        <f ca="1">+Z17/(1-taxrate)</f>
        <v>0.1707587959721362</v>
      </c>
      <c r="AB17" s="388">
        <f>debtP*Debt_Rate</f>
        <v>2.0000000000000004E-2</v>
      </c>
      <c r="AC17" s="388">
        <f ca="1">+AB17+AA17</f>
        <v>0.19075879597213619</v>
      </c>
      <c r="AD17" s="388">
        <f ca="1">+AC17/(T17/100)</f>
        <v>9.2847800892852328E-2</v>
      </c>
      <c r="AE17" s="388">
        <f ca="1">1-AD17</f>
        <v>0.90715219910714762</v>
      </c>
      <c r="AF17" s="386">
        <f ca="1">expenses/(AE17)</f>
        <v>2252872.5864034849</v>
      </c>
      <c r="AG17" s="387">
        <f ca="1">+AF17-Revenue</f>
        <v>119777.95401133085</v>
      </c>
      <c r="AH17" s="375">
        <f ca="1">+AG17/$J$49</f>
        <v>135227.46235016792</v>
      </c>
      <c r="AI17" s="375">
        <f ca="1">+AH17*$J$47</f>
        <v>3056.140649113795</v>
      </c>
      <c r="AJ17" s="386">
        <f ca="1">ROUND(+AI17+AF17,5)</f>
        <v>2255928.7270499999</v>
      </c>
    </row>
    <row r="18" spans="1:36" ht="15.75">
      <c r="A18" s="327"/>
      <c r="B18" s="801" t="s">
        <v>151</v>
      </c>
      <c r="C18" s="801"/>
      <c r="D18" s="327"/>
      <c r="E18" s="327"/>
      <c r="F18" s="363">
        <f t="shared" si="0"/>
        <v>12</v>
      </c>
      <c r="G18" s="359"/>
      <c r="H18" s="606" t="s">
        <v>152</v>
      </c>
      <c r="I18" s="607"/>
      <c r="J18" s="607"/>
      <c r="K18" s="607"/>
      <c r="L18" s="607"/>
      <c r="M18" s="608"/>
      <c r="O18" s="327"/>
      <c r="P18" s="805" t="s">
        <v>153</v>
      </c>
      <c r="Q18" s="806"/>
      <c r="S18" s="357">
        <v>3</v>
      </c>
      <c r="T18" s="390">
        <f ca="1">AJ13/Investment*100</f>
        <v>205.19490098340981</v>
      </c>
      <c r="U18" s="313">
        <f ca="1">EXP(y_inter3-(slope*LN(T18)))</f>
        <v>7.8355266121004998</v>
      </c>
      <c r="V18" s="388">
        <f ca="1">(+T18*U18/100)/100</f>
        <v>0.16078101073228346</v>
      </c>
      <c r="W18" s="388">
        <f>regDebt_weighted</f>
        <v>3.5860000000000003E-2</v>
      </c>
      <c r="X18" s="388">
        <f ca="1">+V18-W18</f>
        <v>0.12492101073228346</v>
      </c>
      <c r="Y18" s="388">
        <f ca="1">+((X18*(1-0.34))-Pfd_weighted)/Equity_percent</f>
        <v>0.22167984617240427</v>
      </c>
      <c r="Z18" s="388">
        <f ca="1">+Y18*equityP</f>
        <v>0.13300790770344256</v>
      </c>
      <c r="AA18" s="388">
        <f ca="1">+Z18/(1-taxrate)</f>
        <v>0.16836444013093996</v>
      </c>
      <c r="AB18" s="388">
        <f>debtP*Debt_Rate</f>
        <v>2.0000000000000004E-2</v>
      </c>
      <c r="AC18" s="388">
        <f ca="1">+AB18+AA18</f>
        <v>0.18836444013093995</v>
      </c>
      <c r="AD18" s="388">
        <f ca="1">+AC18/(T18/100)</f>
        <v>9.1797817210949789E-2</v>
      </c>
      <c r="AE18" s="388">
        <f ca="1">1-AD18</f>
        <v>0.90820218278905018</v>
      </c>
      <c r="AF18" s="386">
        <f ca="1">expenses/(AE18)</f>
        <v>2250268.0127766468</v>
      </c>
      <c r="AG18" s="387">
        <f ca="1">+AF18-Revenue</f>
        <v>117173.38038449269</v>
      </c>
      <c r="AH18" s="375">
        <f ca="1">+AG18/$J$49</f>
        <v>132286.9389043577</v>
      </c>
      <c r="AI18" s="375">
        <f ca="1">+AH18*$J$47</f>
        <v>2989.6848192384841</v>
      </c>
      <c r="AJ18" s="386">
        <f ca="1">ROUND(+AI18+AF18,5)</f>
        <v>2253257.6976000001</v>
      </c>
    </row>
    <row r="19" spans="1:36" ht="15.75">
      <c r="A19" s="327"/>
      <c r="B19" s="327"/>
      <c r="C19" s="327"/>
      <c r="D19" s="327"/>
      <c r="E19" s="327"/>
      <c r="F19" s="363">
        <f t="shared" si="0"/>
        <v>13</v>
      </c>
      <c r="G19" s="359"/>
      <c r="H19" s="362"/>
      <c r="I19" s="403" t="s">
        <v>154</v>
      </c>
      <c r="J19" s="364">
        <f>+Revenue</f>
        <v>2133094.6323921541</v>
      </c>
      <c r="K19" s="418"/>
      <c r="L19" s="403" t="s">
        <v>155</v>
      </c>
      <c r="M19" s="417">
        <f ca="1">+J7</f>
        <v>117104.45931823738</v>
      </c>
      <c r="O19" s="327"/>
      <c r="P19" s="423" t="s">
        <v>156</v>
      </c>
      <c r="Q19" s="588">
        <f ca="1">M21</f>
        <v>120092.38561293017</v>
      </c>
      <c r="S19" s="371">
        <v>4</v>
      </c>
      <c r="T19" s="390">
        <f ca="1">AJ14/Investment*100</f>
        <v>205.02999508894274</v>
      </c>
      <c r="U19" s="389">
        <f ca="1">EXP(y_inter4-(slope*LN(T19)))</f>
        <v>7.7905989346393962</v>
      </c>
      <c r="V19" s="388">
        <f ca="1">(+T19*U19/100)/100</f>
        <v>0.15973064613090379</v>
      </c>
      <c r="W19" s="388">
        <f>regDebt_weighted</f>
        <v>3.5860000000000003E-2</v>
      </c>
      <c r="X19" s="388">
        <f ca="1">+V19-W19</f>
        <v>0.12387064613090379</v>
      </c>
      <c r="Y19" s="388">
        <f ca="1">+((X19*(1-0.34))-Pfd_weighted)/Equity_percent</f>
        <v>0.21966461176278049</v>
      </c>
      <c r="Z19" s="388">
        <f ca="1">+Y19*equityP</f>
        <v>0.1317987670576683</v>
      </c>
      <c r="AA19" s="388">
        <f ca="1">+Z19/(1-taxrate)</f>
        <v>0.16683388235147886</v>
      </c>
      <c r="AB19" s="388">
        <f>debtP*Debt_Rate</f>
        <v>2.0000000000000004E-2</v>
      </c>
      <c r="AC19" s="388">
        <f ca="1">+AB19+AA19</f>
        <v>0.18683388235147885</v>
      </c>
      <c r="AD19" s="388">
        <f ca="1">+AC19/(T19/100)</f>
        <v>9.1125145991653389E-2</v>
      </c>
      <c r="AE19" s="388">
        <f ca="1">1-AD19</f>
        <v>0.90887485400834667</v>
      </c>
      <c r="AF19" s="386">
        <f ca="1">expenses/(AE19)</f>
        <v>2248602.5573828458</v>
      </c>
      <c r="AG19" s="387">
        <f ca="1">+AF19-Revenue</f>
        <v>115507.92499069171</v>
      </c>
      <c r="AH19" s="375">
        <f ca="1">+AG19/$J$49</f>
        <v>130406.66545654273</v>
      </c>
      <c r="AI19" s="375">
        <f ca="1">+AH19*$J$47</f>
        <v>2947.190639317866</v>
      </c>
      <c r="AJ19" s="386">
        <f ca="1">ROUND(+AI19+AF19,5)</f>
        <v>2251549.7480199998</v>
      </c>
    </row>
    <row r="20" spans="1:36" ht="15.75">
      <c r="A20" s="327"/>
      <c r="B20" s="416"/>
      <c r="C20" s="327"/>
      <c r="D20" s="327"/>
      <c r="E20" s="327"/>
      <c r="F20" s="363">
        <f t="shared" si="0"/>
        <v>14</v>
      </c>
      <c r="G20" s="359"/>
      <c r="H20" s="362"/>
      <c r="I20" s="403" t="s">
        <v>157</v>
      </c>
      <c r="J20" s="364">
        <f ca="1">+J21-J19</f>
        <v>120092.38561293017</v>
      </c>
      <c r="K20" s="418"/>
      <c r="L20" s="403" t="s">
        <v>158</v>
      </c>
      <c r="M20" s="417">
        <f ca="1">+L8</f>
        <v>2987.926294692792</v>
      </c>
      <c r="O20" s="327"/>
      <c r="P20" s="423" t="s">
        <v>159</v>
      </c>
      <c r="Q20" s="589" t="e">
        <f>#REF!</f>
        <v>#REF!</v>
      </c>
      <c r="S20" s="310" t="s">
        <v>160</v>
      </c>
    </row>
    <row r="21" spans="1:36" ht="16.5" thickBot="1">
      <c r="A21" s="327"/>
      <c r="B21" s="416" t="s">
        <v>161</v>
      </c>
      <c r="C21" s="327"/>
      <c r="D21" s="327"/>
      <c r="E21" s="327"/>
      <c r="F21" s="363">
        <f t="shared" si="0"/>
        <v>15</v>
      </c>
      <c r="G21" s="359"/>
      <c r="H21" s="362"/>
      <c r="I21" s="414" t="s">
        <v>152</v>
      </c>
      <c r="J21" s="415">
        <f ca="1">+M7</f>
        <v>2253187.0180050842</v>
      </c>
      <c r="L21" s="414" t="s">
        <v>157</v>
      </c>
      <c r="M21" s="413">
        <f ca="1">+M19+M20</f>
        <v>120092.38561293017</v>
      </c>
      <c r="O21" s="327"/>
      <c r="P21" s="423" t="s">
        <v>162</v>
      </c>
      <c r="Q21" s="590" t="e">
        <f ca="1">Q19+Q20</f>
        <v>#REF!</v>
      </c>
      <c r="S21" s="599">
        <v>1</v>
      </c>
      <c r="T21" s="600">
        <f ca="1">AJ16/Investment*100</f>
        <v>205.89224552431969</v>
      </c>
      <c r="U21" s="601">
        <f ca="1">EXP(y_inter1-(slope*LN(+T21)))</f>
        <v>8.0080605833356326</v>
      </c>
      <c r="V21" s="602">
        <f ca="1">(+T21*U21/100)/100</f>
        <v>0.16487975757977669</v>
      </c>
      <c r="W21" s="602">
        <f>regDebt_weighted</f>
        <v>3.5860000000000003E-2</v>
      </c>
      <c r="X21" s="602">
        <f ca="1">+V21-W21</f>
        <v>0.12901975757977668</v>
      </c>
      <c r="Y21" s="602">
        <f ca="1">+((X21*(1-0.34))-Pfd_weighted)/Equity_percent</f>
        <v>0.22954372093794362</v>
      </c>
      <c r="Z21" s="602">
        <f ca="1">+Y21*equityP</f>
        <v>0.13772623256276617</v>
      </c>
      <c r="AA21" s="602">
        <f ca="1">+Z21/(1-taxrate)</f>
        <v>0.1743370032440078</v>
      </c>
      <c r="AB21" s="602">
        <f>debtP*Debt_Rate</f>
        <v>2.0000000000000004E-2</v>
      </c>
      <c r="AC21" s="602">
        <f ca="1">+AB21+AA21</f>
        <v>0.19433700324400782</v>
      </c>
      <c r="AD21" s="602">
        <f ca="1">+AC21/(T21/100)</f>
        <v>9.4387723417710276E-2</v>
      </c>
      <c r="AE21" s="602">
        <f ca="1">1-AD21</f>
        <v>0.90561227658228971</v>
      </c>
      <c r="AF21" s="603">
        <f ca="1">expenses/(AE21)</f>
        <v>2256703.4192346502</v>
      </c>
      <c r="AG21" s="604">
        <f ca="1">+AF21-Revenue</f>
        <v>123608.78684249613</v>
      </c>
      <c r="AH21" s="605">
        <f ca="1">+AG21/$J$49</f>
        <v>139552.41352104186</v>
      </c>
      <c r="AI21" s="605">
        <f ca="1">+AH21*$J$47</f>
        <v>3153.8845455755463</v>
      </c>
      <c r="AJ21" s="603">
        <f ca="1">ROUND(+AI21+AF21,5)</f>
        <v>2259857.3037800002</v>
      </c>
    </row>
    <row r="22" spans="1:36" ht="16.5" thickTop="1">
      <c r="A22" s="327"/>
      <c r="B22" s="327" t="s">
        <v>163</v>
      </c>
      <c r="C22" s="327"/>
      <c r="D22" s="327"/>
      <c r="E22" s="327"/>
      <c r="F22" s="363">
        <f t="shared" si="0"/>
        <v>16</v>
      </c>
      <c r="G22" s="359"/>
      <c r="H22" s="320"/>
      <c r="I22" s="352"/>
      <c r="J22" s="511" t="s">
        <v>164</v>
      </c>
      <c r="K22" s="510">
        <f ca="1">+(J21/J19)-1</f>
        <v>5.6299605178909973E-2</v>
      </c>
      <c r="L22" s="352"/>
      <c r="M22" s="369"/>
      <c r="O22" s="327"/>
      <c r="P22" s="423" t="s">
        <v>165</v>
      </c>
      <c r="Q22" s="589" t="e">
        <f ca="1">(J19+Q21)</f>
        <v>#REF!</v>
      </c>
      <c r="S22" s="393">
        <v>2</v>
      </c>
      <c r="T22" s="390">
        <f ca="1">AJ17/Investment*100</f>
        <v>205.53079020552474</v>
      </c>
      <c r="U22" s="392">
        <f ca="1">EXP(y_inter2-(slope*LN(+T22)))</f>
        <v>7.9036121006643931</v>
      </c>
      <c r="V22" s="388">
        <f ca="1">(+T22*U22/100)/100</f>
        <v>0.16244356405274998</v>
      </c>
      <c r="W22" s="388">
        <f>regDebt_weighted</f>
        <v>3.5860000000000003E-2</v>
      </c>
      <c r="X22" s="388">
        <f ca="1">+V22-W22</f>
        <v>0.12658356405274998</v>
      </c>
      <c r="Y22" s="388">
        <f ca="1">+((X22*(1-0.34))-Pfd_weighted)/Equity_percent</f>
        <v>0.2248696287058575</v>
      </c>
      <c r="Z22" s="388">
        <f ca="1">+Y22*equityP</f>
        <v>0.13492177722351451</v>
      </c>
      <c r="AA22" s="388">
        <f ca="1">+Z22/(1-taxrate)</f>
        <v>0.17078705977660064</v>
      </c>
      <c r="AB22" s="388">
        <f>debtP*Debt_Rate</f>
        <v>2.0000000000000004E-2</v>
      </c>
      <c r="AC22" s="388">
        <f ca="1">+AB22+AA22</f>
        <v>0.19078705977660065</v>
      </c>
      <c r="AD22" s="388">
        <f ca="1">+AC22/(T22/100)</f>
        <v>9.2826510123285771E-2</v>
      </c>
      <c r="AE22" s="388">
        <f ca="1">1-AD22</f>
        <v>0.9071734898767142</v>
      </c>
      <c r="AF22" s="386">
        <f ca="1">expenses/(AE22)</f>
        <v>2252819.7129546516</v>
      </c>
      <c r="AG22" s="387">
        <f ca="1">+AF22-Revenue</f>
        <v>119725.08056249749</v>
      </c>
      <c r="AH22" s="375">
        <f ca="1">+AG22/$J$49</f>
        <v>135167.76904207584</v>
      </c>
      <c r="AI22" s="375">
        <f ca="1">+AH22*$J$47</f>
        <v>3054.7915803509145</v>
      </c>
      <c r="AJ22" s="386">
        <f ca="1">ROUND(+AI22+AF22,5)</f>
        <v>2255874.5045400001</v>
      </c>
    </row>
    <row r="23" spans="1:36" ht="15.75">
      <c r="A23" s="327"/>
      <c r="B23" s="327" t="s">
        <v>166</v>
      </c>
      <c r="C23" s="327"/>
      <c r="D23" s="327"/>
      <c r="E23" s="327"/>
      <c r="F23" s="363">
        <f t="shared" si="0"/>
        <v>17</v>
      </c>
      <c r="H23" s="359"/>
      <c r="I23" s="359"/>
      <c r="J23" s="359"/>
      <c r="K23" s="359"/>
      <c r="L23" s="359"/>
      <c r="M23" s="359"/>
      <c r="N23" s="359"/>
      <c r="O23" s="327"/>
      <c r="P23" s="423" t="s">
        <v>167</v>
      </c>
      <c r="Q23" s="592" t="e">
        <f ca="1">Q22/J19-1</f>
        <v>#REF!</v>
      </c>
      <c r="S23" s="357">
        <v>3</v>
      </c>
      <c r="T23" s="390">
        <f ca="1">AJ18/Investment*100</f>
        <v>205.28744085368658</v>
      </c>
      <c r="U23" s="313">
        <f ca="1">EXP(y_inter3-(slope*LN(T23)))</f>
        <v>7.8331116396098208</v>
      </c>
      <c r="V23" s="388">
        <f ca="1">(+T23*U23/100)/100</f>
        <v>0.16080394424167249</v>
      </c>
      <c r="W23" s="388">
        <f>regDebt_weighted</f>
        <v>3.5860000000000003E-2</v>
      </c>
      <c r="X23" s="388">
        <f ca="1">+V23-W23</f>
        <v>0.12494394424167249</v>
      </c>
      <c r="Y23" s="388">
        <f ca="1">+((X23*(1-0.34))-Pfd_weighted)/Equity_percent</f>
        <v>0.22172384651018559</v>
      </c>
      <c r="Z23" s="388">
        <f ca="1">+Y23*equityP</f>
        <v>0.13303430790611134</v>
      </c>
      <c r="AA23" s="388">
        <f ca="1">+Z23/(1-taxrate)</f>
        <v>0.16839785810900168</v>
      </c>
      <c r="AB23" s="388">
        <f>debtP*Debt_Rate</f>
        <v>2.0000000000000004E-2</v>
      </c>
      <c r="AC23" s="388">
        <f ca="1">+AB23+AA23</f>
        <v>0.18839785810900167</v>
      </c>
      <c r="AD23" s="388">
        <f ca="1">+AC23/(T23/100)</f>
        <v>9.1772715040701142E-2</v>
      </c>
      <c r="AE23" s="388">
        <f ca="1">1-AD23</f>
        <v>0.90822728495929883</v>
      </c>
      <c r="AF23" s="386">
        <f ca="1">expenses/(AE23)</f>
        <v>2250205.8184210076</v>
      </c>
      <c r="AG23" s="387">
        <f ca="1">+AF23-Revenue</f>
        <v>117111.18602885352</v>
      </c>
      <c r="AH23" s="375">
        <f ca="1">+AG23/$J$49</f>
        <v>132216.72243626881</v>
      </c>
      <c r="AI23" s="375">
        <f ca="1">+AH23*$J$47</f>
        <v>2988.0979270596754</v>
      </c>
      <c r="AJ23" s="386">
        <f ca="1">ROUND(+AI23+AF23,5)</f>
        <v>2253193.9163500001</v>
      </c>
    </row>
    <row r="24" spans="1:36" ht="15.75">
      <c r="A24" s="327"/>
      <c r="B24" s="327" t="s">
        <v>168</v>
      </c>
      <c r="C24" s="327"/>
      <c r="D24" s="327"/>
      <c r="E24" s="327"/>
      <c r="F24" s="363">
        <f t="shared" si="0"/>
        <v>18</v>
      </c>
      <c r="H24" s="359"/>
      <c r="J24" s="412" t="s">
        <v>169</v>
      </c>
      <c r="K24" s="411" t="s">
        <v>170</v>
      </c>
      <c r="L24" s="411"/>
      <c r="M24" s="411"/>
      <c r="N24" s="411"/>
      <c r="O24" s="327"/>
      <c r="P24" s="799" t="s">
        <v>171</v>
      </c>
      <c r="Q24" s="800"/>
      <c r="S24" s="371">
        <v>4</v>
      </c>
      <c r="T24" s="390">
        <f ca="1">AJ19/Investment*100</f>
        <v>205.13183477331737</v>
      </c>
      <c r="U24" s="389">
        <f ca="1">EXP(y_inter4-(slope*LN(T24)))</f>
        <v>7.7879544840402106</v>
      </c>
      <c r="V24" s="388">
        <f ca="1">(+T24*U24/100)/100</f>
        <v>0.15975573924422526</v>
      </c>
      <c r="W24" s="388">
        <f>regDebt_weighted</f>
        <v>3.5860000000000003E-2</v>
      </c>
      <c r="X24" s="388">
        <f ca="1">+V24-W24</f>
        <v>0.12389573924422526</v>
      </c>
      <c r="Y24" s="388">
        <f ca="1">+((X24*(1-0.34))-Pfd_weighted)/Equity_percent</f>
        <v>0.21971275552671124</v>
      </c>
      <c r="Z24" s="388">
        <f ca="1">+Y24*equityP</f>
        <v>0.13182765331602675</v>
      </c>
      <c r="AA24" s="388">
        <f ca="1">+Z24/(1-taxrate)</f>
        <v>0.16687044723547689</v>
      </c>
      <c r="AB24" s="388">
        <f>debtP*Debt_Rate</f>
        <v>2.0000000000000004E-2</v>
      </c>
      <c r="AC24" s="388">
        <f ca="1">+AB24+AA24</f>
        <v>0.18687044723547691</v>
      </c>
      <c r="AD24" s="388">
        <f ca="1">+AC24/(T24/100)</f>
        <v>9.1097731096677251E-2</v>
      </c>
      <c r="AE24" s="388">
        <f ca="1">1-AD24</f>
        <v>0.90890226890332271</v>
      </c>
      <c r="AF24" s="386">
        <f ca="1">expenses/(AE24)</f>
        <v>2248534.7335858736</v>
      </c>
      <c r="AG24" s="387">
        <f ca="1">+AF24-Revenue</f>
        <v>115440.10119371954</v>
      </c>
      <c r="AH24" s="375">
        <f ca="1">+AG24/$J$49</f>
        <v>130330.09343603025</v>
      </c>
      <c r="AI24" s="375">
        <f ca="1">+AH24*$J$47</f>
        <v>2945.460111654284</v>
      </c>
      <c r="AJ24" s="386">
        <f ca="1">ROUND(+AI24+AF24,5)</f>
        <v>2251480.1937000002</v>
      </c>
    </row>
    <row r="25" spans="1:36" ht="15.75">
      <c r="A25" s="327"/>
      <c r="B25" s="327" t="s">
        <v>172</v>
      </c>
      <c r="C25" s="327"/>
      <c r="D25" s="327"/>
      <c r="E25" s="327"/>
      <c r="F25" s="363">
        <f t="shared" si="0"/>
        <v>19</v>
      </c>
      <c r="H25" s="409" t="s">
        <v>173</v>
      </c>
      <c r="I25" s="410" t="s">
        <v>23</v>
      </c>
      <c r="J25" s="408" t="s">
        <v>174</v>
      </c>
      <c r="K25" s="409" t="s">
        <v>175</v>
      </c>
      <c r="L25" s="408" t="s">
        <v>176</v>
      </c>
      <c r="M25" s="408" t="s">
        <v>174</v>
      </c>
      <c r="O25" s="327"/>
      <c r="P25" s="327"/>
      <c r="Q25" s="591" t="e">
        <f ca="1">Q21/J19</f>
        <v>#REF!</v>
      </c>
      <c r="S25" s="310" t="s">
        <v>177</v>
      </c>
      <c r="X25" s="316"/>
      <c r="Y25" s="314"/>
      <c r="Z25" s="313"/>
      <c r="AA25" s="313"/>
      <c r="AB25" s="314"/>
      <c r="AD25" s="314"/>
      <c r="AE25" s="314"/>
      <c r="AF25" s="313"/>
      <c r="AG25" s="316"/>
    </row>
    <row r="26" spans="1:36" ht="15.75">
      <c r="A26" s="327"/>
      <c r="B26" s="327"/>
      <c r="C26" s="327"/>
      <c r="D26" s="327"/>
      <c r="E26" s="327"/>
      <c r="F26" s="363">
        <f t="shared" si="0"/>
        <v>20</v>
      </c>
      <c r="H26" s="403" t="s">
        <v>123</v>
      </c>
      <c r="I26" s="404">
        <f>1-I27</f>
        <v>0.6</v>
      </c>
      <c r="J26" s="407">
        <f>+I26*J28</f>
        <v>658566.64827517199</v>
      </c>
      <c r="K26" s="405">
        <f ca="1">+K34</f>
        <v>0.2213798013020298</v>
      </c>
      <c r="L26" s="404">
        <f ca="1">+K26*I26</f>
        <v>0.13282788078121788</v>
      </c>
      <c r="M26" s="364">
        <f ca="1">+J26*K26</f>
        <v>145793.35373930132</v>
      </c>
      <c r="O26" s="327"/>
      <c r="P26" s="327"/>
      <c r="Q26" s="327"/>
      <c r="S26" s="599">
        <v>1</v>
      </c>
      <c r="T26" s="600">
        <f ca="1">AJ21/Investment*100</f>
        <v>205.88871085701444</v>
      </c>
      <c r="U26" s="601">
        <f ca="1">EXP(y_inter1-(slope*LN(+T26)))</f>
        <v>8.0081545748620062</v>
      </c>
      <c r="V26" s="602">
        <f ca="1">(+T26*U26/100)/100</f>
        <v>0.16487886217620409</v>
      </c>
      <c r="W26" s="602">
        <f>regDebt_weighted</f>
        <v>3.5860000000000003E-2</v>
      </c>
      <c r="X26" s="602">
        <f ca="1">+V26-W26</f>
        <v>0.12901886217620409</v>
      </c>
      <c r="Y26" s="602">
        <f ca="1">+((X26*(1-0.34))-Pfd_weighted)/Equity_percent</f>
        <v>0.22954200301248459</v>
      </c>
      <c r="Z26" s="602">
        <f ca="1">+Y26*equityP</f>
        <v>0.13772520180749076</v>
      </c>
      <c r="AA26" s="602">
        <f ca="1">+Z26/(1-taxrate)</f>
        <v>0.17433569849049463</v>
      </c>
      <c r="AB26" s="602">
        <f>debtP*Debt_Rate</f>
        <v>2.0000000000000004E-2</v>
      </c>
      <c r="AC26" s="602">
        <f ca="1">+AB26+AA26</f>
        <v>0.19433569849049465</v>
      </c>
      <c r="AD26" s="602">
        <f ca="1">+AC26/(T26/100)</f>
        <v>9.4388710134504103E-2</v>
      </c>
      <c r="AE26" s="602">
        <f ca="1">1-AD26</f>
        <v>0.90561128986549588</v>
      </c>
      <c r="AF26" s="603">
        <f ca="1">expenses/(AE26)</f>
        <v>2256705.8780458281</v>
      </c>
      <c r="AG26" s="604">
        <f ca="1">+AF26-Revenue</f>
        <v>123611.24565367401</v>
      </c>
      <c r="AH26" s="605">
        <f ca="1">+AG26/$J$49</f>
        <v>139555.18948093135</v>
      </c>
      <c r="AI26" s="605">
        <f ca="1">+AH26*$J$47</f>
        <v>3153.9472822690486</v>
      </c>
      <c r="AJ26" s="603">
        <f ca="1">ROUND(+AI26+AF26,5)</f>
        <v>2259859.8253299999</v>
      </c>
    </row>
    <row r="27" spans="1:36" ht="15.75">
      <c r="A27" s="327"/>
      <c r="B27" s="327"/>
      <c r="C27" s="327"/>
      <c r="D27" s="327"/>
      <c r="E27" s="327"/>
      <c r="F27" s="363">
        <f t="shared" si="0"/>
        <v>21</v>
      </c>
      <c r="H27" s="403" t="s">
        <v>125</v>
      </c>
      <c r="I27" s="404">
        <f>IF(A65=TRUE,C8,0)</f>
        <v>0.4</v>
      </c>
      <c r="J27" s="406">
        <f>+I27*J28</f>
        <v>439044.43218344805</v>
      </c>
      <c r="K27" s="405">
        <f>IF(A65=TRUE,C9,0)</f>
        <v>0.05</v>
      </c>
      <c r="L27" s="404">
        <f>+K27*I27</f>
        <v>2.0000000000000004E-2</v>
      </c>
      <c r="M27" s="364">
        <f>+K27*J27</f>
        <v>21952.221609172404</v>
      </c>
      <c r="O27" s="327"/>
      <c r="P27" s="327"/>
      <c r="Q27" s="327"/>
      <c r="S27" s="393">
        <v>2</v>
      </c>
      <c r="T27" s="390">
        <f ca="1">AJ22/Investment*100</f>
        <v>205.52585015790999</v>
      </c>
      <c r="U27" s="392">
        <f ca="1">EXP(y_inter2-(slope*LN(+T27)))</f>
        <v>7.903741978538446</v>
      </c>
      <c r="V27" s="388">
        <f ca="1">(+T27*U27/100)/100</f>
        <v>0.16244232895678756</v>
      </c>
      <c r="W27" s="388">
        <f>regDebt_weighted</f>
        <v>3.5860000000000003E-2</v>
      </c>
      <c r="X27" s="388">
        <f ca="1">+V27-W27</f>
        <v>0.12658232895678756</v>
      </c>
      <c r="Y27" s="388">
        <f ca="1">+((X27*(1-0.34))-Pfd_weighted)/Equity_percent</f>
        <v>0.22486725904499938</v>
      </c>
      <c r="Z27" s="388">
        <f ca="1">+Y27*equityP</f>
        <v>0.13492035542699962</v>
      </c>
      <c r="AA27" s="388">
        <f ca="1">+Z27/(1-taxrate)</f>
        <v>0.17078526003417674</v>
      </c>
      <c r="AB27" s="388">
        <f>debtP*Debt_Rate</f>
        <v>2.0000000000000004E-2</v>
      </c>
      <c r="AC27" s="388">
        <f ca="1">+AB27+AA27</f>
        <v>0.19078526003417673</v>
      </c>
      <c r="AD27" s="388">
        <f ca="1">+AC27/(T27/100)</f>
        <v>9.2827865637141155E-2</v>
      </c>
      <c r="AE27" s="388">
        <f ca="1">1-AD27</f>
        <v>0.90717213436285882</v>
      </c>
      <c r="AF27" s="386">
        <f ca="1">expenses/(AE27)</f>
        <v>2252823.0791607099</v>
      </c>
      <c r="AG27" s="387">
        <f ca="1">+AF27-Revenue</f>
        <v>119728.44676855579</v>
      </c>
      <c r="AH27" s="375">
        <f ca="1">+AG27/$J$49</f>
        <v>135171.56943678763</v>
      </c>
      <c r="AI27" s="375">
        <f ca="1">+AH27*$J$47</f>
        <v>3054.8774692714005</v>
      </c>
      <c r="AJ27" s="386">
        <f ca="1">ROUND(+AI27+AF27,5)</f>
        <v>2255877.9566299999</v>
      </c>
    </row>
    <row r="28" spans="1:36" ht="16.5" thickBot="1">
      <c r="A28" s="327"/>
      <c r="B28" s="327"/>
      <c r="C28" s="327"/>
      <c r="D28" s="327"/>
      <c r="E28" s="327"/>
      <c r="F28" s="363">
        <f t="shared" si="0"/>
        <v>22</v>
      </c>
      <c r="H28" s="403" t="s">
        <v>27</v>
      </c>
      <c r="I28" s="402">
        <f>SUM(I26:I27)</f>
        <v>1</v>
      </c>
      <c r="J28" s="367">
        <f>IF(A65=TRUE,C7,0)</f>
        <v>1097611.0804586201</v>
      </c>
      <c r="K28" s="401"/>
      <c r="L28" s="400">
        <f ca="1">SUM(L26:L27)</f>
        <v>0.1528278807812179</v>
      </c>
      <c r="M28" s="367">
        <f ca="1">SUM(M26:M27)</f>
        <v>167745.57534847374</v>
      </c>
      <c r="O28" s="327"/>
      <c r="P28" s="327"/>
      <c r="Q28" s="327"/>
      <c r="S28" s="357">
        <v>3</v>
      </c>
      <c r="T28" s="390">
        <f ca="1">AJ23/Investment*100</f>
        <v>205.28162993840562</v>
      </c>
      <c r="U28" s="313">
        <f ca="1">EXP(y_inter3-(slope*LN(T28)))</f>
        <v>7.8332632305866259</v>
      </c>
      <c r="V28" s="388">
        <f ca="1">(+T28*U28/100)/100</f>
        <v>0.16080250437114035</v>
      </c>
      <c r="W28" s="388">
        <f>regDebt_weighted</f>
        <v>3.5860000000000003E-2</v>
      </c>
      <c r="X28" s="388">
        <f ca="1">+V28-W28</f>
        <v>0.12494250437114035</v>
      </c>
      <c r="Y28" s="388">
        <f ca="1">+((X28*(1-0.34))-Pfd_weighted)/Equity_percent</f>
        <v>0.22172108396788553</v>
      </c>
      <c r="Z28" s="388">
        <f ca="1">+Y28*equityP</f>
        <v>0.13303265038073131</v>
      </c>
      <c r="AA28" s="388">
        <f ca="1">+Z28/(1-taxrate)</f>
        <v>0.16839575997560924</v>
      </c>
      <c r="AB28" s="388">
        <f>debtP*Debt_Rate</f>
        <v>2.0000000000000004E-2</v>
      </c>
      <c r="AC28" s="388">
        <f ca="1">+AB28+AA28</f>
        <v>0.18839575997560926</v>
      </c>
      <c r="AD28" s="388">
        <f ca="1">+AC28/(T28/100)</f>
        <v>9.1774290779032236E-2</v>
      </c>
      <c r="AE28" s="388">
        <f ca="1">1-AD28</f>
        <v>0.90822570922096779</v>
      </c>
      <c r="AF28" s="386">
        <f ca="1">expenses/(AE28)</f>
        <v>2250209.7224456621</v>
      </c>
      <c r="AG28" s="387">
        <f ca="1">+AF28-Revenue</f>
        <v>117115.09005350806</v>
      </c>
      <c r="AH28" s="375">
        <f ca="1">+AG28/$J$49</f>
        <v>132221.13001987917</v>
      </c>
      <c r="AI28" s="375">
        <f ca="1">+AH28*$J$47</f>
        <v>2988.1975384492694</v>
      </c>
      <c r="AJ28" s="386">
        <f ca="1">ROUND(+AI28+AF28,5)</f>
        <v>2253197.9199799998</v>
      </c>
    </row>
    <row r="29" spans="1:36" ht="16.5" thickTop="1">
      <c r="A29" s="327"/>
      <c r="B29" s="327"/>
      <c r="C29" s="327"/>
      <c r="D29" s="327"/>
      <c r="E29" s="327"/>
      <c r="F29" s="363">
        <f t="shared" si="0"/>
        <v>23</v>
      </c>
      <c r="G29" s="359"/>
      <c r="H29" s="359"/>
      <c r="I29" s="359"/>
      <c r="J29" s="359"/>
      <c r="K29" s="359"/>
      <c r="L29" s="359"/>
      <c r="M29" s="359"/>
      <c r="N29" s="359"/>
      <c r="O29" s="327"/>
      <c r="P29" s="327"/>
      <c r="Q29" s="327"/>
      <c r="S29" s="371">
        <v>4</v>
      </c>
      <c r="T29" s="390">
        <f ca="1">AJ24/Investment*100</f>
        <v>205.12549789122514</v>
      </c>
      <c r="U29" s="389">
        <f ca="1">EXP(y_inter4-(slope*LN(T29)))</f>
        <v>7.7881189680876313</v>
      </c>
      <c r="V29" s="388">
        <f ca="1">(+T29*U29/100)/100</f>
        <v>0.15975417809650699</v>
      </c>
      <c r="W29" s="388">
        <f>regDebt_weighted</f>
        <v>3.5860000000000003E-2</v>
      </c>
      <c r="X29" s="388">
        <f ca="1">+V29-W29</f>
        <v>0.12389417809650699</v>
      </c>
      <c r="Y29" s="388">
        <f ca="1">+((X29*(1-0.34))-Pfd_weighted)/Equity_percent</f>
        <v>0.2197097603014378</v>
      </c>
      <c r="Z29" s="388">
        <f ca="1">+Y29*equityP</f>
        <v>0.13182585618086268</v>
      </c>
      <c r="AA29" s="388">
        <f ca="1">+Z29/(1-taxrate)</f>
        <v>0.16686817238083881</v>
      </c>
      <c r="AB29" s="388">
        <f>debtP*Debt_Rate</f>
        <v>2.0000000000000004E-2</v>
      </c>
      <c r="AC29" s="388">
        <f ca="1">+AB29+AA29</f>
        <v>0.1868681723808388</v>
      </c>
      <c r="AD29" s="388">
        <f ca="1">+AC29/(T29/100)</f>
        <v>9.1099436346003204E-2</v>
      </c>
      <c r="AE29" s="388">
        <f ca="1">1-AD29</f>
        <v>0.90890056365399685</v>
      </c>
      <c r="AF29" s="386">
        <f ca="1">expenses/(AE29)</f>
        <v>2248538.9522127421</v>
      </c>
      <c r="AG29" s="387">
        <f ca="1">+AF29-Revenue</f>
        <v>115444.31982058799</v>
      </c>
      <c r="AH29" s="375">
        <f ca="1">+AG29/$J$49</f>
        <v>130334.85620068699</v>
      </c>
      <c r="AI29" s="375">
        <f ca="1">+AH29*$J$47</f>
        <v>2945.5677501355262</v>
      </c>
      <c r="AJ29" s="386">
        <f ca="1">ROUND(+AI29+AF29,5)</f>
        <v>2251484.5199600002</v>
      </c>
    </row>
    <row r="30" spans="1:36" ht="15.75">
      <c r="A30" s="327"/>
      <c r="B30" s="327"/>
      <c r="C30" s="327"/>
      <c r="D30" s="327"/>
      <c r="E30" s="327"/>
      <c r="F30" s="363">
        <f t="shared" si="0"/>
        <v>24</v>
      </c>
      <c r="G30" s="359"/>
      <c r="H30" s="359"/>
      <c r="I30" s="359"/>
      <c r="J30" s="399" t="s">
        <v>178</v>
      </c>
      <c r="K30" s="399" t="s">
        <v>179</v>
      </c>
      <c r="L30" s="359"/>
      <c r="M30" s="359"/>
      <c r="N30" s="359"/>
      <c r="O30" s="327"/>
      <c r="P30" s="327"/>
      <c r="Q30" s="327"/>
      <c r="S30" s="310" t="s">
        <v>180</v>
      </c>
      <c r="X30" s="316"/>
      <c r="Y30" s="314"/>
      <c r="Z30" s="313"/>
      <c r="AA30" s="313"/>
      <c r="AB30" s="314"/>
      <c r="AD30" s="314"/>
      <c r="AE30" s="314"/>
      <c r="AF30" s="313"/>
      <c r="AG30" s="316"/>
      <c r="AI30" s="313"/>
    </row>
    <row r="31" spans="1:36" ht="15.75">
      <c r="A31" s="327"/>
      <c r="B31" s="327"/>
      <c r="C31" s="327"/>
      <c r="D31" s="327"/>
      <c r="E31" s="327"/>
      <c r="F31" s="363">
        <f t="shared" si="0"/>
        <v>25</v>
      </c>
      <c r="G31" s="359"/>
      <c r="H31" s="385" t="s">
        <v>181</v>
      </c>
      <c r="I31" s="398"/>
      <c r="J31" s="397" t="s">
        <v>182</v>
      </c>
      <c r="K31" s="397" t="s">
        <v>182</v>
      </c>
      <c r="L31" s="359"/>
      <c r="M31" s="359"/>
      <c r="N31" s="359"/>
      <c r="O31" s="327"/>
      <c r="P31" s="327"/>
      <c r="Q31" s="327"/>
      <c r="S31" s="599">
        <v>1</v>
      </c>
      <c r="T31" s="600">
        <f ca="1">AJ26/Investment*100</f>
        <v>205.88894058774915</v>
      </c>
      <c r="U31" s="601">
        <f ca="1">EXP(y_inter1-(slope*LN(+T31)))</f>
        <v>8.0081484659322744</v>
      </c>
      <c r="V31" s="602">
        <f ca="1">(+T31*U31/100)/100</f>
        <v>0.16487892037202045</v>
      </c>
      <c r="W31" s="602">
        <f>regDebt_weighted</f>
        <v>3.5860000000000003E-2</v>
      </c>
      <c r="X31" s="602">
        <f ca="1">+V31-W31</f>
        <v>0.12901892037202045</v>
      </c>
      <c r="Y31" s="602">
        <f ca="1">+((X31*(1-0.34))-Pfd_weighted)/Equity_percent</f>
        <v>0.22954211466724853</v>
      </c>
      <c r="Z31" s="602">
        <f ca="1">+Y31*equityP</f>
        <v>0.1377252688003491</v>
      </c>
      <c r="AA31" s="602">
        <f ca="1">+Z31/(1-taxrate)</f>
        <v>0.17433578329158114</v>
      </c>
      <c r="AB31" s="602">
        <f>debtP*Debt_Rate</f>
        <v>2.0000000000000004E-2</v>
      </c>
      <c r="AC31" s="602">
        <f ca="1">+AB31+AA31</f>
        <v>0.19433578329158113</v>
      </c>
      <c r="AD31" s="602">
        <f ca="1">+AC31/(T31/100)</f>
        <v>9.4388646003429166E-2</v>
      </c>
      <c r="AE31" s="602">
        <f ca="1">1-AD31</f>
        <v>0.90561135399657089</v>
      </c>
      <c r="AF31" s="603">
        <f ca="1">expenses/(AE31)</f>
        <v>2256705.7182366857</v>
      </c>
      <c r="AG31" s="604">
        <f ca="1">+AF31-Revenue</f>
        <v>123611.08584453166</v>
      </c>
      <c r="AH31" s="605">
        <f ca="1">+AG31/$J$49</f>
        <v>139555.00905887492</v>
      </c>
      <c r="AI31" s="605">
        <f ca="1">+AH31*$J$47</f>
        <v>3153.9432047305736</v>
      </c>
      <c r="AJ31" s="603">
        <f ca="1">ROUND(+AI31+AF31,5)</f>
        <v>2259859.6614399999</v>
      </c>
    </row>
    <row r="32" spans="1:36" ht="15.75">
      <c r="A32" s="327"/>
      <c r="B32" s="327"/>
      <c r="C32" s="327"/>
      <c r="D32" s="327"/>
      <c r="E32" s="327"/>
      <c r="F32" s="363">
        <f t="shared" si="0"/>
        <v>26</v>
      </c>
      <c r="G32" s="359"/>
      <c r="H32" s="361"/>
      <c r="I32" s="361"/>
      <c r="J32" s="361"/>
      <c r="K32" s="361"/>
      <c r="L32" s="359"/>
      <c r="M32" s="359"/>
      <c r="N32" s="359"/>
      <c r="O32" s="327"/>
      <c r="P32" s="327"/>
      <c r="Q32" s="327"/>
      <c r="S32" s="393">
        <v>2</v>
      </c>
      <c r="T32" s="390">
        <f ca="1">AJ27/Investment*100</f>
        <v>205.5261646673078</v>
      </c>
      <c r="U32" s="392">
        <f ca="1">EXP(y_inter2-(slope*LN(+T32)))</f>
        <v>7.903733709673638</v>
      </c>
      <c r="V32" s="388">
        <f ca="1">(+T32*U32/100)/100</f>
        <v>0.16244240759009354</v>
      </c>
      <c r="W32" s="388">
        <f>regDebt_weighted</f>
        <v>3.5860000000000003E-2</v>
      </c>
      <c r="X32" s="388">
        <f ca="1">+V32-W32</f>
        <v>0.12658240759009354</v>
      </c>
      <c r="Y32" s="388">
        <f ca="1">+((X32*(1-0.34))-Pfd_weighted)/Equity_percent</f>
        <v>0.22486740991122595</v>
      </c>
      <c r="Z32" s="388">
        <f ca="1">+Y32*equityP</f>
        <v>0.13492044594673555</v>
      </c>
      <c r="AA32" s="388">
        <f ca="1">+Z32/(1-taxrate)</f>
        <v>0.17078537461612095</v>
      </c>
      <c r="AB32" s="388">
        <f>debtP*Debt_Rate</f>
        <v>2.0000000000000004E-2</v>
      </c>
      <c r="AC32" s="388">
        <f ca="1">+AB32+AA32</f>
        <v>0.19078537461612094</v>
      </c>
      <c r="AD32" s="388">
        <f ca="1">+AC32/(T32/100)</f>
        <v>9.2827779336490668E-2</v>
      </c>
      <c r="AE32" s="388">
        <f ca="1">1-AD32</f>
        <v>0.90717222066350933</v>
      </c>
      <c r="AF32" s="386">
        <f ca="1">expenses/(AE32)</f>
        <v>2252822.8648462798</v>
      </c>
      <c r="AG32" s="387">
        <f ca="1">+AF32-Revenue</f>
        <v>119728.23245412577</v>
      </c>
      <c r="AH32" s="375">
        <f ca="1">+AG32/$J$49</f>
        <v>135171.32747910218</v>
      </c>
      <c r="AI32" s="375">
        <f ca="1">+AH32*$J$47</f>
        <v>3054.8720010277098</v>
      </c>
      <c r="AJ32" s="386">
        <f ca="1">ROUND(+AI32+AF32,5)</f>
        <v>2255877.73685</v>
      </c>
    </row>
    <row r="33" spans="1:47" ht="15.75">
      <c r="A33" s="327"/>
      <c r="B33" s="327"/>
      <c r="C33" s="327"/>
      <c r="D33" s="327"/>
      <c r="E33" s="327"/>
      <c r="F33" s="363">
        <f t="shared" si="0"/>
        <v>27</v>
      </c>
      <c r="G33" s="359"/>
      <c r="H33" s="361" t="s">
        <v>183</v>
      </c>
      <c r="I33" s="361"/>
      <c r="J33" s="360">
        <f ca="1">+K9/J28</f>
        <v>0.18813655795090869</v>
      </c>
      <c r="K33" s="360">
        <f ca="1">+(M14+M11)/J28</f>
        <v>0.15282788078121787</v>
      </c>
      <c r="L33" s="359"/>
      <c r="M33" s="359"/>
      <c r="N33" s="359"/>
      <c r="O33" s="327"/>
      <c r="P33" s="327"/>
      <c r="Q33" s="327"/>
      <c r="S33" s="357">
        <v>3</v>
      </c>
      <c r="T33" s="390">
        <f ca="1">AJ28/Investment*100</f>
        <v>205.28199469693175</v>
      </c>
      <c r="U33" s="313">
        <f ca="1">EXP(y_inter3-(slope*LN(T33)))</f>
        <v>7.8332537148161228</v>
      </c>
      <c r="V33" s="388">
        <f ca="1">(+T33*U33/100)/100</f>
        <v>0.1608025947544604</v>
      </c>
      <c r="W33" s="388">
        <f>regDebt_weighted</f>
        <v>3.5860000000000003E-2</v>
      </c>
      <c r="X33" s="388">
        <f ca="1">+V33-W33</f>
        <v>0.1249425947544604</v>
      </c>
      <c r="Y33" s="388">
        <f ca="1">+((X33*(1-0.34))-Pfd_weighted)/Equity_percent</f>
        <v>0.22172125737774379</v>
      </c>
      <c r="Z33" s="388">
        <f ca="1">+Y33*equityP</f>
        <v>0.13303275442664628</v>
      </c>
      <c r="AA33" s="388">
        <f ca="1">+Z33/(1-taxrate)</f>
        <v>0.16839589167929908</v>
      </c>
      <c r="AB33" s="388">
        <f>debtP*Debt_Rate</f>
        <v>2.0000000000000004E-2</v>
      </c>
      <c r="AC33" s="388">
        <f ca="1">+AB33+AA33</f>
        <v>0.1883958916792991</v>
      </c>
      <c r="AD33" s="388">
        <f ca="1">+AC33/(T33/100)</f>
        <v>9.1774191865895263E-2</v>
      </c>
      <c r="AE33" s="388">
        <f ca="1">1-AD33</f>
        <v>0.9082258081341047</v>
      </c>
      <c r="AF33" s="386">
        <f ca="1">expenses/(AE33)</f>
        <v>2250209.4773796224</v>
      </c>
      <c r="AG33" s="387">
        <f ca="1">+AF33-Revenue</f>
        <v>117114.84498746833</v>
      </c>
      <c r="AH33" s="375">
        <f ca="1">+AG33/$J$49</f>
        <v>132220.85334410079</v>
      </c>
      <c r="AI33" s="375">
        <f ca="1">+AH33*$J$47</f>
        <v>2988.1912855766782</v>
      </c>
      <c r="AJ33" s="386">
        <f ca="1">ROUND(+AI33+AF33,5)</f>
        <v>2253197.66867</v>
      </c>
    </row>
    <row r="34" spans="1:47" ht="15.75">
      <c r="A34" s="327"/>
      <c r="B34" s="327"/>
      <c r="C34" s="327"/>
      <c r="D34" s="327"/>
      <c r="E34" s="327"/>
      <c r="F34" s="363">
        <f t="shared" si="0"/>
        <v>28</v>
      </c>
      <c r="G34" s="359"/>
      <c r="H34" s="361" t="s">
        <v>184</v>
      </c>
      <c r="I34" s="361"/>
      <c r="J34" s="360">
        <f ca="1">+(M9-M11)/J26</f>
        <v>0.28022759658484786</v>
      </c>
      <c r="K34" s="360">
        <f ca="1">+M14/J26</f>
        <v>0.2213798013020298</v>
      </c>
      <c r="L34" s="359"/>
      <c r="M34" s="359"/>
      <c r="N34" s="359"/>
      <c r="O34" s="396"/>
      <c r="P34" s="396"/>
      <c r="Q34" s="327"/>
      <c r="S34" s="371">
        <v>4</v>
      </c>
      <c r="T34" s="390">
        <f ca="1">AJ29/Investment*100</f>
        <v>205.12589204358721</v>
      </c>
      <c r="U34" s="389">
        <f ca="1">EXP(y_inter4-(slope*LN(T34)))</f>
        <v>7.7881087369745936</v>
      </c>
      <c r="V34" s="388">
        <f ca="1">(+T34*U34/100)/100</f>
        <v>0.15975427520043689</v>
      </c>
      <c r="W34" s="388">
        <f>regDebt_weighted</f>
        <v>3.5860000000000003E-2</v>
      </c>
      <c r="X34" s="388">
        <f ca="1">+V34-W34</f>
        <v>0.12389427520043689</v>
      </c>
      <c r="Y34" s="388">
        <f ca="1">+((X34*(1-0.34))-Pfd_weighted)/Equity_percent</f>
        <v>0.21970994660548937</v>
      </c>
      <c r="Z34" s="388">
        <f ca="1">+Y34*equityP</f>
        <v>0.13182596796329363</v>
      </c>
      <c r="AA34" s="388">
        <f ca="1">+Z34/(1-taxrate)</f>
        <v>0.16686831387758685</v>
      </c>
      <c r="AB34" s="388">
        <f>debtP*Debt_Rate</f>
        <v>2.0000000000000004E-2</v>
      </c>
      <c r="AC34" s="388">
        <f ca="1">+AB34+AA34</f>
        <v>0.18686831387758684</v>
      </c>
      <c r="AD34" s="388">
        <f ca="1">+AC34/(T34/100)</f>
        <v>9.1099330277563978E-2</v>
      </c>
      <c r="AE34" s="388">
        <f ca="1">1-AD34</f>
        <v>0.90890066972243599</v>
      </c>
      <c r="AF34" s="386">
        <f ca="1">expenses/(AE34)</f>
        <v>2248538.6898089121</v>
      </c>
      <c r="AG34" s="387">
        <f ca="1">+AF34-Revenue</f>
        <v>115444.05741675803</v>
      </c>
      <c r="AH34" s="375">
        <f ca="1">+AG34/$J$49</f>
        <v>130334.55995081089</v>
      </c>
      <c r="AI34" s="375">
        <f ca="1">+AH34*$J$47</f>
        <v>2945.5610548883265</v>
      </c>
      <c r="AJ34" s="386">
        <f ca="1">ROUND(+AI34+AF34,5)</f>
        <v>2251484.25086</v>
      </c>
    </row>
    <row r="35" spans="1:47" ht="15.75">
      <c r="A35" s="327"/>
      <c r="B35" s="327"/>
      <c r="C35" s="327"/>
      <c r="D35" s="327"/>
      <c r="E35" s="327"/>
      <c r="F35" s="363">
        <f t="shared" si="0"/>
        <v>29</v>
      </c>
      <c r="G35" s="359"/>
      <c r="H35" s="395" t="s">
        <v>127</v>
      </c>
      <c r="I35" s="361"/>
      <c r="J35" s="360">
        <f ca="1">+K8/K7</f>
        <v>0.90822999999999998</v>
      </c>
      <c r="K35" s="360">
        <f ca="1">+M8/M7</f>
        <v>0.908351695178373</v>
      </c>
      <c r="L35" s="359"/>
      <c r="M35" s="359"/>
      <c r="N35" s="359"/>
      <c r="O35" s="327"/>
      <c r="P35" s="327"/>
      <c r="Q35" s="327"/>
      <c r="S35" s="310" t="s">
        <v>185</v>
      </c>
      <c r="Y35" s="314"/>
      <c r="Z35" s="315"/>
      <c r="AA35" s="313"/>
      <c r="AB35" s="314"/>
      <c r="AD35" s="314"/>
      <c r="AE35" s="314"/>
      <c r="AF35" s="313"/>
      <c r="AG35" s="316"/>
      <c r="AI35" s="313"/>
    </row>
    <row r="36" spans="1:47" ht="15.75">
      <c r="A36" s="327"/>
      <c r="B36" s="327"/>
      <c r="C36" s="327"/>
      <c r="D36" s="327"/>
      <c r="E36" s="327"/>
      <c r="F36" s="363">
        <f t="shared" si="0"/>
        <v>30</v>
      </c>
      <c r="G36" s="359"/>
      <c r="H36" s="361" t="s">
        <v>186</v>
      </c>
      <c r="I36" s="361"/>
      <c r="J36" s="360">
        <f ca="1">+K9/K7</f>
        <v>9.1770000000000032E-2</v>
      </c>
      <c r="K36" s="360">
        <f ca="1">+J36</f>
        <v>9.1770000000000032E-2</v>
      </c>
      <c r="L36" s="359"/>
      <c r="M36" s="359"/>
      <c r="N36" s="359"/>
      <c r="O36" s="327"/>
      <c r="P36" s="327"/>
      <c r="Q36" s="327"/>
      <c r="S36" s="599">
        <v>1</v>
      </c>
      <c r="T36" s="600">
        <f ca="1">AJ31/Investment*100</f>
        <v>205.88892565623081</v>
      </c>
      <c r="U36" s="601">
        <f ca="1">EXP(y_inter1-(slope*LN(+T36)))</f>
        <v>8.0081488629863138</v>
      </c>
      <c r="V36" s="602">
        <f ca="1">(+T36*U36/100)/100</f>
        <v>0.16487891658954182</v>
      </c>
      <c r="W36" s="602">
        <f>regDebt_weighted</f>
        <v>3.5860000000000003E-2</v>
      </c>
      <c r="X36" s="602">
        <f ca="1">+V36-W36</f>
        <v>0.12901891658954182</v>
      </c>
      <c r="Y36" s="602">
        <f ca="1">+((X36*(1-0.34))-Pfd_weighted)/Equity_percent</f>
        <v>0.22954210741016742</v>
      </c>
      <c r="Z36" s="602">
        <f ca="1">+Y36*equityP</f>
        <v>0.13772526444610045</v>
      </c>
      <c r="AA36" s="602">
        <f ca="1">+Z36/(1-taxrate)</f>
        <v>0.17433577777987397</v>
      </c>
      <c r="AB36" s="602">
        <f>debtP*Debt_Rate</f>
        <v>2.0000000000000004E-2</v>
      </c>
      <c r="AC36" s="602">
        <f ca="1">+AB36+AA36</f>
        <v>0.19433577777987399</v>
      </c>
      <c r="AD36" s="602">
        <f ca="1">+AC36/(T36/100)</f>
        <v>9.4388650171672223E-2</v>
      </c>
      <c r="AE36" s="602">
        <f ca="1">1-AD36</f>
        <v>0.90561134982832781</v>
      </c>
      <c r="AF36" s="603">
        <f ca="1">expenses/(AE36)</f>
        <v>2256705.7286235895</v>
      </c>
      <c r="AG36" s="604">
        <f ca="1">+AF36-Revenue</f>
        <v>123611.09623143543</v>
      </c>
      <c r="AH36" s="605">
        <f ca="1">+AG36/$J$49</f>
        <v>139555.02078552902</v>
      </c>
      <c r="AI36" s="605">
        <f ca="1">+AH36*$J$47</f>
        <v>3153.9434697529559</v>
      </c>
      <c r="AJ36" s="603">
        <f ca="1">ROUND(+AI36+AF36,5)</f>
        <v>2259859.67209</v>
      </c>
    </row>
    <row r="37" spans="1:47" ht="15.75">
      <c r="A37" s="327"/>
      <c r="B37" s="327"/>
      <c r="C37" s="327"/>
      <c r="D37" s="327"/>
      <c r="E37" s="327"/>
      <c r="F37" s="363">
        <f t="shared" si="0"/>
        <v>31</v>
      </c>
      <c r="G37" s="359"/>
      <c r="H37" s="361" t="s">
        <v>187</v>
      </c>
      <c r="I37" s="366"/>
      <c r="J37" s="394">
        <f ca="1">+T39/100</f>
        <v>2.0512586752670643</v>
      </c>
      <c r="K37" s="394">
        <f ca="1">+J37</f>
        <v>2.0512586752670643</v>
      </c>
      <c r="L37" s="359"/>
      <c r="M37" s="359"/>
      <c r="N37" s="359"/>
      <c r="O37" s="327"/>
      <c r="P37" s="327"/>
      <c r="Q37" s="327"/>
      <c r="S37" s="393">
        <v>2</v>
      </c>
      <c r="T37" s="390">
        <f ca="1">AJ32/Investment*100</f>
        <v>205.52614464382191</v>
      </c>
      <c r="U37" s="392">
        <f ca="1">EXP(y_inter2-(slope*LN(+T37)))</f>
        <v>7.9037342361167262</v>
      </c>
      <c r="V37" s="388">
        <f ca="1">(+T37*U37/100)/100</f>
        <v>0.16244240258384532</v>
      </c>
      <c r="W37" s="388">
        <f>regDebt_weighted</f>
        <v>3.5860000000000003E-2</v>
      </c>
      <c r="X37" s="388">
        <f ca="1">+V37-W37</f>
        <v>0.12658240258384532</v>
      </c>
      <c r="Y37" s="388">
        <f ca="1">+((X37*(1-0.34))-Pfd_weighted)/Equity_percent</f>
        <v>0.22486740030621483</v>
      </c>
      <c r="Z37" s="388">
        <f ca="1">+Y37*equityP</f>
        <v>0.1349204401837289</v>
      </c>
      <c r="AA37" s="388">
        <f ca="1">+Z37/(1-taxrate)</f>
        <v>0.1707853673211758</v>
      </c>
      <c r="AB37" s="388">
        <f>debtP*Debt_Rate</f>
        <v>2.0000000000000004E-2</v>
      </c>
      <c r="AC37" s="388">
        <f ca="1">+AB37+AA37</f>
        <v>0.19078536732117579</v>
      </c>
      <c r="AD37" s="388">
        <f ca="1">+AC37/(T37/100)</f>
        <v>9.282778483088272E-2</v>
      </c>
      <c r="AE37" s="388">
        <f ca="1">1-AD37</f>
        <v>0.90717221516911728</v>
      </c>
      <c r="AF37" s="386">
        <f ca="1">expenses/(AE37)</f>
        <v>2252822.8784907586</v>
      </c>
      <c r="AG37" s="387">
        <f ca="1">+AF37-Revenue</f>
        <v>119728.24609860452</v>
      </c>
      <c r="AH37" s="375">
        <f ca="1">+AG37/$J$49</f>
        <v>135171.34288350822</v>
      </c>
      <c r="AI37" s="375">
        <f ca="1">+AH37*$J$47</f>
        <v>3054.8723491672858</v>
      </c>
      <c r="AJ37" s="386">
        <f ca="1">ROUND(+AI37+AF37,5)</f>
        <v>2255877.7508399999</v>
      </c>
    </row>
    <row r="38" spans="1:47" ht="15.75">
      <c r="A38" s="327"/>
      <c r="B38" s="327"/>
      <c r="C38" s="327"/>
      <c r="D38" s="327"/>
      <c r="E38" s="327"/>
      <c r="F38" s="363">
        <f t="shared" si="0"/>
        <v>32</v>
      </c>
      <c r="G38" s="359"/>
      <c r="H38" s="361" t="s">
        <v>188</v>
      </c>
      <c r="I38" s="359"/>
      <c r="J38" s="360">
        <f>+C10</f>
        <v>0.21</v>
      </c>
      <c r="K38" s="360">
        <f>+J38</f>
        <v>0.21</v>
      </c>
      <c r="L38" s="359"/>
      <c r="M38" s="359"/>
      <c r="N38" s="359"/>
      <c r="O38" s="327"/>
      <c r="P38" s="327"/>
      <c r="Q38" s="327"/>
      <c r="R38" s="391"/>
      <c r="S38" s="357">
        <v>3</v>
      </c>
      <c r="T38" s="390">
        <f ca="1">AJ33/Investment*100</f>
        <v>205.28197180084368</v>
      </c>
      <c r="U38" s="313">
        <f ca="1">EXP(y_inter3-(slope*LN(T38)))</f>
        <v>7.8332543121253027</v>
      </c>
      <c r="V38" s="388">
        <f ca="1">(+T38*U38/100)/100</f>
        <v>0.16080258908105435</v>
      </c>
      <c r="W38" s="388">
        <f>regDebt_weighted</f>
        <v>3.5860000000000003E-2</v>
      </c>
      <c r="X38" s="388">
        <f ca="1">+V38-W38</f>
        <v>0.12494258908105435</v>
      </c>
      <c r="Y38" s="388">
        <f ca="1">+((X38*(1-0.34))-Pfd_weighted)/Equity_percent</f>
        <v>0.22172124649272054</v>
      </c>
      <c r="Z38" s="388">
        <f ca="1">+Y38*equityP</f>
        <v>0.13303274789563233</v>
      </c>
      <c r="AA38" s="388">
        <f ca="1">+Z38/(1-taxrate)</f>
        <v>0.1683958834121928</v>
      </c>
      <c r="AB38" s="388">
        <f>debtP*Debt_Rate</f>
        <v>2.0000000000000004E-2</v>
      </c>
      <c r="AC38" s="388">
        <f ca="1">+AB38+AA38</f>
        <v>0.18839588341219282</v>
      </c>
      <c r="AD38" s="388">
        <f ca="1">+AC38/(T38/100)</f>
        <v>9.17741980747179E-2</v>
      </c>
      <c r="AE38" s="388">
        <f ca="1">1-AD38</f>
        <v>0.90822580192528213</v>
      </c>
      <c r="AF38" s="386">
        <f ca="1">expenses/(AE38)</f>
        <v>2250209.4927625274</v>
      </c>
      <c r="AG38" s="387">
        <f ca="1">+AF38-Revenue</f>
        <v>117114.86037037335</v>
      </c>
      <c r="AH38" s="375">
        <f ca="1">+AG38/$J$49</f>
        <v>132220.87071116327</v>
      </c>
      <c r="AI38" s="375">
        <f ca="1">+AH38*$J$47</f>
        <v>2988.19167807229</v>
      </c>
      <c r="AJ38" s="386">
        <f ca="1">ROUND(+AI38+AF38,5)</f>
        <v>2253197.68444</v>
      </c>
    </row>
    <row r="39" spans="1:47" ht="15.75">
      <c r="A39" s="327"/>
      <c r="B39" s="327"/>
      <c r="C39" s="327"/>
      <c r="D39" s="327"/>
      <c r="E39" s="327"/>
      <c r="F39" s="363">
        <f t="shared" si="0"/>
        <v>33</v>
      </c>
      <c r="G39" s="359"/>
      <c r="H39" s="359"/>
      <c r="I39" s="359"/>
      <c r="J39" s="359"/>
      <c r="K39" s="359"/>
      <c r="L39" s="359"/>
      <c r="M39" s="359"/>
      <c r="N39" s="359"/>
      <c r="O39" s="327"/>
      <c r="P39" s="327"/>
      <c r="Q39" s="327"/>
      <c r="S39" s="371">
        <v>4</v>
      </c>
      <c r="T39" s="390">
        <f ca="1">AJ34/Investment*100</f>
        <v>205.12586752670643</v>
      </c>
      <c r="U39" s="389">
        <f ca="1">EXP(y_inter4-(slope*LN(T39)))</f>
        <v>7.7881093733645352</v>
      </c>
      <c r="V39" s="388">
        <f ca="1">(+T39*U39/100)/100</f>
        <v>0.15975426916042743</v>
      </c>
      <c r="W39" s="388">
        <f>regDebt_weighted</f>
        <v>3.5860000000000003E-2</v>
      </c>
      <c r="X39" s="388">
        <f ca="1">+V39-W39</f>
        <v>0.12389426916042742</v>
      </c>
      <c r="Y39" s="388">
        <f ca="1">+((X39*(1-0.34))-Pfd_weighted)/Equity_percent</f>
        <v>0.21970993501709912</v>
      </c>
      <c r="Z39" s="388">
        <f ca="1">+Y39*equityP</f>
        <v>0.13182596101025948</v>
      </c>
      <c r="AA39" s="388">
        <f ca="1">+Z39/(1-taxrate)</f>
        <v>0.16686830507627781</v>
      </c>
      <c r="AB39" s="388">
        <f>debtP*Debt_Rate</f>
        <v>2.0000000000000004E-2</v>
      </c>
      <c r="AC39" s="388">
        <f ca="1">+AB39+AA39</f>
        <v>0.18686830507627783</v>
      </c>
      <c r="AD39" s="388">
        <f ca="1">+AC39/(T39/100)</f>
        <v>9.1099336875174186E-2</v>
      </c>
      <c r="AE39" s="388">
        <f ca="1">1-AD39</f>
        <v>0.90890066312482576</v>
      </c>
      <c r="AF39" s="386">
        <f ca="1">expenses/(AE39)</f>
        <v>2248538.7061308078</v>
      </c>
      <c r="AG39" s="387">
        <f ca="1">+AF39-Revenue</f>
        <v>115444.07373865368</v>
      </c>
      <c r="AH39" s="375">
        <f ca="1">+AG39/$J$49</f>
        <v>130334.57837797928</v>
      </c>
      <c r="AI39" s="375">
        <f ca="1">+AH39*$J$47</f>
        <v>2945.561471342332</v>
      </c>
      <c r="AJ39" s="386">
        <f ca="1">ROUND(+AI39+AF39,5)</f>
        <v>2251484.2675999999</v>
      </c>
    </row>
    <row r="40" spans="1:47" ht="15.75">
      <c r="A40" s="327"/>
      <c r="B40" s="327"/>
      <c r="C40" s="327"/>
      <c r="D40" s="327"/>
      <c r="E40" s="327"/>
      <c r="F40" s="363">
        <f t="shared" si="0"/>
        <v>34</v>
      </c>
      <c r="G40" s="366"/>
      <c r="H40" s="359"/>
      <c r="I40" s="359"/>
      <c r="J40" s="359"/>
      <c r="K40" s="359"/>
      <c r="L40" s="359"/>
      <c r="M40" s="359"/>
      <c r="N40" s="359"/>
      <c r="O40" s="327"/>
      <c r="P40" s="327"/>
      <c r="Q40" s="327"/>
      <c r="Y40" s="314"/>
      <c r="Z40" s="315"/>
      <c r="AA40" s="313"/>
      <c r="AB40" s="314"/>
      <c r="AD40" s="314"/>
      <c r="AE40" s="314"/>
      <c r="AF40" s="313"/>
      <c r="AG40" s="316"/>
      <c r="AI40" s="313"/>
    </row>
    <row r="41" spans="1:47" ht="15.75">
      <c r="A41" s="327"/>
      <c r="B41" s="327"/>
      <c r="C41" s="327"/>
      <c r="D41" s="327"/>
      <c r="E41" s="327"/>
      <c r="F41" s="363">
        <f t="shared" si="0"/>
        <v>35</v>
      </c>
      <c r="G41" s="359"/>
      <c r="H41" s="385" t="s">
        <v>189</v>
      </c>
      <c r="I41" s="384"/>
      <c r="J41" s="359"/>
      <c r="K41" s="359"/>
      <c r="L41" s="359"/>
      <c r="M41" s="359"/>
      <c r="N41" s="359"/>
      <c r="O41" s="327"/>
      <c r="P41" s="327"/>
      <c r="Q41" s="327"/>
      <c r="S41" s="561" t="s">
        <v>190</v>
      </c>
      <c r="T41" s="562"/>
      <c r="U41" s="607"/>
      <c r="V41" s="607"/>
      <c r="W41" s="608"/>
      <c r="Y41" s="383"/>
      <c r="Z41" s="315"/>
      <c r="AA41" s="313"/>
      <c r="AB41" s="314"/>
      <c r="AD41" s="314"/>
      <c r="AE41" s="314"/>
      <c r="AF41" s="313"/>
      <c r="AG41" s="316"/>
      <c r="AI41" s="313"/>
    </row>
    <row r="42" spans="1:47" ht="15.75">
      <c r="A42" s="327"/>
      <c r="B42" s="327"/>
      <c r="C42" s="327"/>
      <c r="D42" s="327"/>
      <c r="E42" s="327"/>
      <c r="F42" s="363">
        <f t="shared" si="0"/>
        <v>36</v>
      </c>
      <c r="G42" s="359"/>
      <c r="H42" s="359"/>
      <c r="I42" s="359"/>
      <c r="J42" s="382" t="s">
        <v>28</v>
      </c>
      <c r="K42" s="381" t="s">
        <v>128</v>
      </c>
      <c r="L42" s="359"/>
      <c r="M42" s="359"/>
      <c r="N42" s="359"/>
      <c r="O42" s="327"/>
      <c r="P42" s="327"/>
      <c r="Q42" s="327"/>
      <c r="S42" s="380" t="s">
        <v>191</v>
      </c>
      <c r="T42" s="379"/>
      <c r="W42" s="356"/>
      <c r="Y42" s="314"/>
      <c r="Z42" s="315"/>
      <c r="AA42" s="313"/>
      <c r="AB42" s="314"/>
      <c r="AD42" s="314"/>
      <c r="AE42" s="314"/>
      <c r="AF42" s="313"/>
      <c r="AI42" s="313"/>
    </row>
    <row r="43" spans="1:47" ht="15.75">
      <c r="A43" s="327"/>
      <c r="B43" s="327"/>
      <c r="C43" s="327"/>
      <c r="D43" s="327"/>
      <c r="E43" s="327"/>
      <c r="F43" s="363">
        <f t="shared" si="0"/>
        <v>37</v>
      </c>
      <c r="G43" s="359"/>
      <c r="H43" s="361" t="s">
        <v>192</v>
      </c>
      <c r="I43" s="373"/>
      <c r="J43" s="365">
        <f>IF($A$65=TRUE,C11,0)</f>
        <v>1.7500000000000002E-2</v>
      </c>
      <c r="K43" s="372">
        <f ca="1">+J43*($J$7/$J$49)</f>
        <v>2313.6597414656485</v>
      </c>
      <c r="L43" s="359"/>
      <c r="M43" s="359"/>
      <c r="N43" s="359"/>
      <c r="O43" s="327"/>
      <c r="P43" s="327"/>
      <c r="Q43" s="327"/>
      <c r="S43" s="357">
        <v>0</v>
      </c>
      <c r="T43" s="377">
        <v>1</v>
      </c>
      <c r="V43" s="378" t="s">
        <v>186</v>
      </c>
      <c r="W43" s="323">
        <f ca="1">VLOOKUP(S49,S36:AF39,12)</f>
        <v>9.17741980747179E-2</v>
      </c>
      <c r="AB43" s="314"/>
      <c r="AD43" s="314"/>
      <c r="AI43" s="313"/>
      <c r="AM43" s="314"/>
      <c r="AN43" s="314"/>
      <c r="AO43" s="314"/>
      <c r="AP43" s="314"/>
      <c r="AQ43" s="314"/>
      <c r="AR43" s="314"/>
      <c r="AS43" s="314"/>
      <c r="AT43" s="314"/>
      <c r="AU43" s="314"/>
    </row>
    <row r="44" spans="1:47" ht="15.75">
      <c r="A44" s="327"/>
      <c r="B44" s="327"/>
      <c r="C44" s="327"/>
      <c r="D44" s="327"/>
      <c r="E44" s="327"/>
      <c r="F44" s="363">
        <f t="shared" si="0"/>
        <v>38</v>
      </c>
      <c r="G44" s="359"/>
      <c r="H44" s="361" t="s">
        <v>193</v>
      </c>
      <c r="I44" s="373"/>
      <c r="J44" s="365">
        <f>IF($A$65=TRUE,C12,0)</f>
        <v>5.1000000000000004E-3</v>
      </c>
      <c r="K44" s="372">
        <f ca="1">+J44*($J$7/$J$49)</f>
        <v>674.26655322713179</v>
      </c>
      <c r="L44" s="359"/>
      <c r="M44" s="359"/>
      <c r="N44" s="359"/>
      <c r="O44" s="327"/>
      <c r="P44" s="327"/>
      <c r="Q44" s="327"/>
      <c r="S44" s="357">
        <v>50</v>
      </c>
      <c r="T44" s="377">
        <v>2</v>
      </c>
      <c r="V44" s="378" t="s">
        <v>127</v>
      </c>
      <c r="W44" s="323">
        <f ca="1">ROUND(1-W43,5)</f>
        <v>0.90822999999999998</v>
      </c>
      <c r="Z44" s="374"/>
      <c r="AA44" s="310"/>
      <c r="AB44" s="310"/>
      <c r="AD44" s="314"/>
      <c r="AG44" s="316"/>
      <c r="AI44" s="313"/>
      <c r="AM44" s="314"/>
      <c r="AN44" s="314"/>
      <c r="AO44" s="314"/>
      <c r="AP44" s="314"/>
      <c r="AQ44" s="314"/>
      <c r="AR44" s="314"/>
      <c r="AS44" s="314"/>
      <c r="AT44" s="314"/>
      <c r="AU44" s="314"/>
    </row>
    <row r="45" spans="1:47" ht="15.75">
      <c r="A45" s="327"/>
      <c r="B45" s="327"/>
      <c r="C45" s="327"/>
      <c r="D45" s="327"/>
      <c r="E45" s="327"/>
      <c r="F45" s="363">
        <f t="shared" si="0"/>
        <v>39</v>
      </c>
      <c r="G45" s="359"/>
      <c r="H45" s="361" t="s">
        <v>194</v>
      </c>
      <c r="I45" s="373"/>
      <c r="J45" s="365">
        <f>IF($A$65=TRUE,C13,0)</f>
        <v>0</v>
      </c>
      <c r="K45" s="372">
        <f ca="1">+J45*($J$7/$J$49)</f>
        <v>0</v>
      </c>
      <c r="L45" s="359"/>
      <c r="M45" s="359"/>
      <c r="N45" s="359"/>
      <c r="O45" s="327"/>
      <c r="P45" s="327"/>
      <c r="Q45" s="327"/>
      <c r="S45" s="357">
        <v>125</v>
      </c>
      <c r="T45" s="377">
        <v>3</v>
      </c>
      <c r="V45" s="309" t="s">
        <v>195</v>
      </c>
      <c r="W45" s="376">
        <f ca="1">+M7/Revenue-1</f>
        <v>5.6299605178909973E-2</v>
      </c>
      <c r="X45" s="375"/>
      <c r="Y45" s="314"/>
      <c r="Z45" s="374"/>
      <c r="AA45" s="313"/>
      <c r="AB45" s="314"/>
      <c r="AD45" s="314"/>
      <c r="AE45" s="314"/>
      <c r="AF45" s="313"/>
      <c r="AG45" s="316"/>
      <c r="AI45" s="313"/>
      <c r="AM45" s="314"/>
      <c r="AN45" s="314"/>
      <c r="AO45" s="314"/>
      <c r="AP45" s="314"/>
      <c r="AQ45" s="314"/>
      <c r="AR45" s="314"/>
      <c r="AS45" s="314"/>
      <c r="AT45" s="314"/>
      <c r="AU45" s="314"/>
    </row>
    <row r="46" spans="1:47" ht="15.75">
      <c r="A46" s="327"/>
      <c r="B46" s="327"/>
      <c r="C46" s="327"/>
      <c r="D46" s="327"/>
      <c r="E46" s="327"/>
      <c r="F46" s="363">
        <f t="shared" si="0"/>
        <v>40</v>
      </c>
      <c r="G46" s="359"/>
      <c r="H46" s="361" t="s">
        <v>196</v>
      </c>
      <c r="I46" s="373"/>
      <c r="J46" s="365">
        <f>IF($A$65=TRUE,C14,0)</f>
        <v>0</v>
      </c>
      <c r="K46" s="372">
        <f ca="1">+J46*($J$7/$J$49)</f>
        <v>0</v>
      </c>
      <c r="L46" s="359"/>
      <c r="M46" s="359"/>
      <c r="N46" s="359"/>
      <c r="O46" s="327"/>
      <c r="P46" s="327"/>
      <c r="Q46" s="327"/>
      <c r="S46" s="371">
        <v>401</v>
      </c>
      <c r="T46" s="370">
        <v>4</v>
      </c>
      <c r="U46" s="352"/>
      <c r="V46" s="352"/>
      <c r="W46" s="369"/>
      <c r="Y46" s="314"/>
      <c r="Z46" s="315"/>
      <c r="AA46" s="313"/>
      <c r="AB46" s="314"/>
      <c r="AD46" s="314"/>
      <c r="AE46" s="314"/>
      <c r="AF46" s="313"/>
      <c r="AG46" s="316"/>
      <c r="AI46" s="313"/>
      <c r="AM46" s="314"/>
      <c r="AN46" s="314"/>
      <c r="AO46" s="314"/>
      <c r="AP46" s="314"/>
      <c r="AQ46" s="314"/>
      <c r="AR46" s="314"/>
      <c r="AS46" s="314"/>
      <c r="AT46" s="314"/>
      <c r="AU46" s="314"/>
    </row>
    <row r="47" spans="1:47" ht="16.5" thickBot="1">
      <c r="A47" s="327"/>
      <c r="B47" s="327"/>
      <c r="C47" s="327"/>
      <c r="D47" s="327"/>
      <c r="E47" s="327"/>
      <c r="F47" s="363">
        <f t="shared" si="0"/>
        <v>41</v>
      </c>
      <c r="G47" s="359"/>
      <c r="H47" s="361" t="s">
        <v>197</v>
      </c>
      <c r="I47" s="366"/>
      <c r="J47" s="368">
        <f>SUM(J43:J46)</f>
        <v>2.2600000000000002E-2</v>
      </c>
      <c r="K47" s="367">
        <f ca="1">+K43+K44+K45+K46</f>
        <v>2987.9262946927802</v>
      </c>
      <c r="L47" s="359"/>
      <c r="M47" s="359"/>
      <c r="N47" s="359"/>
      <c r="O47" s="327"/>
      <c r="P47" s="327"/>
      <c r="Q47" s="327"/>
      <c r="S47" s="357"/>
      <c r="T47" s="310"/>
      <c r="Y47" s="314"/>
      <c r="Z47" s="315"/>
      <c r="AA47" s="313"/>
      <c r="AB47" s="314"/>
      <c r="AD47" s="314"/>
      <c r="AE47" s="314"/>
      <c r="AF47" s="313"/>
      <c r="AG47" s="316"/>
      <c r="AI47" s="313"/>
      <c r="AM47" s="314"/>
      <c r="AN47" s="314"/>
      <c r="AO47" s="314"/>
      <c r="AP47" s="314"/>
      <c r="AQ47" s="314"/>
      <c r="AR47" s="314"/>
      <c r="AS47" s="314"/>
      <c r="AT47" s="314"/>
      <c r="AU47" s="314"/>
    </row>
    <row r="48" spans="1:47" ht="16.5" thickTop="1">
      <c r="A48" s="327"/>
      <c r="B48" s="327"/>
      <c r="C48" s="327"/>
      <c r="D48" s="327"/>
      <c r="E48" s="327"/>
      <c r="F48" s="363">
        <f t="shared" si="0"/>
        <v>42</v>
      </c>
      <c r="G48" s="359"/>
      <c r="H48" s="361"/>
      <c r="I48" s="366"/>
      <c r="J48" s="365"/>
      <c r="K48" s="364"/>
      <c r="L48" s="359"/>
      <c r="M48" s="359"/>
      <c r="N48" s="359"/>
      <c r="O48" s="327"/>
      <c r="P48" s="327"/>
      <c r="Q48" s="327"/>
      <c r="S48" s="563">
        <f ca="1">VLOOKUP(S49,S36:T39,2)</f>
        <v>205.28197180084368</v>
      </c>
      <c r="T48" s="564" t="s">
        <v>198</v>
      </c>
      <c r="U48" s="608"/>
      <c r="W48" s="607"/>
      <c r="Y48" s="309" t="s">
        <v>199</v>
      </c>
      <c r="AD48" s="314"/>
      <c r="AG48" s="316"/>
      <c r="AI48" s="313"/>
    </row>
    <row r="49" spans="1:47" ht="15.75">
      <c r="A49" s="327"/>
      <c r="B49" s="327"/>
      <c r="C49" s="327"/>
      <c r="D49" s="327"/>
      <c r="E49" s="327"/>
      <c r="F49" s="363">
        <f t="shared" si="0"/>
        <v>43</v>
      </c>
      <c r="G49" s="362"/>
      <c r="H49" s="361" t="s">
        <v>200</v>
      </c>
      <c r="I49" s="359"/>
      <c r="J49" s="360">
        <f ca="1">((K35)-J47)</f>
        <v>0.88575169517837304</v>
      </c>
      <c r="K49" s="359"/>
      <c r="L49" s="359"/>
      <c r="M49" s="359"/>
      <c r="N49" s="359"/>
      <c r="O49" s="327"/>
      <c r="P49" s="327"/>
      <c r="Q49" s="327"/>
      <c r="S49" s="357">
        <f ca="1">VLOOKUP(T36,S43:T46,2)</f>
        <v>3</v>
      </c>
      <c r="T49" s="358" t="s">
        <v>201</v>
      </c>
      <c r="U49" s="356"/>
      <c r="Y49" s="309" t="s">
        <v>202</v>
      </c>
      <c r="AB49" s="310"/>
      <c r="AD49" s="314"/>
      <c r="AI49" s="313"/>
    </row>
    <row r="50" spans="1:47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55"/>
      <c r="L50" s="327"/>
      <c r="M50" s="327"/>
      <c r="N50" s="354"/>
      <c r="O50" s="327"/>
      <c r="P50" s="327"/>
      <c r="Q50" s="327"/>
      <c r="S50" s="357"/>
      <c r="U50" s="356"/>
      <c r="Y50" s="309" t="s">
        <v>203</v>
      </c>
      <c r="AB50" s="314"/>
      <c r="AD50" s="314"/>
      <c r="AE50" s="314"/>
      <c r="AF50" s="313"/>
      <c r="AI50" s="313"/>
    </row>
    <row r="51" spans="1:47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55"/>
      <c r="L51" s="327"/>
      <c r="M51" s="327"/>
      <c r="N51" s="354"/>
      <c r="O51" s="327"/>
      <c r="P51" s="327"/>
      <c r="Q51" s="327"/>
      <c r="S51" s="353">
        <f ca="1">+W44</f>
        <v>0.90822999999999998</v>
      </c>
      <c r="T51" s="352" t="s">
        <v>127</v>
      </c>
      <c r="U51" s="351"/>
      <c r="Y51" s="309" t="s">
        <v>204</v>
      </c>
      <c r="AB51" s="314"/>
      <c r="AD51" s="314"/>
      <c r="AE51" s="314"/>
      <c r="AF51" s="313"/>
      <c r="AG51" s="314"/>
      <c r="AI51" s="313"/>
      <c r="AM51" s="314"/>
      <c r="AN51" s="314"/>
      <c r="AO51" s="314"/>
      <c r="AP51" s="314"/>
      <c r="AQ51" s="314"/>
      <c r="AR51" s="314"/>
      <c r="AS51" s="314"/>
      <c r="AT51" s="314"/>
      <c r="AU51" s="314"/>
    </row>
    <row r="52" spans="1:47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AA52" s="313"/>
      <c r="AB52" s="314"/>
      <c r="AD52" s="314"/>
      <c r="AE52" s="314"/>
      <c r="AF52" s="313"/>
      <c r="AG52" s="316"/>
      <c r="AI52" s="313"/>
      <c r="AM52" s="314"/>
      <c r="AN52" s="314"/>
      <c r="AO52" s="314"/>
      <c r="AP52" s="314"/>
      <c r="AQ52" s="314"/>
      <c r="AR52" s="314"/>
      <c r="AS52" s="314"/>
      <c r="AT52" s="314"/>
      <c r="AU52" s="314"/>
    </row>
    <row r="53" spans="1:47">
      <c r="A53" s="327"/>
      <c r="B53" s="327"/>
      <c r="C53" s="327"/>
      <c r="D53" s="327"/>
      <c r="E53" s="327"/>
      <c r="F53" s="327"/>
      <c r="G53" s="327"/>
      <c r="H53" s="327"/>
      <c r="I53" s="327"/>
      <c r="J53" s="330"/>
      <c r="K53" s="330"/>
      <c r="L53" s="330"/>
      <c r="M53" s="330"/>
      <c r="N53" s="327"/>
      <c r="O53" s="327"/>
      <c r="P53" s="327"/>
      <c r="Q53" s="327"/>
      <c r="S53" s="309"/>
      <c r="AA53" s="313"/>
      <c r="AB53" s="314"/>
      <c r="AD53" s="314"/>
      <c r="AE53" s="314"/>
      <c r="AF53" s="313"/>
      <c r="AG53" s="316"/>
      <c r="AI53" s="313"/>
      <c r="AM53" s="314"/>
      <c r="AN53" s="314"/>
      <c r="AO53" s="314"/>
      <c r="AP53" s="314"/>
      <c r="AQ53" s="314"/>
      <c r="AR53" s="314"/>
      <c r="AS53" s="314"/>
      <c r="AT53" s="314"/>
      <c r="AU53" s="314"/>
    </row>
    <row r="54" spans="1:47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30"/>
      <c r="L54" s="330"/>
      <c r="M54" s="330"/>
      <c r="N54" s="327"/>
      <c r="O54" s="327"/>
      <c r="P54" s="327"/>
      <c r="Q54" s="327"/>
      <c r="S54" s="309"/>
      <c r="T54" s="309" t="s">
        <v>205</v>
      </c>
      <c r="U54" s="314"/>
      <c r="V54" s="350"/>
      <c r="X54" s="349" t="s">
        <v>206</v>
      </c>
      <c r="Y54" s="348"/>
      <c r="Z54" s="348"/>
      <c r="AA54" s="348"/>
      <c r="AD54" s="314"/>
      <c r="AG54" s="316"/>
      <c r="AI54" s="313"/>
      <c r="AM54" s="314"/>
      <c r="AN54" s="314"/>
      <c r="AO54" s="314"/>
      <c r="AP54" s="314"/>
      <c r="AQ54" s="314"/>
      <c r="AR54" s="314"/>
      <c r="AS54" s="314"/>
      <c r="AT54" s="314"/>
      <c r="AU54" s="314"/>
    </row>
    <row r="55" spans="1:47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39"/>
      <c r="M55" s="339"/>
      <c r="N55" s="327"/>
      <c r="O55" s="327"/>
      <c r="P55" s="327"/>
      <c r="Q55" s="327"/>
      <c r="S55" s="565"/>
      <c r="T55" s="566" t="s">
        <v>23</v>
      </c>
      <c r="U55" s="566" t="s">
        <v>207</v>
      </c>
      <c r="V55" s="567" t="s">
        <v>176</v>
      </c>
      <c r="X55" s="568" t="s">
        <v>208</v>
      </c>
      <c r="Y55" s="569">
        <v>5.7225999999999999</v>
      </c>
      <c r="Z55" s="570" t="s">
        <v>209</v>
      </c>
      <c r="AA55" s="571">
        <v>5.6985000000000001</v>
      </c>
      <c r="AB55" s="310"/>
      <c r="AD55" s="314"/>
      <c r="AI55" s="313"/>
    </row>
    <row r="56" spans="1:47">
      <c r="A56" s="327"/>
      <c r="B56" s="327"/>
      <c r="C56" s="327"/>
      <c r="D56" s="327"/>
      <c r="E56" s="327"/>
      <c r="F56" s="327"/>
      <c r="G56" s="327"/>
      <c r="H56" s="327"/>
      <c r="I56" s="327"/>
      <c r="J56" s="339"/>
      <c r="K56" s="327"/>
      <c r="L56" s="339"/>
      <c r="M56" s="339"/>
      <c r="N56" s="327"/>
      <c r="O56" s="327"/>
      <c r="P56" s="327"/>
      <c r="Q56" s="327"/>
      <c r="S56" s="311" t="s">
        <v>125</v>
      </c>
      <c r="T56" s="343">
        <v>0.56200000000000006</v>
      </c>
      <c r="U56" s="343">
        <v>6.3799999999999996E-2</v>
      </c>
      <c r="V56" s="323">
        <f>ROUND(+T56*U56,5)</f>
        <v>3.5860000000000003E-2</v>
      </c>
      <c r="X56" s="347" t="s">
        <v>210</v>
      </c>
      <c r="Y56" s="346">
        <v>5.7082699999999997</v>
      </c>
      <c r="Z56" s="345" t="s">
        <v>211</v>
      </c>
      <c r="AA56" s="344">
        <v>5.6921999999999997</v>
      </c>
      <c r="AB56" s="314"/>
      <c r="AD56" s="314"/>
      <c r="AE56" s="314"/>
      <c r="AF56" s="313"/>
      <c r="AI56" s="313"/>
    </row>
    <row r="57" spans="1:47">
      <c r="A57" s="327"/>
      <c r="B57" s="327"/>
      <c r="C57" s="327"/>
      <c r="D57" s="327"/>
      <c r="E57" s="330"/>
      <c r="F57" s="327"/>
      <c r="G57" s="327"/>
      <c r="H57" s="327"/>
      <c r="I57" s="327"/>
      <c r="J57" s="339"/>
      <c r="K57" s="327"/>
      <c r="L57" s="339"/>
      <c r="M57" s="339"/>
      <c r="N57" s="327"/>
      <c r="O57" s="327"/>
      <c r="P57" s="327"/>
      <c r="Q57" s="327"/>
      <c r="S57" s="311" t="s">
        <v>212</v>
      </c>
      <c r="T57" s="343">
        <v>9.4E-2</v>
      </c>
      <c r="U57" s="343">
        <v>6.59E-2</v>
      </c>
      <c r="V57" s="323">
        <f>ROUND(+T57*U57,5)</f>
        <v>6.1900000000000002E-3</v>
      </c>
      <c r="X57" s="311"/>
      <c r="Z57" s="342"/>
      <c r="AA57" s="341"/>
      <c r="AB57" s="314"/>
      <c r="AD57" s="314"/>
      <c r="AE57" s="314"/>
      <c r="AF57" s="313"/>
      <c r="AG57" s="316"/>
      <c r="AI57" s="313"/>
      <c r="AM57" s="314"/>
    </row>
    <row r="58" spans="1:47" ht="15.75">
      <c r="A58" s="327"/>
      <c r="B58" s="327"/>
      <c r="C58" s="327"/>
      <c r="D58" s="327"/>
      <c r="E58" s="330"/>
      <c r="F58" s="330"/>
      <c r="G58" s="330"/>
      <c r="H58" s="340"/>
      <c r="I58" s="330"/>
      <c r="J58" s="339"/>
      <c r="K58" s="327"/>
      <c r="L58" s="327"/>
      <c r="M58" s="327"/>
      <c r="N58" s="327"/>
      <c r="O58" s="327"/>
      <c r="P58" s="327"/>
      <c r="Q58" s="327"/>
      <c r="S58" s="311" t="s">
        <v>123</v>
      </c>
      <c r="T58" s="334">
        <v>0.34399999999999997</v>
      </c>
      <c r="U58" s="322"/>
      <c r="V58" s="338"/>
      <c r="X58" s="320"/>
      <c r="Y58" s="337" t="s">
        <v>213</v>
      </c>
      <c r="Z58" s="336">
        <v>0.68367</v>
      </c>
      <c r="AA58" s="335"/>
      <c r="AB58" s="314"/>
      <c r="AD58" s="314"/>
      <c r="AE58" s="314"/>
      <c r="AF58" s="313"/>
      <c r="AG58" s="316"/>
      <c r="AI58" s="313"/>
    </row>
    <row r="59" spans="1:47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S59" s="320"/>
      <c r="T59" s="334">
        <f>SUM(T56:T58)</f>
        <v>1</v>
      </c>
      <c r="U59" s="333"/>
      <c r="V59" s="332"/>
      <c r="Y59" s="314"/>
      <c r="Z59" s="315"/>
      <c r="AA59" s="313"/>
      <c r="AB59" s="314"/>
      <c r="AD59" s="314"/>
      <c r="AE59" s="314"/>
      <c r="AF59" s="313"/>
      <c r="AG59" s="316"/>
      <c r="AI59" s="313"/>
    </row>
    <row r="60" spans="1:47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Y60" s="331"/>
      <c r="AD60" s="314"/>
      <c r="AG60" s="316"/>
      <c r="AI60" s="313"/>
      <c r="AM60" s="316"/>
      <c r="AN60" s="316"/>
      <c r="AO60" s="316"/>
      <c r="AP60" s="316"/>
      <c r="AQ60" s="316"/>
      <c r="AR60" s="316"/>
      <c r="AS60" s="316"/>
      <c r="AT60" s="316"/>
      <c r="AU60" s="316"/>
    </row>
    <row r="61" spans="1:47">
      <c r="A61" s="327"/>
      <c r="B61" s="327"/>
      <c r="C61" s="327"/>
      <c r="D61" s="327"/>
      <c r="E61" s="330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X61" s="565" t="s">
        <v>181</v>
      </c>
      <c r="Y61" s="572"/>
      <c r="Z61" s="607" t="s">
        <v>214</v>
      </c>
      <c r="AA61" s="608" t="s">
        <v>106</v>
      </c>
      <c r="AD61" s="314"/>
      <c r="AI61" s="313"/>
      <c r="AM61" s="316"/>
      <c r="AN61" s="316"/>
      <c r="AO61" s="316"/>
      <c r="AP61" s="316"/>
      <c r="AQ61" s="316"/>
      <c r="AR61" s="316"/>
      <c r="AS61" s="316"/>
      <c r="AT61" s="316"/>
      <c r="AU61" s="316"/>
    </row>
    <row r="62" spans="1:47">
      <c r="A62" s="327"/>
      <c r="B62" s="327"/>
      <c r="C62" s="327"/>
      <c r="D62" s="327"/>
      <c r="E62" s="327"/>
      <c r="F62" s="330"/>
      <c r="G62" s="330"/>
      <c r="H62" s="330"/>
      <c r="I62" s="330"/>
      <c r="J62" s="330"/>
      <c r="K62" s="330"/>
      <c r="L62" s="330"/>
      <c r="M62" s="330"/>
      <c r="N62" s="330"/>
      <c r="O62" s="327"/>
      <c r="P62" s="327"/>
      <c r="Q62" s="327"/>
      <c r="X62" s="329"/>
      <c r="Y62" s="326"/>
      <c r="Z62" s="326"/>
      <c r="AA62" s="328"/>
      <c r="AD62" s="314"/>
      <c r="AE62" s="314"/>
      <c r="AF62" s="313"/>
      <c r="AI62" s="313"/>
      <c r="AM62" s="316"/>
      <c r="AN62" s="316"/>
      <c r="AO62" s="316"/>
      <c r="AP62" s="316"/>
      <c r="AQ62" s="316"/>
      <c r="AR62" s="316"/>
      <c r="AS62" s="316"/>
      <c r="AT62" s="316"/>
      <c r="AU62" s="316"/>
    </row>
    <row r="63" spans="1:47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X63" s="311" t="s">
        <v>183</v>
      </c>
      <c r="Y63" s="326"/>
      <c r="Z63" s="323">
        <f t="shared" ref="Z63:AA68" ca="1" si="1">+J33</f>
        <v>0.18813655795090869</v>
      </c>
      <c r="AA63" s="323">
        <f t="shared" ca="1" si="1"/>
        <v>0.15282788078121787</v>
      </c>
      <c r="AD63" s="314"/>
      <c r="AE63" s="314"/>
      <c r="AF63" s="313"/>
      <c r="AG63" s="316"/>
      <c r="AI63" s="313"/>
      <c r="AM63" s="316"/>
      <c r="AN63" s="316"/>
      <c r="AO63" s="316"/>
      <c r="AP63" s="316"/>
      <c r="AQ63" s="316"/>
      <c r="AR63" s="316"/>
      <c r="AS63" s="316"/>
      <c r="AT63" s="316"/>
      <c r="AU63" s="316"/>
    </row>
    <row r="64" spans="1:47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X64" s="311" t="s">
        <v>184</v>
      </c>
      <c r="Y64" s="326"/>
      <c r="Z64" s="323">
        <f t="shared" ca="1" si="1"/>
        <v>0.28022759658484786</v>
      </c>
      <c r="AA64" s="323">
        <f t="shared" ca="1" si="1"/>
        <v>0.2213798013020298</v>
      </c>
      <c r="AD64" s="314"/>
      <c r="AE64" s="314"/>
      <c r="AF64" s="313"/>
      <c r="AG64" s="316"/>
      <c r="AI64" s="313"/>
    </row>
    <row r="65" spans="1:39">
      <c r="A65" s="309" t="b">
        <v>1</v>
      </c>
      <c r="F65" s="327"/>
      <c r="G65" s="327"/>
      <c r="H65" s="327"/>
      <c r="I65" s="327"/>
      <c r="J65" s="327"/>
      <c r="K65" s="327"/>
      <c r="L65" s="327"/>
      <c r="M65" s="327"/>
      <c r="N65" s="327"/>
      <c r="X65" s="311" t="s">
        <v>127</v>
      </c>
      <c r="Y65" s="326"/>
      <c r="Z65" s="323">
        <f t="shared" ca="1" si="1"/>
        <v>0.90822999999999998</v>
      </c>
      <c r="AA65" s="323">
        <f t="shared" ca="1" si="1"/>
        <v>0.908351695178373</v>
      </c>
      <c r="AD65" s="314"/>
      <c r="AE65" s="314"/>
      <c r="AF65" s="313"/>
      <c r="AG65" s="316"/>
      <c r="AI65" s="313"/>
    </row>
    <row r="66" spans="1:39">
      <c r="H66" s="316"/>
      <c r="I66" s="316"/>
      <c r="J66" s="316"/>
      <c r="K66" s="316"/>
      <c r="L66" s="316"/>
      <c r="M66" s="316"/>
      <c r="N66" s="316"/>
      <c r="O66" s="316"/>
      <c r="P66" s="316"/>
      <c r="X66" s="311" t="s">
        <v>186</v>
      </c>
      <c r="Y66" s="326"/>
      <c r="Z66" s="323">
        <f t="shared" ca="1" si="1"/>
        <v>9.1770000000000032E-2</v>
      </c>
      <c r="AA66" s="323">
        <f t="shared" ca="1" si="1"/>
        <v>9.1770000000000032E-2</v>
      </c>
      <c r="AD66" s="314"/>
      <c r="AG66" s="316"/>
      <c r="AI66" s="313"/>
      <c r="AM66" s="316"/>
    </row>
    <row r="67" spans="1:39">
      <c r="H67" s="316"/>
      <c r="I67" s="316"/>
      <c r="J67" s="316"/>
      <c r="K67" s="316"/>
      <c r="L67" s="316"/>
      <c r="M67" s="316"/>
      <c r="N67" s="316"/>
      <c r="O67" s="316"/>
      <c r="P67" s="316"/>
      <c r="X67" s="311" t="s">
        <v>187</v>
      </c>
      <c r="Y67" s="325"/>
      <c r="Z67" s="323">
        <f t="shared" ca="1" si="1"/>
        <v>2.0512586752670643</v>
      </c>
      <c r="AA67" s="323">
        <f t="shared" ca="1" si="1"/>
        <v>2.0512586752670643</v>
      </c>
      <c r="AD67" s="314"/>
      <c r="AI67" s="313"/>
    </row>
    <row r="68" spans="1:39">
      <c r="O68" s="316"/>
      <c r="P68" s="316"/>
      <c r="X68" s="311" t="s">
        <v>188</v>
      </c>
      <c r="Y68" s="324"/>
      <c r="Z68" s="323">
        <f t="shared" si="1"/>
        <v>0.21</v>
      </c>
      <c r="AA68" s="323">
        <f t="shared" si="1"/>
        <v>0.21</v>
      </c>
      <c r="AD68" s="314"/>
      <c r="AE68" s="314"/>
      <c r="AF68" s="313"/>
      <c r="AI68" s="313"/>
    </row>
    <row r="69" spans="1:39" ht="15.75">
      <c r="O69" s="316"/>
      <c r="P69" s="316"/>
      <c r="X69" s="311"/>
      <c r="Z69" s="322"/>
      <c r="AA69" s="321"/>
      <c r="AD69" s="314"/>
      <c r="AE69" s="314"/>
      <c r="AF69" s="313"/>
      <c r="AG69" s="316"/>
      <c r="AI69" s="313"/>
    </row>
    <row r="70" spans="1:39">
      <c r="O70" s="316"/>
      <c r="P70" s="316"/>
      <c r="X70" s="320"/>
      <c r="Y70" s="319"/>
      <c r="Z70" s="318"/>
      <c r="AA70" s="317"/>
      <c r="AB70" s="314"/>
      <c r="AD70" s="314"/>
      <c r="AE70" s="314"/>
      <c r="AF70" s="313"/>
      <c r="AG70" s="316"/>
      <c r="AI70" s="313"/>
    </row>
    <row r="71" spans="1:39">
      <c r="Y71" s="314"/>
      <c r="Z71" s="315"/>
      <c r="AA71" s="313"/>
      <c r="AB71" s="314"/>
      <c r="AD71" s="314"/>
      <c r="AE71" s="314"/>
      <c r="AF71" s="313"/>
      <c r="AG71" s="316"/>
      <c r="AI71" s="313"/>
    </row>
    <row r="72" spans="1:39">
      <c r="AD72" s="314"/>
      <c r="AG72" s="316"/>
      <c r="AI72" s="313"/>
    </row>
    <row r="73" spans="1:39">
      <c r="Z73" s="310"/>
      <c r="AA73" s="310"/>
      <c r="AB73" s="310"/>
      <c r="AD73" s="314"/>
      <c r="AI73" s="313"/>
    </row>
    <row r="74" spans="1:39">
      <c r="Y74" s="314"/>
      <c r="Z74" s="315"/>
      <c r="AA74" s="313"/>
      <c r="AB74" s="314"/>
      <c r="AD74" s="314"/>
      <c r="AE74" s="314"/>
      <c r="AF74" s="313"/>
      <c r="AI74" s="313"/>
    </row>
    <row r="75" spans="1:39">
      <c r="Y75" s="314"/>
      <c r="Z75" s="315"/>
      <c r="AA75" s="313"/>
      <c r="AB75" s="314"/>
      <c r="AD75" s="314"/>
      <c r="AE75" s="314"/>
      <c r="AF75" s="313"/>
      <c r="AG75" s="316"/>
      <c r="AI75" s="313"/>
    </row>
    <row r="76" spans="1:39">
      <c r="Y76" s="314"/>
      <c r="Z76" s="315"/>
      <c r="AA76" s="313"/>
      <c r="AB76" s="314"/>
      <c r="AD76" s="314"/>
      <c r="AE76" s="314"/>
      <c r="AF76" s="313"/>
      <c r="AG76" s="316"/>
      <c r="AI76" s="313"/>
    </row>
    <row r="77" spans="1:39">
      <c r="Y77" s="314"/>
      <c r="Z77" s="315"/>
      <c r="AA77" s="313"/>
      <c r="AB77" s="314"/>
      <c r="AD77" s="314"/>
      <c r="AE77" s="314"/>
      <c r="AF77" s="313"/>
      <c r="AG77" s="316"/>
      <c r="AI77" s="313"/>
    </row>
    <row r="78" spans="1:39">
      <c r="AD78" s="314"/>
      <c r="AG78" s="316"/>
      <c r="AI78" s="313"/>
    </row>
    <row r="80" spans="1:39">
      <c r="Y80" s="314"/>
      <c r="Z80" s="315"/>
      <c r="AA80" s="313"/>
      <c r="AB80" s="314"/>
      <c r="AE80" s="314"/>
      <c r="AF80" s="313"/>
    </row>
    <row r="81" spans="25:33">
      <c r="Y81" s="314"/>
      <c r="Z81" s="315"/>
      <c r="AA81" s="313"/>
      <c r="AB81" s="314"/>
      <c r="AE81" s="314"/>
      <c r="AF81" s="313"/>
      <c r="AG81" s="316"/>
    </row>
    <row r="82" spans="25:33">
      <c r="Y82" s="314"/>
      <c r="Z82" s="315"/>
      <c r="AA82" s="313"/>
      <c r="AB82" s="314"/>
      <c r="AE82" s="314"/>
      <c r="AF82" s="313"/>
      <c r="AG82" s="316"/>
    </row>
    <row r="83" spans="25:33">
      <c r="Y83" s="314"/>
      <c r="Z83" s="315"/>
      <c r="AA83" s="313"/>
      <c r="AB83" s="314"/>
      <c r="AE83" s="314"/>
      <c r="AF83" s="313"/>
      <c r="AG83" s="316"/>
    </row>
    <row r="84" spans="25:33">
      <c r="AG84" s="316"/>
    </row>
    <row r="86" spans="25:33">
      <c r="Y86" s="314"/>
      <c r="Z86" s="315"/>
      <c r="AA86" s="313"/>
      <c r="AB86" s="314"/>
      <c r="AE86" s="314"/>
      <c r="AF86" s="313"/>
    </row>
    <row r="87" spans="25:33">
      <c r="Y87" s="314"/>
      <c r="Z87" s="315"/>
      <c r="AA87" s="313"/>
      <c r="AB87" s="314"/>
      <c r="AE87" s="314"/>
      <c r="AF87" s="313"/>
      <c r="AG87" s="316"/>
    </row>
    <row r="88" spans="25:33">
      <c r="Y88" s="314"/>
      <c r="Z88" s="315"/>
      <c r="AA88" s="313"/>
      <c r="AB88" s="314"/>
      <c r="AE88" s="314"/>
      <c r="AF88" s="313"/>
      <c r="AG88" s="316"/>
    </row>
    <row r="89" spans="25:33">
      <c r="Y89" s="314"/>
      <c r="Z89" s="315"/>
      <c r="AA89" s="313"/>
      <c r="AB89" s="314"/>
      <c r="AE89" s="314"/>
      <c r="AF89" s="313"/>
      <c r="AG89" s="316"/>
    </row>
    <row r="90" spans="25:33">
      <c r="AG90" s="316"/>
    </row>
    <row r="92" spans="25:33">
      <c r="Y92" s="314"/>
      <c r="Z92" s="315"/>
      <c r="AA92" s="313"/>
      <c r="AB92" s="314"/>
      <c r="AE92" s="314"/>
      <c r="AF92" s="313"/>
    </row>
    <row r="93" spans="25:33">
      <c r="Y93" s="314"/>
      <c r="Z93" s="315"/>
      <c r="AA93" s="313"/>
      <c r="AB93" s="314"/>
      <c r="AE93" s="314"/>
      <c r="AF93" s="313"/>
      <c r="AG93" s="316"/>
    </row>
    <row r="94" spans="25:33">
      <c r="Y94" s="314"/>
      <c r="Z94" s="315"/>
      <c r="AA94" s="313"/>
      <c r="AB94" s="314"/>
      <c r="AE94" s="314"/>
      <c r="AF94" s="313"/>
      <c r="AG94" s="316"/>
    </row>
    <row r="95" spans="25:33">
      <c r="Y95" s="314"/>
      <c r="Z95" s="315"/>
      <c r="AA95" s="313"/>
      <c r="AB95" s="314"/>
      <c r="AE95" s="314"/>
      <c r="AF95" s="313"/>
      <c r="AG95" s="316"/>
    </row>
    <row r="96" spans="25:33">
      <c r="AG96" s="316"/>
    </row>
    <row r="98" spans="25:33">
      <c r="Y98" s="314"/>
      <c r="Z98" s="315"/>
      <c r="AA98" s="313"/>
      <c r="AB98" s="314"/>
      <c r="AE98" s="314"/>
      <c r="AF98" s="313"/>
    </row>
    <row r="99" spans="25:33">
      <c r="Y99" s="314"/>
      <c r="Z99" s="315"/>
      <c r="AA99" s="313"/>
      <c r="AB99" s="314"/>
      <c r="AE99" s="314"/>
      <c r="AF99" s="313"/>
      <c r="AG99" s="316"/>
    </row>
    <row r="100" spans="25:33">
      <c r="Y100" s="314"/>
      <c r="Z100" s="315"/>
      <c r="AA100" s="313"/>
      <c r="AB100" s="314"/>
      <c r="AE100" s="314"/>
      <c r="AF100" s="313"/>
      <c r="AG100" s="316"/>
    </row>
    <row r="101" spans="25:33">
      <c r="Y101" s="314"/>
      <c r="Z101" s="315"/>
      <c r="AA101" s="313"/>
      <c r="AB101" s="314"/>
      <c r="AE101" s="314"/>
      <c r="AF101" s="313"/>
      <c r="AG101" s="316"/>
    </row>
    <row r="102" spans="25:33">
      <c r="AG102" s="316"/>
    </row>
    <row r="104" spans="25:33">
      <c r="Y104" s="314"/>
      <c r="Z104" s="315"/>
      <c r="AA104" s="313"/>
      <c r="AB104" s="314"/>
      <c r="AE104" s="314"/>
      <c r="AF104" s="313"/>
    </row>
    <row r="105" spans="25:33">
      <c r="Y105" s="314"/>
      <c r="Z105" s="315"/>
      <c r="AA105" s="313"/>
      <c r="AB105" s="314"/>
      <c r="AE105" s="314"/>
      <c r="AF105" s="313"/>
      <c r="AG105" s="316"/>
    </row>
    <row r="106" spans="25:33">
      <c r="Y106" s="314"/>
      <c r="Z106" s="315"/>
      <c r="AA106" s="313"/>
      <c r="AB106" s="314"/>
      <c r="AE106" s="314"/>
      <c r="AF106" s="313"/>
      <c r="AG106" s="316"/>
    </row>
    <row r="107" spans="25:33">
      <c r="Y107" s="314"/>
      <c r="Z107" s="315"/>
      <c r="AA107" s="313"/>
      <c r="AB107" s="314"/>
      <c r="AE107" s="314"/>
      <c r="AF107" s="313"/>
      <c r="AG107" s="316"/>
    </row>
    <row r="108" spans="25:33">
      <c r="AG108" s="316"/>
    </row>
    <row r="110" spans="25:33">
      <c r="Y110" s="314"/>
      <c r="Z110" s="315"/>
      <c r="AA110" s="313"/>
      <c r="AB110" s="314"/>
      <c r="AE110" s="314"/>
      <c r="AF110" s="313"/>
    </row>
    <row r="111" spans="25:33">
      <c r="Y111" s="314"/>
      <c r="Z111" s="315"/>
      <c r="AA111" s="313"/>
      <c r="AB111" s="314"/>
      <c r="AE111" s="314"/>
      <c r="AF111" s="313"/>
    </row>
    <row r="112" spans="25:33">
      <c r="Y112" s="314"/>
      <c r="Z112" s="315"/>
      <c r="AA112" s="313"/>
      <c r="AB112" s="314"/>
      <c r="AE112" s="314"/>
      <c r="AF112" s="313"/>
    </row>
    <row r="113" spans="25:32">
      <c r="Y113" s="314"/>
      <c r="Z113" s="315"/>
      <c r="AA113" s="313"/>
      <c r="AB113" s="314"/>
      <c r="AE113" s="314"/>
      <c r="AF113" s="313"/>
    </row>
  </sheetData>
  <mergeCells count="9">
    <mergeCell ref="P24:Q24"/>
    <mergeCell ref="B18:C18"/>
    <mergeCell ref="B2:C2"/>
    <mergeCell ref="AG2:AJ2"/>
    <mergeCell ref="B15:C15"/>
    <mergeCell ref="C16:D16"/>
    <mergeCell ref="B17:C17"/>
    <mergeCell ref="P13:Q17"/>
    <mergeCell ref="P18:Q18"/>
  </mergeCells>
  <pageMargins left="0.25" right="0.25" top="0.3" bottom="0.44" header="0.23" footer="0.21"/>
  <pageSetup scale="5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907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59073" r:id="rId4" name="CheckBox1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">
    <tabColor theme="5" tint="0.59999389629810485"/>
    <pageSetUpPr fitToPage="1"/>
  </sheetPr>
  <dimension ref="A1:AT113"/>
  <sheetViews>
    <sheetView workbookViewId="0">
      <selection activeCell="C8" sqref="C8"/>
    </sheetView>
  </sheetViews>
  <sheetFormatPr defaultColWidth="16.7109375" defaultRowHeight="15"/>
  <cols>
    <col min="1" max="1" width="4.85546875" style="309" customWidth="1"/>
    <col min="2" max="2" width="33.5703125" style="312" bestFit="1" customWidth="1"/>
    <col min="3" max="3" width="21.28515625" style="312" customWidth="1"/>
    <col min="4" max="4" width="21.28515625" style="312" hidden="1" customWidth="1"/>
    <col min="5" max="5" width="7.28515625" style="312" customWidth="1"/>
    <col min="6" max="6" width="5.7109375" style="309" customWidth="1"/>
    <col min="7" max="7" width="8.5703125" style="309" customWidth="1"/>
    <col min="8" max="8" width="15" style="309" customWidth="1"/>
    <col min="9" max="9" width="17.7109375" style="309" customWidth="1"/>
    <col min="10" max="10" width="13.28515625" style="309" customWidth="1"/>
    <col min="11" max="11" width="15.140625" style="309" bestFit="1" customWidth="1"/>
    <col min="12" max="13" width="18.42578125" style="309" customWidth="1"/>
    <col min="14" max="14" width="6.140625" style="309" customWidth="1"/>
    <col min="15" max="15" width="6.28515625" style="312" customWidth="1"/>
    <col min="16" max="16" width="40.42578125" style="312" customWidth="1"/>
    <col min="17" max="17" width="16.7109375" style="311"/>
    <col min="18" max="18" width="13.85546875" style="310" customWidth="1"/>
    <col min="19" max="19" width="16.7109375" style="309"/>
    <col min="20" max="20" width="13.42578125" style="309" customWidth="1"/>
    <col min="21" max="21" width="15.7109375" style="309" customWidth="1"/>
    <col min="22" max="22" width="16.7109375" style="309"/>
    <col min="23" max="24" width="17.7109375" style="309" customWidth="1"/>
    <col min="25" max="25" width="16" style="309" customWidth="1"/>
    <col min="26" max="26" width="16.7109375" style="309"/>
    <col min="27" max="27" width="15.85546875" style="309" customWidth="1"/>
    <col min="28" max="29" width="16.7109375" style="309"/>
    <col min="30" max="30" width="16.42578125" style="309" customWidth="1"/>
    <col min="31" max="31" width="17.28515625" style="309" customWidth="1"/>
    <col min="32" max="32" width="20.7109375" style="309" customWidth="1"/>
    <col min="33" max="33" width="18.140625" style="309" customWidth="1"/>
    <col min="34" max="34" width="16.42578125" style="309" customWidth="1"/>
    <col min="35" max="35" width="16.7109375" style="309"/>
    <col min="36" max="36" width="13.85546875" style="309" customWidth="1"/>
    <col min="37" max="37" width="16.42578125" style="309" customWidth="1"/>
    <col min="38" max="49" width="15.140625" style="309" customWidth="1"/>
    <col min="50" max="16384" width="16.7109375" style="309"/>
  </cols>
  <sheetData>
    <row r="1" spans="1:35" s="441" customFormat="1" ht="15.75" thickBot="1">
      <c r="A1" s="327"/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4"/>
      <c r="P1" s="444"/>
      <c r="Q1" s="443"/>
      <c r="R1" s="442"/>
    </row>
    <row r="2" spans="1:35" ht="19.5" thickBot="1">
      <c r="A2" s="327"/>
      <c r="B2" s="795" t="s">
        <v>86</v>
      </c>
      <c r="C2" s="795"/>
      <c r="D2" s="327"/>
      <c r="E2" s="327"/>
      <c r="F2" s="438" t="s">
        <v>87</v>
      </c>
      <c r="G2" s="439"/>
      <c r="H2" s="439"/>
      <c r="I2" s="440" t="s">
        <v>88</v>
      </c>
      <c r="J2" s="439"/>
      <c r="K2" s="439"/>
      <c r="L2" s="439"/>
      <c r="M2" s="438" t="s">
        <v>87</v>
      </c>
      <c r="O2" s="327"/>
      <c r="P2" s="327"/>
      <c r="R2" s="548" t="s">
        <v>89</v>
      </c>
      <c r="S2" s="549"/>
      <c r="T2" s="550"/>
      <c r="AF2" s="792" t="s">
        <v>90</v>
      </c>
      <c r="AG2" s="793"/>
      <c r="AH2" s="793"/>
      <c r="AI2" s="794"/>
    </row>
    <row r="3" spans="1:35" ht="15.75">
      <c r="A3" s="327"/>
      <c r="B3" s="327"/>
      <c r="C3" s="327"/>
      <c r="D3" s="327"/>
      <c r="E3" s="327"/>
      <c r="F3" s="437"/>
      <c r="G3" s="359"/>
      <c r="K3" s="436" t="s">
        <v>91</v>
      </c>
      <c r="M3" s="436" t="s">
        <v>92</v>
      </c>
      <c r="O3" s="327"/>
      <c r="P3" s="327"/>
      <c r="R3" s="309"/>
      <c r="T3" s="309" t="s">
        <v>93</v>
      </c>
      <c r="V3" s="310" t="s">
        <v>93</v>
      </c>
      <c r="W3" s="310" t="s">
        <v>93</v>
      </c>
      <c r="X3" s="310" t="s">
        <v>93</v>
      </c>
      <c r="Y3" s="310" t="s">
        <v>94</v>
      </c>
      <c r="Z3" s="310" t="s">
        <v>94</v>
      </c>
      <c r="AA3" s="310" t="s">
        <v>94</v>
      </c>
      <c r="AB3" s="310" t="s">
        <v>94</v>
      </c>
      <c r="AC3" s="310" t="s">
        <v>94</v>
      </c>
      <c r="AD3" s="310" t="s">
        <v>94</v>
      </c>
      <c r="AE3" s="310" t="s">
        <v>95</v>
      </c>
      <c r="AF3" s="310" t="s">
        <v>29</v>
      </c>
      <c r="AG3" s="310" t="s">
        <v>96</v>
      </c>
      <c r="AH3" s="310"/>
    </row>
    <row r="4" spans="1:35" ht="19.5" thickBot="1">
      <c r="A4" s="327"/>
      <c r="B4" s="435" t="s">
        <v>97</v>
      </c>
      <c r="C4" s="551"/>
      <c r="D4" s="423"/>
      <c r="E4" s="327"/>
      <c r="F4" s="362"/>
      <c r="G4" s="359"/>
      <c r="H4" s="432" t="s">
        <v>98</v>
      </c>
      <c r="I4" s="432" t="s">
        <v>99</v>
      </c>
      <c r="J4" s="432" t="s">
        <v>100</v>
      </c>
      <c r="K4" s="432" t="s">
        <v>101</v>
      </c>
      <c r="L4" s="432" t="s">
        <v>102</v>
      </c>
      <c r="M4" s="432" t="s">
        <v>103</v>
      </c>
      <c r="O4" s="434"/>
      <c r="P4" s="327"/>
      <c r="R4" s="309"/>
      <c r="T4" s="310" t="s">
        <v>104</v>
      </c>
      <c r="V4" s="310" t="s">
        <v>105</v>
      </c>
      <c r="W4" s="310" t="s">
        <v>20</v>
      </c>
      <c r="X4" s="310" t="s">
        <v>106</v>
      </c>
      <c r="Y4" s="310" t="s">
        <v>107</v>
      </c>
      <c r="Z4" s="310" t="s">
        <v>107</v>
      </c>
      <c r="AA4" s="310" t="s">
        <v>107</v>
      </c>
      <c r="AB4" s="310" t="s">
        <v>20</v>
      </c>
      <c r="AC4" s="310" t="s">
        <v>104</v>
      </c>
      <c r="AD4" s="310" t="s">
        <v>104</v>
      </c>
      <c r="AE4" s="310" t="s">
        <v>108</v>
      </c>
      <c r="AF4" s="310" t="s">
        <v>109</v>
      </c>
      <c r="AG4" s="310" t="s">
        <v>110</v>
      </c>
      <c r="AH4" s="310" t="s">
        <v>111</v>
      </c>
      <c r="AI4" s="310" t="s">
        <v>112</v>
      </c>
    </row>
    <row r="5" spans="1:35" ht="15.75">
      <c r="A5" s="327"/>
      <c r="B5" s="425" t="s">
        <v>113</v>
      </c>
      <c r="C5" s="512">
        <f>-'Results of Operations Co'!M21</f>
        <v>90645.74</v>
      </c>
      <c r="D5" s="423"/>
      <c r="E5" s="327"/>
      <c r="F5" s="433" t="s">
        <v>114</v>
      </c>
      <c r="G5" s="361"/>
      <c r="H5" s="361"/>
      <c r="I5" s="432" t="s">
        <v>115</v>
      </c>
      <c r="J5" s="432" t="s">
        <v>29</v>
      </c>
      <c r="K5" s="431" t="s">
        <v>116</v>
      </c>
      <c r="L5" s="431" t="s">
        <v>117</v>
      </c>
      <c r="M5" s="431" t="s">
        <v>29</v>
      </c>
      <c r="O5" s="419"/>
      <c r="P5" s="327"/>
      <c r="R5" s="324"/>
      <c r="T5" s="310" t="s">
        <v>118</v>
      </c>
      <c r="U5" s="310" t="s">
        <v>119</v>
      </c>
      <c r="V5" s="310" t="s">
        <v>120</v>
      </c>
      <c r="W5" s="310" t="s">
        <v>121</v>
      </c>
      <c r="X5" s="310" t="s">
        <v>122</v>
      </c>
      <c r="Y5" s="310" t="s">
        <v>123</v>
      </c>
      <c r="Z5" s="310" t="s">
        <v>124</v>
      </c>
      <c r="AA5" s="310" t="s">
        <v>125</v>
      </c>
      <c r="AB5" s="310" t="s">
        <v>126</v>
      </c>
      <c r="AC5" s="310" t="s">
        <v>118</v>
      </c>
      <c r="AD5" s="310" t="s">
        <v>127</v>
      </c>
      <c r="AE5" s="310" t="s">
        <v>128</v>
      </c>
      <c r="AF5" s="310" t="s">
        <v>129</v>
      </c>
      <c r="AG5" s="310" t="s">
        <v>129</v>
      </c>
      <c r="AH5" s="310" t="s">
        <v>128</v>
      </c>
      <c r="AI5" s="310" t="s">
        <v>95</v>
      </c>
    </row>
    <row r="6" spans="1:35" ht="15.75">
      <c r="A6" s="327"/>
      <c r="B6" s="425" t="s">
        <v>130</v>
      </c>
      <c r="C6" s="512">
        <f>-'Results of Operations Co'!M102</f>
        <v>83808.323476510428</v>
      </c>
      <c r="D6" s="423"/>
      <c r="E6" s="327"/>
      <c r="F6" s="430" t="s">
        <v>131</v>
      </c>
      <c r="G6" s="361"/>
      <c r="H6" s="361"/>
      <c r="I6" s="429"/>
      <c r="J6" s="427" t="s">
        <v>2</v>
      </c>
      <c r="K6" s="428"/>
      <c r="L6" s="427" t="s">
        <v>132</v>
      </c>
      <c r="M6" s="427" t="s">
        <v>133</v>
      </c>
      <c r="O6" s="419"/>
      <c r="P6" s="327"/>
      <c r="R6" s="554">
        <v>1</v>
      </c>
      <c r="S6" s="555">
        <f>Revenue/Investment*100</f>
        <v>403.86212989525552</v>
      </c>
      <c r="T6" s="556">
        <f>EXP(y_inter1-(slope*LN(+S6)))</f>
        <v>5.0523124088761184</v>
      </c>
      <c r="U6" s="557">
        <f>(+S6*T6/100)/100</f>
        <v>0.20404376503449381</v>
      </c>
      <c r="V6" s="557">
        <f>regDebt_weighted</f>
        <v>3.5860000000000003E-2</v>
      </c>
      <c r="W6" s="557">
        <f>+U6-V6</f>
        <v>0.16818376503449381</v>
      </c>
      <c r="X6" s="557">
        <f>+((W6*(1-0.34))-Pfd_weighted)/Equity_percent</f>
        <v>0.30468396779873808</v>
      </c>
      <c r="Y6" s="557">
        <f>X6*equityP</f>
        <v>0.18281038067924285</v>
      </c>
      <c r="Z6" s="557">
        <f>+Y6/(1-taxrate)</f>
        <v>0.23140554516359854</v>
      </c>
      <c r="AA6" s="557">
        <f>debtP*Debt_Rate</f>
        <v>2.0000000000000004E-2</v>
      </c>
      <c r="AB6" s="557">
        <f>AA6+Z6</f>
        <v>0.25140554516359853</v>
      </c>
      <c r="AC6" s="557">
        <f>AB6/(S6/100)</f>
        <v>6.2250339052290528E-2</v>
      </c>
      <c r="AD6" s="557">
        <f>1-AC6</f>
        <v>0.93774966094770951</v>
      </c>
      <c r="AE6" s="558">
        <f>expenses/(AD6)</f>
        <v>89371.744898112767</v>
      </c>
      <c r="AF6" s="559">
        <f>+AE6-Revenue</f>
        <v>-1273.995101887238</v>
      </c>
      <c r="AG6" s="560">
        <f ca="1">+AF6/$J$49</f>
        <v>-1390.4044430003614</v>
      </c>
      <c r="AH6" s="560">
        <f ca="1">+AG6*$J$47</f>
        <v>-31.42314041180817</v>
      </c>
      <c r="AI6" s="558">
        <f ca="1">ROUND(+AH6+AE6,5)</f>
        <v>89340.321760000006</v>
      </c>
    </row>
    <row r="7" spans="1:35" ht="15.75">
      <c r="A7" s="327"/>
      <c r="B7" s="425" t="s">
        <v>3</v>
      </c>
      <c r="C7" s="512">
        <f>'Results of Operations Co'!M108</f>
        <v>22444.723902067672</v>
      </c>
      <c r="D7" s="423"/>
      <c r="E7" s="327"/>
      <c r="F7" s="594">
        <v>1</v>
      </c>
      <c r="G7" s="361"/>
      <c r="H7" s="403" t="s">
        <v>113</v>
      </c>
      <c r="I7" s="364">
        <f>IF(A65=TRUE,C5,0)</f>
        <v>90645.74</v>
      </c>
      <c r="J7" s="364">
        <f ca="1">(+$I8/($R51))-I7</f>
        <v>-1383.4932468735497</v>
      </c>
      <c r="K7" s="364">
        <f ca="1">+I7+J7</f>
        <v>89262.246753126456</v>
      </c>
      <c r="L7" s="364">
        <f ca="1">((+J7/J49*K35)-J7)</f>
        <v>-34.123916560507951</v>
      </c>
      <c r="M7" s="364">
        <f ca="1">IFERROR(+K7+L7,0.00001)</f>
        <v>89228.122836565948</v>
      </c>
      <c r="O7" s="419"/>
      <c r="P7" s="804" t="s">
        <v>215</v>
      </c>
      <c r="R7" s="393">
        <v>2</v>
      </c>
      <c r="S7" s="390">
        <f>Revenue/Investment*100</f>
        <v>403.86212989525552</v>
      </c>
      <c r="T7" s="313">
        <f>EXP(y_inter1-(slope*LN(+S7)))</f>
        <v>5.0523124088761184</v>
      </c>
      <c r="U7" s="388">
        <f>(+S7*T7/100)/100</f>
        <v>0.20404376503449381</v>
      </c>
      <c r="V7" s="388">
        <f>regDebt_weighted</f>
        <v>3.5860000000000003E-2</v>
      </c>
      <c r="W7" s="388">
        <f>+U7-V7</f>
        <v>0.16818376503449381</v>
      </c>
      <c r="X7" s="388">
        <f>+((W7*(1-0.34))-Pfd_weighted)/Equity_percent</f>
        <v>0.30468396779873808</v>
      </c>
      <c r="Y7" s="388">
        <f>X7*equityP</f>
        <v>0.18281038067924285</v>
      </c>
      <c r="Z7" s="388">
        <f>+Y7/(1-taxrate)</f>
        <v>0.23140554516359854</v>
      </c>
      <c r="AA7" s="388">
        <f>debtP*Debt_Rate</f>
        <v>2.0000000000000004E-2</v>
      </c>
      <c r="AB7" s="388">
        <f>AA7+Z7</f>
        <v>0.25140554516359853</v>
      </c>
      <c r="AC7" s="388">
        <f>AB7/(S7/100)</f>
        <v>6.2250339052290528E-2</v>
      </c>
      <c r="AD7" s="388">
        <f>1-AC7</f>
        <v>0.93774966094770951</v>
      </c>
      <c r="AE7" s="386">
        <f>expenses/(AD7)</f>
        <v>89371.744898112767</v>
      </c>
      <c r="AF7" s="387">
        <f>+AE7-Revenue</f>
        <v>-1273.995101887238</v>
      </c>
      <c r="AG7" s="375">
        <f ca="1">+AF7/$J$49</f>
        <v>-1390.4044430003614</v>
      </c>
      <c r="AH7" s="375">
        <f ca="1">+AG7*$J$47</f>
        <v>-31.42314041180817</v>
      </c>
      <c r="AI7" s="386">
        <f ca="1">ROUND(+AH7+AE7,5)</f>
        <v>89340.321760000006</v>
      </c>
    </row>
    <row r="8" spans="1:35" ht="15.75">
      <c r="A8" s="327"/>
      <c r="B8" s="425" t="s">
        <v>134</v>
      </c>
      <c r="C8" s="552">
        <v>0.4</v>
      </c>
      <c r="D8" s="423"/>
      <c r="E8" s="327"/>
      <c r="F8" s="363">
        <f t="shared" ref="F8:F49" si="0">+F7+1</f>
        <v>2</v>
      </c>
      <c r="G8" s="361"/>
      <c r="H8" s="403" t="s">
        <v>130</v>
      </c>
      <c r="I8" s="364">
        <f>IF(A65=TRUE,C6,0)</f>
        <v>83808.323476510428</v>
      </c>
      <c r="J8" s="359"/>
      <c r="K8" s="364">
        <f>+I8</f>
        <v>83808.323476510428</v>
      </c>
      <c r="L8" s="364">
        <f ca="1">+L7</f>
        <v>-34.123916560507951</v>
      </c>
      <c r="M8" s="364">
        <f ca="1">IFERROR(+K8+L8,0.00001)</f>
        <v>83774.199559949921</v>
      </c>
      <c r="O8" s="419"/>
      <c r="P8" s="804"/>
      <c r="R8" s="357">
        <v>3</v>
      </c>
      <c r="S8" s="390">
        <f>Revenue/Investment*100</f>
        <v>403.86212989525552</v>
      </c>
      <c r="T8" s="313">
        <f>EXP(y_inter1-(slope*LN(+S8)))</f>
        <v>5.0523124088761184</v>
      </c>
      <c r="U8" s="388">
        <f>(+S8*T8/100)/100</f>
        <v>0.20404376503449381</v>
      </c>
      <c r="V8" s="388">
        <f>regDebt_weighted</f>
        <v>3.5860000000000003E-2</v>
      </c>
      <c r="W8" s="388">
        <f>+U8-V8</f>
        <v>0.16818376503449381</v>
      </c>
      <c r="X8" s="388">
        <f>+((W8*(1-0.34))-Pfd_weighted)/Equity_percent</f>
        <v>0.30468396779873808</v>
      </c>
      <c r="Y8" s="388">
        <f>X8*equityP</f>
        <v>0.18281038067924285</v>
      </c>
      <c r="Z8" s="388">
        <f>+Y8/(1-taxrate)</f>
        <v>0.23140554516359854</v>
      </c>
      <c r="AA8" s="388">
        <f>debtP*Debt_Rate</f>
        <v>2.0000000000000004E-2</v>
      </c>
      <c r="AB8" s="388">
        <f>AA8+Z8</f>
        <v>0.25140554516359853</v>
      </c>
      <c r="AC8" s="388">
        <f>AB8/(S8/100)</f>
        <v>6.2250339052290528E-2</v>
      </c>
      <c r="AD8" s="388">
        <f>1-AC8</f>
        <v>0.93774966094770951</v>
      </c>
      <c r="AE8" s="386">
        <f>expenses/(AD8)</f>
        <v>89371.744898112767</v>
      </c>
      <c r="AF8" s="387">
        <f>+AE8-Revenue</f>
        <v>-1273.995101887238</v>
      </c>
      <c r="AG8" s="375">
        <f ca="1">+AF8/$J$49</f>
        <v>-1390.4044430003614</v>
      </c>
      <c r="AH8" s="375">
        <f ca="1">+AG8*$J$47</f>
        <v>-31.42314041180817</v>
      </c>
      <c r="AI8" s="386">
        <f ca="1">ROUND(+AH8+AE8,5)</f>
        <v>89340.321760000006</v>
      </c>
    </row>
    <row r="9" spans="1:35" ht="15.75">
      <c r="A9" s="327"/>
      <c r="B9" s="425" t="s">
        <v>135</v>
      </c>
      <c r="C9" s="552">
        <v>0.05</v>
      </c>
      <c r="D9" s="423"/>
      <c r="E9" s="327"/>
      <c r="F9" s="363">
        <f t="shared" si="0"/>
        <v>3</v>
      </c>
      <c r="G9" s="361"/>
      <c r="H9" s="403" t="s">
        <v>136</v>
      </c>
      <c r="I9" s="595">
        <f>+I7-I8</f>
        <v>6837.4165234895772</v>
      </c>
      <c r="J9" s="359"/>
      <c r="K9" s="595">
        <f ca="1">+K7-K8</f>
        <v>5453.9232766160276</v>
      </c>
      <c r="L9" s="361"/>
      <c r="M9" s="596">
        <f ca="1">+M7-M8</f>
        <v>5453.9232766160276</v>
      </c>
      <c r="O9" s="419"/>
      <c r="P9" s="804"/>
      <c r="R9" s="371">
        <v>4</v>
      </c>
      <c r="S9" s="390">
        <f>Revenue/Investment*100</f>
        <v>403.86212989525552</v>
      </c>
      <c r="T9" s="313">
        <f>EXP(y_inter1-(slope*LN(+S9)))</f>
        <v>5.0523124088761184</v>
      </c>
      <c r="U9" s="388">
        <f>(+S9*T9/100)/100</f>
        <v>0.20404376503449381</v>
      </c>
      <c r="V9" s="388">
        <f>regDebt_weighted</f>
        <v>3.5860000000000003E-2</v>
      </c>
      <c r="W9" s="388">
        <f>+U9-V9</f>
        <v>0.16818376503449381</v>
      </c>
      <c r="X9" s="388">
        <f>+((W9*(1-0.34))-Pfd_weighted)/Equity_percent</f>
        <v>0.30468396779873808</v>
      </c>
      <c r="Y9" s="388">
        <f>X9*equityP</f>
        <v>0.18281038067924285</v>
      </c>
      <c r="Z9" s="388">
        <f>+Y9/(1-taxrate)</f>
        <v>0.23140554516359854</v>
      </c>
      <c r="AA9" s="388">
        <f>debtP*Debt_Rate</f>
        <v>2.0000000000000004E-2</v>
      </c>
      <c r="AB9" s="388">
        <f>AA9+Z9</f>
        <v>0.25140554516359853</v>
      </c>
      <c r="AC9" s="388">
        <f>AB9/(S9/100)</f>
        <v>6.2250339052290528E-2</v>
      </c>
      <c r="AD9" s="388">
        <f>1-AC9</f>
        <v>0.93774966094770951</v>
      </c>
      <c r="AE9" s="386">
        <f>expenses/(AD9)</f>
        <v>89371.744898112767</v>
      </c>
      <c r="AF9" s="387">
        <f>+AE9-Revenue</f>
        <v>-1273.995101887238</v>
      </c>
      <c r="AG9" s="375">
        <f ca="1">+AF9/$J$49</f>
        <v>-1390.4044430003614</v>
      </c>
      <c r="AH9" s="375">
        <f ca="1">+AG9*$J$47</f>
        <v>-31.42314041180817</v>
      </c>
      <c r="AI9" s="386">
        <f ca="1">ROUND(+AH9+AE9,5)</f>
        <v>89340.321760000006</v>
      </c>
    </row>
    <row r="10" spans="1:35" ht="15.75">
      <c r="A10" s="327"/>
      <c r="B10" s="426" t="s">
        <v>137</v>
      </c>
      <c r="C10" s="552">
        <v>0.21</v>
      </c>
      <c r="D10" s="423"/>
      <c r="E10" s="327"/>
      <c r="F10" s="363">
        <f t="shared" si="0"/>
        <v>4</v>
      </c>
      <c r="G10" s="361"/>
      <c r="H10" s="361"/>
      <c r="I10" s="359"/>
      <c r="J10" s="359"/>
      <c r="K10" s="364"/>
      <c r="L10" s="361"/>
      <c r="M10" s="361"/>
      <c r="N10" s="361"/>
      <c r="O10" s="419"/>
      <c r="P10" s="804"/>
      <c r="R10" s="310" t="s">
        <v>138</v>
      </c>
    </row>
    <row r="11" spans="1:35" ht="15.75">
      <c r="A11" s="327"/>
      <c r="B11" s="425" t="s">
        <v>139</v>
      </c>
      <c r="C11" s="553">
        <v>1.7500000000000002E-2</v>
      </c>
      <c r="D11" s="423"/>
      <c r="E11" s="327"/>
      <c r="F11" s="363">
        <f t="shared" si="0"/>
        <v>5</v>
      </c>
      <c r="G11" s="361"/>
      <c r="H11" s="403" t="s">
        <v>140</v>
      </c>
      <c r="I11" s="364">
        <f>+K11</f>
        <v>448.89447804135347</v>
      </c>
      <c r="J11" s="359"/>
      <c r="K11" s="364">
        <f>+M27</f>
        <v>448.89447804135347</v>
      </c>
      <c r="L11" s="361"/>
      <c r="M11" s="364">
        <f>+K11</f>
        <v>448.89447804135347</v>
      </c>
      <c r="O11" s="419"/>
      <c r="P11" s="327"/>
      <c r="R11" s="554">
        <v>1</v>
      </c>
      <c r="S11" s="555">
        <f ca="1">IF((AI6/Investment*100)&gt;0,(AI6/Investment*100),0)</f>
        <v>398.0459824313977</v>
      </c>
      <c r="T11" s="556">
        <f ca="1">EXP(y_inter1-(slope*LN(S11)))</f>
        <v>5.10266715783587</v>
      </c>
      <c r="U11" s="557">
        <f ca="1">(+S11*T11/100)/100</f>
        <v>0.2031096161861207</v>
      </c>
      <c r="V11" s="557">
        <f>regDebt_weighted</f>
        <v>3.5860000000000003E-2</v>
      </c>
      <c r="W11" s="557">
        <f ca="1">+U11-V11</f>
        <v>0.16724961618612069</v>
      </c>
      <c r="X11" s="557">
        <f ca="1">+((W11*(1-0.34))-Pfd_weighted)/Equity_percent</f>
        <v>0.30289170547337108</v>
      </c>
      <c r="Y11" s="557">
        <f ca="1">+X11*equityP</f>
        <v>0.18173502328402263</v>
      </c>
      <c r="Z11" s="557">
        <f ca="1">+Y11/(1-taxrate)</f>
        <v>0.23004433327091472</v>
      </c>
      <c r="AA11" s="557">
        <f>debtP*Debt_Rate</f>
        <v>2.0000000000000004E-2</v>
      </c>
      <c r="AB11" s="557">
        <f ca="1">+AA11+Z11</f>
        <v>0.25004433327091474</v>
      </c>
      <c r="AC11" s="557">
        <f ca="1">+AB11/(S11/100)</f>
        <v>6.2817951771189984E-2</v>
      </c>
      <c r="AD11" s="557">
        <f ca="1">1-AC11</f>
        <v>0.93718204822881002</v>
      </c>
      <c r="AE11" s="558">
        <f ca="1">expenses/(AD11)</f>
        <v>89425.873697538962</v>
      </c>
      <c r="AF11" s="559">
        <f ca="1">+AE11-Revenue</f>
        <v>-1219.8663024610432</v>
      </c>
      <c r="AG11" s="560">
        <f ca="1">+AF11/$J$49</f>
        <v>-1331.3297078581552</v>
      </c>
      <c r="AH11" s="560">
        <f ca="1">+AG11*$J$47</f>
        <v>-30.08805139759431</v>
      </c>
      <c r="AI11" s="558">
        <f ca="1">ROUND(+AH11+AE11,5)</f>
        <v>89395.785650000005</v>
      </c>
    </row>
    <row r="12" spans="1:35" ht="15.75">
      <c r="A12" s="327"/>
      <c r="B12" s="425" t="s">
        <v>141</v>
      </c>
      <c r="C12" s="553">
        <v>5.1000000000000004E-3</v>
      </c>
      <c r="D12" s="423"/>
      <c r="E12" s="327"/>
      <c r="F12" s="363">
        <f t="shared" si="0"/>
        <v>6</v>
      </c>
      <c r="G12" s="361"/>
      <c r="H12" s="403" t="s">
        <v>142</v>
      </c>
      <c r="I12" s="364" t="e">
        <f ca="1">IF(I14&lt;0,0,+J38*I14)</f>
        <v>#REF!</v>
      </c>
      <c r="J12" s="364" t="e">
        <f ca="1">+K12-I12</f>
        <v>#REF!</v>
      </c>
      <c r="K12" s="364">
        <f ca="1">+(K9-K11)*taxrate</f>
        <v>1051.0560477006816</v>
      </c>
      <c r="L12" s="361"/>
      <c r="M12" s="364">
        <f ca="1">+K12</f>
        <v>1051.0560477006816</v>
      </c>
      <c r="O12" s="419"/>
      <c r="P12" s="327"/>
      <c r="R12" s="393">
        <v>2</v>
      </c>
      <c r="S12" s="390">
        <f ca="1">IF((AI7/Investment*100)&gt;0,(AI7/Investment*100),0)</f>
        <v>398.0459824313977</v>
      </c>
      <c r="T12" s="392">
        <f ca="1">EXP(y_inter2-(slope*LN(+S12)))</f>
        <v>5.0300673573874723</v>
      </c>
      <c r="U12" s="388">
        <f ca="1">(+S12*T12/100)/100</f>
        <v>0.2002198102967401</v>
      </c>
      <c r="V12" s="388">
        <f>regDebt_weighted</f>
        <v>3.5860000000000003E-2</v>
      </c>
      <c r="W12" s="388">
        <f ca="1">+U12-V12</f>
        <v>0.1643598102967401</v>
      </c>
      <c r="X12" s="388">
        <f ca="1">+((W12*(1-0.34))-Pfd_weighted)/Equity_percent</f>
        <v>0.29734731045304785</v>
      </c>
      <c r="Y12" s="388">
        <f ca="1">+X12*equityP</f>
        <v>0.1784083862718287</v>
      </c>
      <c r="Z12" s="388">
        <f ca="1">+Y12/(1-taxrate)</f>
        <v>0.22583340034408694</v>
      </c>
      <c r="AA12" s="388">
        <f>debtP*Debt_Rate</f>
        <v>2.0000000000000004E-2</v>
      </c>
      <c r="AB12" s="388">
        <f ca="1">+AA12+Z12</f>
        <v>0.24583340034408696</v>
      </c>
      <c r="AC12" s="388">
        <f ca="1">+AB12/(S12/100)</f>
        <v>6.1760050646021983E-2</v>
      </c>
      <c r="AD12" s="388">
        <f ca="1">1-AC12</f>
        <v>0.93823994935397803</v>
      </c>
      <c r="AE12" s="386">
        <f ca="1">expenses/(AD12)</f>
        <v>89325.042633514342</v>
      </c>
      <c r="AF12" s="387">
        <f ca="1">+AE12-Revenue</f>
        <v>-1320.6973664856632</v>
      </c>
      <c r="AG12" s="375">
        <f ca="1">+AF12/$J$49</f>
        <v>-1441.3740551280982</v>
      </c>
      <c r="AH12" s="375">
        <f ca="1">+AG12*$J$47</f>
        <v>-32.575053645895025</v>
      </c>
      <c r="AI12" s="386">
        <f ca="1">ROUND(+AH12+AE12,5)</f>
        <v>89292.467579999997</v>
      </c>
    </row>
    <row r="13" spans="1:35" ht="15.75">
      <c r="A13" s="327"/>
      <c r="B13" s="425" t="s">
        <v>143</v>
      </c>
      <c r="C13" s="553">
        <v>0</v>
      </c>
      <c r="D13" s="423"/>
      <c r="E13" s="327"/>
      <c r="F13" s="363">
        <f t="shared" si="0"/>
        <v>7</v>
      </c>
      <c r="G13" s="361"/>
      <c r="H13" s="361"/>
      <c r="I13" s="359"/>
      <c r="J13" s="359"/>
      <c r="K13" s="364"/>
      <c r="L13" s="361"/>
      <c r="M13" s="361"/>
      <c r="O13" s="419"/>
      <c r="P13" s="327"/>
      <c r="R13" s="357">
        <v>3</v>
      </c>
      <c r="S13" s="390">
        <f ca="1">IF((AI8/Investment*100)&gt;0,(AI8/Investment*100),0)</f>
        <v>398.0459824313977</v>
      </c>
      <c r="T13" s="313">
        <f ca="1">EXP(y_inter3-(slope*LN(S13)))</f>
        <v>4.9811628866508579</v>
      </c>
      <c r="U13" s="388">
        <f ca="1">(+S13*T13/100)/100</f>
        <v>0.19827318748677578</v>
      </c>
      <c r="V13" s="388">
        <f>regDebt_weighted</f>
        <v>3.5860000000000003E-2</v>
      </c>
      <c r="W13" s="388">
        <f ca="1">+U13-V13</f>
        <v>0.16241318748677577</v>
      </c>
      <c r="X13" s="388">
        <f ca="1">+((W13*(1-0.34))-Pfd_weighted)/Equity_percent</f>
        <v>0.29361251087579071</v>
      </c>
      <c r="Y13" s="388">
        <f ca="1">+X13*equityP</f>
        <v>0.17616750652547442</v>
      </c>
      <c r="Z13" s="388">
        <f ca="1">+Y13/(1-taxrate)</f>
        <v>0.22299684370313216</v>
      </c>
      <c r="AA13" s="388">
        <f>debtP*Debt_Rate</f>
        <v>2.0000000000000004E-2</v>
      </c>
      <c r="AB13" s="388">
        <f ca="1">+AA13+Z13</f>
        <v>0.24299684370313218</v>
      </c>
      <c r="AC13" s="388">
        <f ca="1">+AB13/(S13/100)</f>
        <v>6.1047430304113706E-2</v>
      </c>
      <c r="AD13" s="388">
        <f ca="1">1-AC13</f>
        <v>0.93895256969588625</v>
      </c>
      <c r="AE13" s="386">
        <f ca="1">expenses/(AD13)</f>
        <v>89257.24917463593</v>
      </c>
      <c r="AF13" s="387">
        <f ca="1">+AE13-Revenue</f>
        <v>-1388.4908253640751</v>
      </c>
      <c r="AG13" s="375">
        <f ca="1">+AF13/$J$49</f>
        <v>-1515.3620369431565</v>
      </c>
      <c r="AH13" s="375">
        <f ca="1">+AG13*$J$47</f>
        <v>-34.24718203491534</v>
      </c>
      <c r="AI13" s="386">
        <f ca="1">ROUND(+AH13+AE13,5)</f>
        <v>89223.001990000004</v>
      </c>
    </row>
    <row r="14" spans="1:35" ht="16.5" thickBot="1">
      <c r="A14" s="327"/>
      <c r="B14" s="424" t="s">
        <v>145</v>
      </c>
      <c r="C14" s="553">
        <v>0</v>
      </c>
      <c r="D14" s="423"/>
      <c r="E14" s="327"/>
      <c r="F14" s="363">
        <f t="shared" si="0"/>
        <v>8</v>
      </c>
      <c r="G14" s="361"/>
      <c r="H14" s="361" t="s">
        <v>146</v>
      </c>
      <c r="I14" s="609" t="e">
        <f ca="1">+I9-SUM(I11:I13)</f>
        <v>#REF!</v>
      </c>
      <c r="J14" s="359"/>
      <c r="K14" s="609">
        <f ca="1">+K9-SUM(K11:K13)</f>
        <v>3953.9727508739925</v>
      </c>
      <c r="L14" s="361"/>
      <c r="M14" s="609">
        <f ca="1">+M9-SUM(M11:M13)</f>
        <v>3953.9727508739925</v>
      </c>
      <c r="O14" s="419"/>
      <c r="P14" s="327"/>
      <c r="R14" s="371">
        <v>4</v>
      </c>
      <c r="S14" s="390">
        <f ca="1">IF((AI9/Investment*100)&gt;0,(AI9/Investment*100),0)</f>
        <v>398.0459824313977</v>
      </c>
      <c r="T14" s="389">
        <f ca="1">EXP(y_inter4-(slope*LN(S14)))</f>
        <v>4.9498802043815067</v>
      </c>
      <c r="U14" s="388">
        <f ca="1">(+S14*T14/100)/100</f>
        <v>0.19702799288707645</v>
      </c>
      <c r="V14" s="388">
        <f>regDebt_weighted</f>
        <v>3.5860000000000003E-2</v>
      </c>
      <c r="W14" s="388">
        <f ca="1">+U14-V14</f>
        <v>0.16116799288707645</v>
      </c>
      <c r="X14" s="388">
        <f ca="1">+((W14*(1-0.34))-Pfd_weighted)/Equity_percent</f>
        <v>0.29122347472520482</v>
      </c>
      <c r="Y14" s="388">
        <f ca="1">+X14*equityP</f>
        <v>0.1747340848351229</v>
      </c>
      <c r="Z14" s="388">
        <f ca="1">+Y14/(1-taxrate)</f>
        <v>0.22118238586724417</v>
      </c>
      <c r="AA14" s="388">
        <f>debtP*Debt_Rate</f>
        <v>2.0000000000000004E-2</v>
      </c>
      <c r="AB14" s="388">
        <f ca="1">+AA14+Z14</f>
        <v>0.24118238586724416</v>
      </c>
      <c r="AC14" s="388">
        <f ca="1">+AB14/(S14/100)</f>
        <v>6.0591589040547948E-2</v>
      </c>
      <c r="AD14" s="388">
        <f ca="1">1-AC14</f>
        <v>0.93940841095945204</v>
      </c>
      <c r="AE14" s="386">
        <f ca="1">expenses/(AD14)</f>
        <v>89213.937728015371</v>
      </c>
      <c r="AF14" s="387">
        <f ca="1">+AE14-Revenue</f>
        <v>-1431.802271984634</v>
      </c>
      <c r="AG14" s="375">
        <f ca="1">+AF14/$J$49</f>
        <v>-1562.6310003204803</v>
      </c>
      <c r="AH14" s="375">
        <f ca="1">+AG14*$J$47</f>
        <v>-35.315460607242862</v>
      </c>
      <c r="AI14" s="386">
        <f ca="1">ROUND(+AH14+AE14,5)</f>
        <v>89178.622270000007</v>
      </c>
    </row>
    <row r="15" spans="1:35" ht="16.5" thickTop="1">
      <c r="A15" s="327"/>
      <c r="B15" s="797"/>
      <c r="C15" s="797"/>
      <c r="D15" s="327"/>
      <c r="E15" s="327"/>
      <c r="F15" s="363">
        <f t="shared" si="0"/>
        <v>9</v>
      </c>
      <c r="G15" s="359"/>
      <c r="H15" s="359"/>
      <c r="I15" s="359"/>
      <c r="J15" s="359"/>
      <c r="K15" s="422"/>
      <c r="L15" s="359"/>
      <c r="M15" s="359"/>
      <c r="O15" s="419"/>
      <c r="P15" s="327"/>
      <c r="R15" s="310" t="s">
        <v>147</v>
      </c>
    </row>
    <row r="16" spans="1:35" ht="15.75">
      <c r="A16" s="327"/>
      <c r="B16" s="610" t="s">
        <v>148</v>
      </c>
      <c r="C16" s="797"/>
      <c r="D16" s="797"/>
      <c r="E16" s="327"/>
      <c r="F16" s="363">
        <f t="shared" si="0"/>
        <v>10</v>
      </c>
      <c r="G16" s="359"/>
      <c r="H16" s="403" t="s">
        <v>149</v>
      </c>
      <c r="I16" s="405">
        <f>+I8/I7</f>
        <v>0.92456990782479598</v>
      </c>
      <c r="J16" s="421"/>
      <c r="K16" s="405">
        <f ca="1">+K8/K7</f>
        <v>0.93889999999999996</v>
      </c>
      <c r="L16" s="420"/>
      <c r="M16" s="405">
        <f ca="1">+M8/M7</f>
        <v>0.93887663324929893</v>
      </c>
      <c r="O16" s="419"/>
      <c r="P16" s="327"/>
      <c r="R16" s="611">
        <v>1</v>
      </c>
      <c r="S16" s="612">
        <f ca="1">AI11/Investment*100</f>
        <v>398.2930956961543</v>
      </c>
      <c r="T16" s="613">
        <f ca="1">EXP(y_inter1-(slope*LN(+S16)))</f>
        <v>5.10050254778265</v>
      </c>
      <c r="U16" s="614">
        <f ca="1">(+S16*T16/100)/100</f>
        <v>0.20314949493624737</v>
      </c>
      <c r="V16" s="614">
        <f>regDebt_weighted</f>
        <v>3.5860000000000003E-2</v>
      </c>
      <c r="W16" s="614">
        <f ca="1">+U16-V16</f>
        <v>0.16728949493624737</v>
      </c>
      <c r="X16" s="614">
        <f ca="1">+((W16*(1-0.34))-Pfd_weighted)/Equity_percent</f>
        <v>0.30296821702884669</v>
      </c>
      <c r="Y16" s="614">
        <f ca="1">+X16*equityP</f>
        <v>0.18178093021730801</v>
      </c>
      <c r="Z16" s="614">
        <f ca="1">+Y16/(1-taxrate)</f>
        <v>0.23010244331304811</v>
      </c>
      <c r="AA16" s="614">
        <f>debtP*Debt_Rate</f>
        <v>2.0000000000000004E-2</v>
      </c>
      <c r="AB16" s="614">
        <f ca="1">+AA16+Z16</f>
        <v>0.2501024433130481</v>
      </c>
      <c r="AC16" s="614">
        <f ca="1">+AB16/(S16/100)</f>
        <v>6.2793567354188742E-2</v>
      </c>
      <c r="AD16" s="614">
        <f ca="1">1-AC16</f>
        <v>0.93720643264581127</v>
      </c>
      <c r="AE16" s="615">
        <f ca="1">expenses/(AD16)</f>
        <v>89423.546997978454</v>
      </c>
      <c r="AF16" s="616">
        <f ca="1">+AE16-Revenue</f>
        <v>-1222.1930020215514</v>
      </c>
      <c r="AG16" s="617">
        <f ca="1">+AF16/$J$49</f>
        <v>-1333.8690060090391</v>
      </c>
      <c r="AH16" s="617">
        <f ca="1">+AG16*$J$47</f>
        <v>-30.145439535804286</v>
      </c>
      <c r="AI16" s="615">
        <f ca="1">ROUND(+AH16+AE16,5)</f>
        <v>89393.401559999998</v>
      </c>
    </row>
    <row r="17" spans="1:35" ht="15.75">
      <c r="A17" s="327"/>
      <c r="B17" s="808"/>
      <c r="C17" s="797"/>
      <c r="D17" s="327" t="s">
        <v>150</v>
      </c>
      <c r="E17" s="327"/>
      <c r="F17" s="363">
        <f t="shared" si="0"/>
        <v>11</v>
      </c>
      <c r="G17" s="359"/>
      <c r="H17" s="359"/>
      <c r="I17" s="359"/>
      <c r="K17" s="359"/>
      <c r="L17" s="403"/>
      <c r="M17" s="403"/>
      <c r="N17" s="405"/>
      <c r="O17" s="327"/>
      <c r="P17" s="327"/>
      <c r="R17" s="393">
        <v>2</v>
      </c>
      <c r="S17" s="390">
        <f ca="1">AI12/Investment*100</f>
        <v>397.83277339301162</v>
      </c>
      <c r="T17" s="392">
        <f ca="1">EXP(y_inter2-(slope*LN(+S17)))</f>
        <v>5.0319102013837362</v>
      </c>
      <c r="U17" s="388">
        <f ca="1">(+S17*T17/100)/100</f>
        <v>0.20018587908810795</v>
      </c>
      <c r="V17" s="388">
        <f>regDebt_weighted</f>
        <v>3.5860000000000003E-2</v>
      </c>
      <c r="W17" s="388">
        <f ca="1">+U17-V17</f>
        <v>0.16432587908810795</v>
      </c>
      <c r="X17" s="388">
        <f ca="1">+((W17*(1-0.34))-Pfd_weighted)/Equity_percent</f>
        <v>0.29728220987834664</v>
      </c>
      <c r="Y17" s="388">
        <f ca="1">+X17*equityP</f>
        <v>0.17836932592700797</v>
      </c>
      <c r="Z17" s="388">
        <f ca="1">+Y17/(1-taxrate)</f>
        <v>0.22578395686963032</v>
      </c>
      <c r="AA17" s="388">
        <f>debtP*Debt_Rate</f>
        <v>2.0000000000000004E-2</v>
      </c>
      <c r="AB17" s="388">
        <f ca="1">+AA17+Z17</f>
        <v>0.24578395686963034</v>
      </c>
      <c r="AC17" s="388">
        <f ca="1">+AB17/(S17/100)</f>
        <v>6.1780721274771626E-2</v>
      </c>
      <c r="AD17" s="388">
        <f ca="1">1-AC17</f>
        <v>0.93821927872522837</v>
      </c>
      <c r="AE17" s="386">
        <f ca="1">expenses/(AD17)</f>
        <v>89327.010622060508</v>
      </c>
      <c r="AF17" s="387">
        <f ca="1">+AE17-Revenue</f>
        <v>-1318.7293779394968</v>
      </c>
      <c r="AG17" s="375">
        <f ca="1">+AF17/$J$49</f>
        <v>-1439.226244658254</v>
      </c>
      <c r="AH17" s="375">
        <f ca="1">+AG17*$J$47</f>
        <v>-32.526513129276545</v>
      </c>
      <c r="AI17" s="386">
        <f ca="1">ROUND(+AH17+AE17,5)</f>
        <v>89294.484110000005</v>
      </c>
    </row>
    <row r="18" spans="1:35" ht="15.75">
      <c r="A18" s="327"/>
      <c r="B18" s="807" t="s">
        <v>151</v>
      </c>
      <c r="C18" s="807"/>
      <c r="D18" s="327"/>
      <c r="E18" s="327"/>
      <c r="F18" s="363">
        <f t="shared" si="0"/>
        <v>12</v>
      </c>
      <c r="G18" s="359"/>
      <c r="H18" s="618" t="s">
        <v>152</v>
      </c>
      <c r="I18" s="619"/>
      <c r="J18" s="619"/>
      <c r="K18" s="619"/>
      <c r="L18" s="619"/>
      <c r="M18" s="620"/>
      <c r="O18" s="327"/>
      <c r="P18" s="327"/>
      <c r="R18" s="357">
        <v>3</v>
      </c>
      <c r="S18" s="390">
        <f ca="1">AI13/Investment*100</f>
        <v>397.52327709311015</v>
      </c>
      <c r="T18" s="313">
        <f ca="1">EXP(y_inter3-(slope*LN(S18)))</f>
        <v>4.9856398275360112</v>
      </c>
      <c r="U18" s="388">
        <f ca="1">(+S18*T18/100)/100</f>
        <v>0.19819078826480435</v>
      </c>
      <c r="V18" s="388">
        <f>regDebt_weighted</f>
        <v>3.5860000000000003E-2</v>
      </c>
      <c r="W18" s="388">
        <f ca="1">+U18-V18</f>
        <v>0.16233078826480435</v>
      </c>
      <c r="X18" s="388">
        <f ca="1">+((W18*(1-0.34))-Pfd_weighted)/Equity_percent</f>
        <v>0.29345441934526412</v>
      </c>
      <c r="Y18" s="388">
        <f ca="1">+X18*equityP</f>
        <v>0.17607265160715846</v>
      </c>
      <c r="Z18" s="388">
        <f ca="1">+Y18/(1-taxrate)</f>
        <v>0.22287677418627652</v>
      </c>
      <c r="AA18" s="388">
        <f>debtP*Debt_Rate</f>
        <v>2.0000000000000004E-2</v>
      </c>
      <c r="AB18" s="388">
        <f ca="1">+AA18+Z18</f>
        <v>0.24287677418627651</v>
      </c>
      <c r="AC18" s="388">
        <f ca="1">+AB18/(S18/100)</f>
        <v>6.1097497475446835E-2</v>
      </c>
      <c r="AD18" s="388">
        <f ca="1">1-AC18</f>
        <v>0.93890250252455321</v>
      </c>
      <c r="AE18" s="386">
        <f ca="1">expenses/(AD18)</f>
        <v>89262.008836022636</v>
      </c>
      <c r="AF18" s="387">
        <f ca="1">+AE18-Revenue</f>
        <v>-1383.7311639773689</v>
      </c>
      <c r="AG18" s="375">
        <f ca="1">+AF18/$J$49</f>
        <v>-1510.1674688247622</v>
      </c>
      <c r="AH18" s="375">
        <f ca="1">+AG18*$J$47</f>
        <v>-34.129784795439626</v>
      </c>
      <c r="AI18" s="386">
        <f ca="1">ROUND(+AH18+AE18,5)</f>
        <v>89227.879050000003</v>
      </c>
    </row>
    <row r="19" spans="1:35" ht="15.75">
      <c r="A19" s="327"/>
      <c r="B19" s="327"/>
      <c r="C19" s="327"/>
      <c r="D19" s="327"/>
      <c r="E19" s="327"/>
      <c r="F19" s="363">
        <f t="shared" si="0"/>
        <v>13</v>
      </c>
      <c r="G19" s="359"/>
      <c r="H19" s="362"/>
      <c r="I19" s="403" t="s">
        <v>154</v>
      </c>
      <c r="J19" s="364">
        <f>+Revenue</f>
        <v>90645.74</v>
      </c>
      <c r="K19" s="418"/>
      <c r="L19" s="403" t="s">
        <v>155</v>
      </c>
      <c r="M19" s="417">
        <f ca="1">+J7</f>
        <v>-1383.4932468735497</v>
      </c>
      <c r="O19" s="327"/>
      <c r="P19" s="327"/>
      <c r="R19" s="371">
        <v>4</v>
      </c>
      <c r="S19" s="390">
        <f ca="1">AI14/Investment*100</f>
        <v>397.32554812930721</v>
      </c>
      <c r="T19" s="389">
        <f ca="1">EXP(y_inter4-(slope*LN(S19)))</f>
        <v>4.95601449905711</v>
      </c>
      <c r="U19" s="388">
        <f ca="1">(+S19*T19/100)/100</f>
        <v>0.19691511773746601</v>
      </c>
      <c r="V19" s="388">
        <f>regDebt_weighted</f>
        <v>3.5860000000000003E-2</v>
      </c>
      <c r="W19" s="388">
        <f ca="1">+U19-V19</f>
        <v>0.161055117737466</v>
      </c>
      <c r="X19" s="388">
        <f ca="1">+((W19*(1-0.34))-Pfd_weighted)/Equity_percent</f>
        <v>0.29100691193816147</v>
      </c>
      <c r="Y19" s="388">
        <f ca="1">+X19*equityP</f>
        <v>0.17460414716289688</v>
      </c>
      <c r="Z19" s="388">
        <f ca="1">+Y19/(1-taxrate)</f>
        <v>0.22101790780113528</v>
      </c>
      <c r="AA19" s="388">
        <f>debtP*Debt_Rate</f>
        <v>2.0000000000000004E-2</v>
      </c>
      <c r="AB19" s="388">
        <f ca="1">+AA19+Z19</f>
        <v>0.2410179078011353</v>
      </c>
      <c r="AC19" s="388">
        <f ca="1">+AB19/(S19/100)</f>
        <v>6.0660057964029401E-2</v>
      </c>
      <c r="AD19" s="388">
        <f ca="1">1-AC19</f>
        <v>0.9393399420359706</v>
      </c>
      <c r="AE19" s="386">
        <f ca="1">expenses/(AD19)</f>
        <v>89220.440573260654</v>
      </c>
      <c r="AF19" s="387">
        <f ca="1">+AE19-Revenue</f>
        <v>-1425.2994267393515</v>
      </c>
      <c r="AG19" s="375">
        <f ca="1">+AF19/$J$49</f>
        <v>-1555.5339676020728</v>
      </c>
      <c r="AH19" s="375">
        <f ca="1">+AG19*$J$47</f>
        <v>-35.155067667806847</v>
      </c>
      <c r="AI19" s="386">
        <f ca="1">ROUND(+AH19+AE19,5)</f>
        <v>89185.285510000002</v>
      </c>
    </row>
    <row r="20" spans="1:35" ht="15.75">
      <c r="A20" s="327"/>
      <c r="B20" s="416"/>
      <c r="C20" s="327"/>
      <c r="D20" s="327"/>
      <c r="E20" s="327"/>
      <c r="F20" s="363">
        <f t="shared" si="0"/>
        <v>14</v>
      </c>
      <c r="G20" s="359"/>
      <c r="H20" s="362"/>
      <c r="I20" s="403" t="s">
        <v>157</v>
      </c>
      <c r="J20" s="364">
        <f ca="1">+J21-J19</f>
        <v>-1417.6171634340571</v>
      </c>
      <c r="K20" s="418"/>
      <c r="L20" s="403" t="s">
        <v>158</v>
      </c>
      <c r="M20" s="417">
        <f ca="1">+L8</f>
        <v>-34.123916560507951</v>
      </c>
      <c r="O20" s="327"/>
      <c r="P20" s="327"/>
      <c r="R20" s="310" t="s">
        <v>160</v>
      </c>
    </row>
    <row r="21" spans="1:35" ht="16.5" thickBot="1">
      <c r="A21" s="327"/>
      <c r="B21" s="416" t="s">
        <v>161</v>
      </c>
      <c r="C21" s="327"/>
      <c r="D21" s="327"/>
      <c r="E21" s="327"/>
      <c r="F21" s="363">
        <f t="shared" si="0"/>
        <v>15</v>
      </c>
      <c r="G21" s="359"/>
      <c r="H21" s="362"/>
      <c r="I21" s="414" t="s">
        <v>152</v>
      </c>
      <c r="J21" s="415">
        <f ca="1">+M7</f>
        <v>89228.122836565948</v>
      </c>
      <c r="L21" s="414" t="s">
        <v>157</v>
      </c>
      <c r="M21" s="413">
        <f ca="1">+M19+M20</f>
        <v>-1417.6171634340576</v>
      </c>
      <c r="O21" s="327"/>
      <c r="P21" s="327"/>
      <c r="R21" s="611">
        <v>1</v>
      </c>
      <c r="S21" s="612">
        <f ca="1">AI16/Investment*100</f>
        <v>398.28247364524196</v>
      </c>
      <c r="T21" s="613">
        <f ca="1">EXP(y_inter1-(slope*LN(+S21)))</f>
        <v>5.1005955460469341</v>
      </c>
      <c r="U21" s="614">
        <f ca="1">(+S21*T21/100)/100</f>
        <v>0.20314778111434767</v>
      </c>
      <c r="V21" s="614">
        <f>regDebt_weighted</f>
        <v>3.5860000000000003E-2</v>
      </c>
      <c r="W21" s="614">
        <f ca="1">+U21-V21</f>
        <v>0.16728778111434767</v>
      </c>
      <c r="X21" s="614">
        <f ca="1">+((W21*(1-0.34))-Pfd_weighted)/Equity_percent</f>
        <v>0.30296492888217863</v>
      </c>
      <c r="Y21" s="614">
        <f ca="1">+X21*equityP</f>
        <v>0.18177895732930718</v>
      </c>
      <c r="Z21" s="614">
        <f ca="1">+Y21/(1-taxrate)</f>
        <v>0.23009994598646477</v>
      </c>
      <c r="AA21" s="614">
        <f>debtP*Debt_Rate</f>
        <v>2.0000000000000004E-2</v>
      </c>
      <c r="AB21" s="614">
        <f ca="1">+AA21+Z21</f>
        <v>0.25009994598646479</v>
      </c>
      <c r="AC21" s="614">
        <f ca="1">+AB21/(S21/100)</f>
        <v>6.2794615012166891E-2</v>
      </c>
      <c r="AD21" s="614">
        <f ca="1">1-AC21</f>
        <v>0.93720538498783312</v>
      </c>
      <c r="AE21" s="615">
        <f ca="1">expenses/(AD21)</f>
        <v>89423.646960370839</v>
      </c>
      <c r="AF21" s="616">
        <f ca="1">+AE21-Revenue</f>
        <v>-1222.093039629166</v>
      </c>
      <c r="AG21" s="617">
        <f ca="1">+AF21/$J$49</f>
        <v>-1333.7599097069422</v>
      </c>
      <c r="AH21" s="617">
        <f ca="1">+AG21*$J$47</f>
        <v>-30.142973959376896</v>
      </c>
      <c r="AI21" s="615">
        <f ca="1">ROUND(+AH21+AE21,5)</f>
        <v>89393.503989999997</v>
      </c>
    </row>
    <row r="22" spans="1:35" ht="16.5" thickTop="1">
      <c r="A22" s="327"/>
      <c r="B22" s="327" t="s">
        <v>163</v>
      </c>
      <c r="C22" s="327"/>
      <c r="D22" s="327"/>
      <c r="E22" s="327"/>
      <c r="F22" s="363">
        <f t="shared" si="0"/>
        <v>16</v>
      </c>
      <c r="G22" s="359"/>
      <c r="H22" s="320"/>
      <c r="I22" s="352"/>
      <c r="J22" s="511" t="s">
        <v>164</v>
      </c>
      <c r="K22" s="510">
        <f ca="1">+(J21/J19)-1</f>
        <v>-1.5639093060899056E-2</v>
      </c>
      <c r="L22" s="352"/>
      <c r="M22" s="369"/>
      <c r="O22" s="327"/>
      <c r="P22" s="327"/>
      <c r="R22" s="393">
        <v>2</v>
      </c>
      <c r="S22" s="390">
        <f ca="1">AI17/Investment*100</f>
        <v>397.84175782074976</v>
      </c>
      <c r="T22" s="392">
        <f ca="1">EXP(y_inter2-(slope*LN(+S22)))</f>
        <v>5.0318325121189691</v>
      </c>
      <c r="U22" s="388">
        <f ca="1">(+S22*T22/100)/100</f>
        <v>0.20018730916810099</v>
      </c>
      <c r="V22" s="388">
        <f>regDebt_weighted</f>
        <v>3.5860000000000003E-2</v>
      </c>
      <c r="W22" s="388">
        <f ca="1">+U22-V22</f>
        <v>0.16432730916810098</v>
      </c>
      <c r="X22" s="388">
        <f ca="1">+((W22*(1-0.34))-Pfd_weighted)/Equity_percent</f>
        <v>0.29728495363647278</v>
      </c>
      <c r="Y22" s="388">
        <f ca="1">+X22*equityP</f>
        <v>0.17837097218188366</v>
      </c>
      <c r="Z22" s="388">
        <f ca="1">+Y22/(1-taxrate)</f>
        <v>0.22578604073656158</v>
      </c>
      <c r="AA22" s="388">
        <f>debtP*Debt_Rate</f>
        <v>2.0000000000000004E-2</v>
      </c>
      <c r="AB22" s="388">
        <f ca="1">+AA22+Z22</f>
        <v>0.24578604073656157</v>
      </c>
      <c r="AC22" s="388">
        <f ca="1">+AB22/(S22/100)</f>
        <v>6.1779849878730447E-2</v>
      </c>
      <c r="AD22" s="388">
        <f ca="1">1-AC22</f>
        <v>0.93822015012126958</v>
      </c>
      <c r="AE22" s="386">
        <f ca="1">expenses/(AD22)</f>
        <v>89326.927657307067</v>
      </c>
      <c r="AF22" s="387">
        <f ca="1">+AE22-Revenue</f>
        <v>-1318.8123426929378</v>
      </c>
      <c r="AG22" s="375">
        <f ca="1">+AF22/$J$49</f>
        <v>-1439.316790188316</v>
      </c>
      <c r="AH22" s="375">
        <f ca="1">+AG22*$J$47</f>
        <v>-32.528559458255941</v>
      </c>
      <c r="AI22" s="386">
        <f ca="1">ROUND(+AH22+AE22,5)</f>
        <v>89294.399099999995</v>
      </c>
    </row>
    <row r="23" spans="1:35" ht="15.75">
      <c r="A23" s="327"/>
      <c r="B23" s="327" t="s">
        <v>166</v>
      </c>
      <c r="C23" s="327"/>
      <c r="D23" s="327"/>
      <c r="E23" s="327"/>
      <c r="F23" s="363">
        <f t="shared" si="0"/>
        <v>17</v>
      </c>
      <c r="H23" s="359"/>
      <c r="I23" s="359"/>
      <c r="J23" s="359"/>
      <c r="K23" s="359"/>
      <c r="L23" s="359"/>
      <c r="M23" s="359"/>
      <c r="N23" s="359"/>
      <c r="O23" s="327"/>
      <c r="P23" s="327"/>
      <c r="R23" s="357">
        <v>3</v>
      </c>
      <c r="S23" s="390">
        <f ca="1">AI18/Investment*100</f>
        <v>397.54500629780563</v>
      </c>
      <c r="T23" s="313">
        <f ca="1">EXP(y_inter3-(slope*LN(S23)))</f>
        <v>4.9854535207356454</v>
      </c>
      <c r="U23" s="388">
        <f ca="1">(+S23*T23/100)/100</f>
        <v>0.19819421512982693</v>
      </c>
      <c r="V23" s="388">
        <f>regDebt_weighted</f>
        <v>3.5860000000000003E-2</v>
      </c>
      <c r="W23" s="388">
        <f ca="1">+U23-V23</f>
        <v>0.16233421512982693</v>
      </c>
      <c r="X23" s="388">
        <f ca="1">+((W23*(1-0.34))-Pfd_weighted)/Equity_percent</f>
        <v>0.29346099414443538</v>
      </c>
      <c r="Y23" s="388">
        <f ca="1">+X23*equityP</f>
        <v>0.17607659648666121</v>
      </c>
      <c r="Z23" s="388">
        <f ca="1">+Y23/(1-taxrate)</f>
        <v>0.22288176770463444</v>
      </c>
      <c r="AA23" s="388">
        <f>debtP*Debt_Rate</f>
        <v>2.0000000000000004E-2</v>
      </c>
      <c r="AB23" s="388">
        <f ca="1">+AA23+Z23</f>
        <v>0.24288176770463443</v>
      </c>
      <c r="AC23" s="388">
        <f ca="1">+AB23/(S23/100)</f>
        <v>6.1095414068083866E-2</v>
      </c>
      <c r="AD23" s="388">
        <f ca="1">1-AC23</f>
        <v>0.93890458593191617</v>
      </c>
      <c r="AE23" s="386">
        <f ca="1">expenses/(AD23)</f>
        <v>89261.810765708316</v>
      </c>
      <c r="AF23" s="387">
        <f ca="1">+AE23-Revenue</f>
        <v>-1383.9292342916888</v>
      </c>
      <c r="AG23" s="375">
        <f ca="1">+AF23/$J$49</f>
        <v>-1510.383637509123</v>
      </c>
      <c r="AH23" s="375">
        <f ca="1">+AG23*$J$47</f>
        <v>-34.134670207706179</v>
      </c>
      <c r="AI23" s="386">
        <f ca="1">ROUND(+AH23+AE23,5)</f>
        <v>89227.676099999997</v>
      </c>
    </row>
    <row r="24" spans="1:35" ht="15.75">
      <c r="A24" s="327"/>
      <c r="B24" s="327" t="s">
        <v>168</v>
      </c>
      <c r="C24" s="327"/>
      <c r="D24" s="327"/>
      <c r="E24" s="327"/>
      <c r="F24" s="363">
        <f t="shared" si="0"/>
        <v>18</v>
      </c>
      <c r="H24" s="359"/>
      <c r="J24" s="412" t="s">
        <v>169</v>
      </c>
      <c r="K24" s="411" t="s">
        <v>170</v>
      </c>
      <c r="L24" s="411"/>
      <c r="M24" s="411"/>
      <c r="N24" s="411"/>
      <c r="O24" s="327"/>
      <c r="P24" s="327"/>
      <c r="R24" s="371">
        <v>4</v>
      </c>
      <c r="S24" s="390">
        <f ca="1">AI19/Investment*100</f>
        <v>397.35523546263806</v>
      </c>
      <c r="T24" s="389">
        <f ca="1">EXP(y_inter4-(slope*LN(S24)))</f>
        <v>4.9557613499075499</v>
      </c>
      <c r="U24" s="388">
        <f ca="1">(+S24*T24/100)/100</f>
        <v>0.19691977180891557</v>
      </c>
      <c r="V24" s="388">
        <f>regDebt_weighted</f>
        <v>3.5860000000000003E-2</v>
      </c>
      <c r="W24" s="388">
        <f ca="1">+U24-V24</f>
        <v>0.16105977180891556</v>
      </c>
      <c r="X24" s="388">
        <f ca="1">+((W24*(1-0.34))-Pfd_weighted)/Equity_percent</f>
        <v>0.29101584126129149</v>
      </c>
      <c r="Y24" s="388">
        <f ca="1">+X24*equityP</f>
        <v>0.17460950475677489</v>
      </c>
      <c r="Z24" s="388">
        <f ca="1">+Y24/(1-taxrate)</f>
        <v>0.22102468956553784</v>
      </c>
      <c r="AA24" s="388">
        <f>debtP*Debt_Rate</f>
        <v>2.0000000000000004E-2</v>
      </c>
      <c r="AB24" s="388">
        <f ca="1">+AA24+Z24</f>
        <v>0.24102468956553785</v>
      </c>
      <c r="AC24" s="388">
        <f ca="1">+AB24/(S24/100)</f>
        <v>6.0657232635909379E-2</v>
      </c>
      <c r="AD24" s="388">
        <f ca="1">1-AC24</f>
        <v>0.93934276736409061</v>
      </c>
      <c r="AE24" s="386">
        <f ca="1">expenses/(AD24)</f>
        <v>89220.172218589301</v>
      </c>
      <c r="AF24" s="387">
        <f ca="1">+AE24-Revenue</f>
        <v>-1425.5677814107039</v>
      </c>
      <c r="AG24" s="375">
        <f ca="1">+AF24/$J$49</f>
        <v>-1555.8268427683868</v>
      </c>
      <c r="AH24" s="375">
        <f ca="1">+AG24*$J$47</f>
        <v>-35.161686646565542</v>
      </c>
      <c r="AI24" s="386">
        <f ca="1">ROUND(+AH24+AE24,5)</f>
        <v>89185.01053</v>
      </c>
    </row>
    <row r="25" spans="1:35" ht="15.75">
      <c r="A25" s="327"/>
      <c r="B25" s="327" t="s">
        <v>172</v>
      </c>
      <c r="C25" s="327"/>
      <c r="D25" s="327"/>
      <c r="E25" s="327"/>
      <c r="F25" s="363">
        <f t="shared" si="0"/>
        <v>19</v>
      </c>
      <c r="H25" s="409" t="s">
        <v>173</v>
      </c>
      <c r="I25" s="410" t="s">
        <v>23</v>
      </c>
      <c r="J25" s="408" t="s">
        <v>174</v>
      </c>
      <c r="K25" s="409" t="s">
        <v>175</v>
      </c>
      <c r="L25" s="408" t="s">
        <v>176</v>
      </c>
      <c r="M25" s="408" t="s">
        <v>174</v>
      </c>
      <c r="O25" s="327"/>
      <c r="P25" s="327"/>
      <c r="R25" s="310" t="s">
        <v>177</v>
      </c>
      <c r="W25" s="316"/>
      <c r="X25" s="314"/>
      <c r="Y25" s="313"/>
      <c r="Z25" s="313"/>
      <c r="AA25" s="314"/>
      <c r="AC25" s="314"/>
      <c r="AD25" s="314"/>
      <c r="AE25" s="313"/>
      <c r="AF25" s="316"/>
    </row>
    <row r="26" spans="1:35" ht="15.75">
      <c r="A26" s="327"/>
      <c r="B26" s="327"/>
      <c r="C26" s="327"/>
      <c r="D26" s="327"/>
      <c r="E26" s="327"/>
      <c r="F26" s="363">
        <f t="shared" si="0"/>
        <v>20</v>
      </c>
      <c r="H26" s="403" t="s">
        <v>123</v>
      </c>
      <c r="I26" s="404">
        <f>1-I27</f>
        <v>0.6</v>
      </c>
      <c r="J26" s="407">
        <f>+I26*J28</f>
        <v>13466.834341240603</v>
      </c>
      <c r="K26" s="405">
        <f ca="1">+K34</f>
        <v>0.2936081821965697</v>
      </c>
      <c r="L26" s="404">
        <f ca="1">+K26*I26</f>
        <v>0.17616490931794182</v>
      </c>
      <c r="M26" s="364">
        <f ca="1">+J26*K26</f>
        <v>3953.9727508739925</v>
      </c>
      <c r="O26" s="327"/>
      <c r="P26" s="327"/>
      <c r="R26" s="611">
        <v>1</v>
      </c>
      <c r="S26" s="612">
        <f ca="1">AI21/Investment*100</f>
        <v>398.28293001084683</v>
      </c>
      <c r="T26" s="613">
        <f ca="1">EXP(y_inter1-(slope*LN(+S26)))</f>
        <v>5.1005915503853254</v>
      </c>
      <c r="U26" s="614">
        <f ca="1">(+S26*T26/100)/100</f>
        <v>0.20314785474760352</v>
      </c>
      <c r="V26" s="614">
        <f>regDebt_weighted</f>
        <v>3.5860000000000003E-2</v>
      </c>
      <c r="W26" s="614">
        <f ca="1">+U26-V26</f>
        <v>0.16728785474760352</v>
      </c>
      <c r="X26" s="614">
        <f ca="1">+((W26*(1-0.34))-Pfd_weighted)/Equity_percent</f>
        <v>0.30296507015528579</v>
      </c>
      <c r="Y26" s="614">
        <f ca="1">+X26*equityP</f>
        <v>0.18177904209317147</v>
      </c>
      <c r="Z26" s="614">
        <f ca="1">+Y26/(1-taxrate)</f>
        <v>0.23010005328249553</v>
      </c>
      <c r="AA26" s="614">
        <f>debtP*Debt_Rate</f>
        <v>2.0000000000000004E-2</v>
      </c>
      <c r="AB26" s="614">
        <f ca="1">+AA26+Z26</f>
        <v>0.25010005328249552</v>
      </c>
      <c r="AC26" s="614">
        <f ca="1">+AB26/(S26/100)</f>
        <v>6.2794569999694516E-2</v>
      </c>
      <c r="AD26" s="614">
        <f ca="1">1-AC26</f>
        <v>0.93720543000030543</v>
      </c>
      <c r="AE26" s="615">
        <f ca="1">expenses/(AD26)</f>
        <v>89423.642665496634</v>
      </c>
      <c r="AF26" s="616">
        <f ca="1">+AE26-Revenue</f>
        <v>-1222.0973345033708</v>
      </c>
      <c r="AG26" s="617">
        <f ca="1">+AF26/$J$49</f>
        <v>-1333.7645970186654</v>
      </c>
      <c r="AH26" s="617">
        <f ca="1">+AG26*$J$47</f>
        <v>-30.143079892621842</v>
      </c>
      <c r="AI26" s="615">
        <f ca="1">ROUND(+AH26+AE26,5)</f>
        <v>89393.499590000007</v>
      </c>
    </row>
    <row r="27" spans="1:35" ht="15.75">
      <c r="A27" s="327"/>
      <c r="B27" s="327"/>
      <c r="C27" s="327"/>
      <c r="D27" s="327"/>
      <c r="E27" s="327"/>
      <c r="F27" s="363">
        <f t="shared" si="0"/>
        <v>21</v>
      </c>
      <c r="H27" s="403" t="s">
        <v>125</v>
      </c>
      <c r="I27" s="404">
        <f>IF(A65=TRUE,C8,0)</f>
        <v>0.4</v>
      </c>
      <c r="J27" s="406">
        <f>+I27*J28</f>
        <v>8977.8895608270686</v>
      </c>
      <c r="K27" s="405">
        <f>IF(A65=TRUE,C9,0)</f>
        <v>0.05</v>
      </c>
      <c r="L27" s="404">
        <f>+K27*I27</f>
        <v>2.0000000000000004E-2</v>
      </c>
      <c r="M27" s="364">
        <f>+K27*J27</f>
        <v>448.89447804135347</v>
      </c>
      <c r="O27" s="327"/>
      <c r="P27" s="327"/>
      <c r="R27" s="393">
        <v>2</v>
      </c>
      <c r="S27" s="390">
        <f ca="1">AI22/Investment*100</f>
        <v>397.84137906803988</v>
      </c>
      <c r="T27" s="392">
        <f ca="1">EXP(y_inter2-(slope*LN(+S27)))</f>
        <v>5.0318357871727173</v>
      </c>
      <c r="U27" s="388">
        <f ca="1">(+S27*T27/100)/100</f>
        <v>0.20018724888127098</v>
      </c>
      <c r="V27" s="388">
        <f>regDebt_weighted</f>
        <v>3.5860000000000003E-2</v>
      </c>
      <c r="W27" s="388">
        <f ca="1">+U27-V27</f>
        <v>0.16432724888127098</v>
      </c>
      <c r="X27" s="388">
        <f ca="1">+((W27*(1-0.34))-Pfd_weighted)/Equity_percent</f>
        <v>0.29728483796988037</v>
      </c>
      <c r="Y27" s="388">
        <f ca="1">+X27*equityP</f>
        <v>0.17837090278192821</v>
      </c>
      <c r="Z27" s="388">
        <f ca="1">+Y27/(1-taxrate)</f>
        <v>0.22578595288851672</v>
      </c>
      <c r="AA27" s="388">
        <f>debtP*Debt_Rate</f>
        <v>2.0000000000000004E-2</v>
      </c>
      <c r="AB27" s="388">
        <f ca="1">+AA27+Z27</f>
        <v>0.24578595288851673</v>
      </c>
      <c r="AC27" s="388">
        <f ca="1">+AB27/(S27/100)</f>
        <v>6.1779886613172477E-2</v>
      </c>
      <c r="AD27" s="388">
        <f ca="1">1-AC27</f>
        <v>0.93822011338682754</v>
      </c>
      <c r="AE27" s="386">
        <f ca="1">expenses/(AD27)</f>
        <v>89326.93115475378</v>
      </c>
      <c r="AF27" s="387">
        <f ca="1">+AE27-Revenue</f>
        <v>-1318.8088452462252</v>
      </c>
      <c r="AG27" s="375">
        <f ca="1">+AF27/$J$49</f>
        <v>-1439.3129731677943</v>
      </c>
      <c r="AH27" s="375">
        <f ca="1">+AG27*$J$47</f>
        <v>-32.528473193592156</v>
      </c>
      <c r="AI27" s="386">
        <f ca="1">ROUND(+AH27+AE27,5)</f>
        <v>89294.402679999999</v>
      </c>
    </row>
    <row r="28" spans="1:35" ht="16.5" thickBot="1">
      <c r="A28" s="327"/>
      <c r="B28" s="327"/>
      <c r="C28" s="327"/>
      <c r="D28" s="327"/>
      <c r="E28" s="327"/>
      <c r="F28" s="363">
        <f t="shared" si="0"/>
        <v>22</v>
      </c>
      <c r="H28" s="403" t="s">
        <v>27</v>
      </c>
      <c r="I28" s="402">
        <f>SUM(I26:I27)</f>
        <v>1</v>
      </c>
      <c r="J28" s="367">
        <f>IF(A65=TRUE,C7,0)</f>
        <v>22444.723902067672</v>
      </c>
      <c r="K28" s="401"/>
      <c r="L28" s="400">
        <f ca="1">SUM(L26:L27)</f>
        <v>0.19616490931794184</v>
      </c>
      <c r="M28" s="367">
        <f ca="1">SUM(M26:M27)</f>
        <v>4402.8672289153455</v>
      </c>
      <c r="O28" s="327"/>
      <c r="P28" s="327"/>
      <c r="R28" s="357">
        <v>3</v>
      </c>
      <c r="S28" s="390">
        <f ca="1">AI23/Investment*100</f>
        <v>397.54410207639086</v>
      </c>
      <c r="T28" s="313">
        <f ca="1">EXP(y_inter3-(slope*LN(S28)))</f>
        <v>4.9854612732131001</v>
      </c>
      <c r="U28" s="388">
        <f ca="1">(+S28*T28/100)/100</f>
        <v>0.19819407252961219</v>
      </c>
      <c r="V28" s="388">
        <f>regDebt_weighted</f>
        <v>3.5860000000000003E-2</v>
      </c>
      <c r="W28" s="388">
        <f ca="1">+U28-V28</f>
        <v>0.16233407252961218</v>
      </c>
      <c r="X28" s="388">
        <f ca="1">+((W28*(1-0.34))-Pfd_weighted)/Equity_percent</f>
        <v>0.29346072055100009</v>
      </c>
      <c r="Y28" s="388">
        <f ca="1">+X28*equityP</f>
        <v>0.17607643233060005</v>
      </c>
      <c r="Z28" s="388">
        <f ca="1">+Y28/(1-taxrate)</f>
        <v>0.22288155991215194</v>
      </c>
      <c r="AA28" s="388">
        <f>debtP*Debt_Rate</f>
        <v>2.0000000000000004E-2</v>
      </c>
      <c r="AB28" s="388">
        <f ca="1">+AA28+Z28</f>
        <v>0.24288155991215193</v>
      </c>
      <c r="AC28" s="388">
        <f ca="1">+AB28/(S28/100)</f>
        <v>6.1095500761694253E-2</v>
      </c>
      <c r="AD28" s="388">
        <f ca="1">1-AC28</f>
        <v>0.93890449923830577</v>
      </c>
      <c r="AE28" s="386">
        <f ca="1">expenses/(AD28)</f>
        <v>89261.819007684637</v>
      </c>
      <c r="AF28" s="387">
        <f ca="1">+AE28-Revenue</f>
        <v>-1383.9209923153685</v>
      </c>
      <c r="AG28" s="375">
        <f ca="1">+AF28/$J$49</f>
        <v>-1510.3746424349049</v>
      </c>
      <c r="AH28" s="375">
        <f ca="1">+AG28*$J$47</f>
        <v>-34.134466919028853</v>
      </c>
      <c r="AI28" s="386">
        <f ca="1">ROUND(+AH28+AE28,5)</f>
        <v>89227.684540000002</v>
      </c>
    </row>
    <row r="29" spans="1:35" ht="16.5" thickTop="1">
      <c r="A29" s="327"/>
      <c r="B29" s="327"/>
      <c r="C29" s="327"/>
      <c r="D29" s="327"/>
      <c r="E29" s="327"/>
      <c r="F29" s="363">
        <f t="shared" si="0"/>
        <v>23</v>
      </c>
      <c r="G29" s="359"/>
      <c r="H29" s="359"/>
      <c r="I29" s="359"/>
      <c r="J29" s="359"/>
      <c r="K29" s="359"/>
      <c r="L29" s="359"/>
      <c r="M29" s="359"/>
      <c r="N29" s="359"/>
      <c r="O29" s="327"/>
      <c r="P29" s="327"/>
      <c r="R29" s="371">
        <v>4</v>
      </c>
      <c r="S29" s="390">
        <f ca="1">AI24/Investment*100</f>
        <v>397.35401031947657</v>
      </c>
      <c r="T29" s="389">
        <f ca="1">EXP(y_inter4-(slope*LN(S29)))</f>
        <v>4.9557717962903283</v>
      </c>
      <c r="U29" s="388">
        <f ca="1">(+S29*T29/100)/100</f>
        <v>0.19691957974841182</v>
      </c>
      <c r="V29" s="388">
        <f>regDebt_weighted</f>
        <v>3.5860000000000003E-2</v>
      </c>
      <c r="W29" s="388">
        <f ca="1">+U29-V29</f>
        <v>0.16105957974841181</v>
      </c>
      <c r="X29" s="388">
        <f ca="1">+((W29*(1-0.34))-Pfd_weighted)/Equity_percent</f>
        <v>0.29101547277311568</v>
      </c>
      <c r="Y29" s="388">
        <f ca="1">+X29*equityP</f>
        <v>0.17460928366386941</v>
      </c>
      <c r="Z29" s="388">
        <f ca="1">+Y29/(1-taxrate)</f>
        <v>0.22102440970110052</v>
      </c>
      <c r="AA29" s="388">
        <f>debtP*Debt_Rate</f>
        <v>2.0000000000000004E-2</v>
      </c>
      <c r="AB29" s="388">
        <f ca="1">+AA29+Z29</f>
        <v>0.24102440970110051</v>
      </c>
      <c r="AC29" s="388">
        <f ca="1">+AB29/(S29/100)</f>
        <v>6.0657349225521712E-2</v>
      </c>
      <c r="AD29" s="388">
        <f ca="1">1-AC29</f>
        <v>0.93934265077447832</v>
      </c>
      <c r="AE29" s="386">
        <f ca="1">expenses/(AD29)</f>
        <v>89220.183292445334</v>
      </c>
      <c r="AF29" s="387">
        <f ca="1">+AE29-Revenue</f>
        <v>-1425.5567075546714</v>
      </c>
      <c r="AG29" s="375">
        <f ca="1">+AF29/$J$49</f>
        <v>-1555.8147570558076</v>
      </c>
      <c r="AH29" s="375">
        <f ca="1">+AG29*$J$47</f>
        <v>-35.161413509461255</v>
      </c>
      <c r="AI29" s="386">
        <f ca="1">ROUND(+AH29+AE29,5)</f>
        <v>89185.02188</v>
      </c>
    </row>
    <row r="30" spans="1:35" ht="15.75">
      <c r="A30" s="327"/>
      <c r="B30" s="327"/>
      <c r="C30" s="327"/>
      <c r="D30" s="327"/>
      <c r="E30" s="327"/>
      <c r="F30" s="363">
        <f t="shared" si="0"/>
        <v>24</v>
      </c>
      <c r="G30" s="359"/>
      <c r="H30" s="359"/>
      <c r="I30" s="359"/>
      <c r="J30" s="399" t="s">
        <v>178</v>
      </c>
      <c r="K30" s="399" t="s">
        <v>179</v>
      </c>
      <c r="L30" s="359"/>
      <c r="M30" s="359"/>
      <c r="N30" s="359"/>
      <c r="O30" s="327"/>
      <c r="P30" s="327"/>
      <c r="R30" s="310" t="s">
        <v>180</v>
      </c>
      <c r="W30" s="316"/>
      <c r="X30" s="314"/>
      <c r="Y30" s="313"/>
      <c r="Z30" s="313"/>
      <c r="AA30" s="314"/>
      <c r="AC30" s="314"/>
      <c r="AD30" s="314"/>
      <c r="AE30" s="313"/>
      <c r="AF30" s="316"/>
      <c r="AH30" s="313"/>
    </row>
    <row r="31" spans="1:35" ht="15.75">
      <c r="A31" s="327"/>
      <c r="B31" s="327"/>
      <c r="C31" s="327"/>
      <c r="D31" s="327"/>
      <c r="E31" s="327"/>
      <c r="F31" s="363">
        <f t="shared" si="0"/>
        <v>25</v>
      </c>
      <c r="G31" s="359"/>
      <c r="H31" s="385" t="s">
        <v>181</v>
      </c>
      <c r="I31" s="398"/>
      <c r="J31" s="397" t="s">
        <v>182</v>
      </c>
      <c r="K31" s="397" t="s">
        <v>182</v>
      </c>
      <c r="L31" s="359"/>
      <c r="M31" s="359"/>
      <c r="N31" s="359"/>
      <c r="O31" s="327"/>
      <c r="P31" s="327"/>
      <c r="R31" s="611">
        <v>1</v>
      </c>
      <c r="S31" s="612">
        <f ca="1">AI26/Investment*100</f>
        <v>398.2829104071306</v>
      </c>
      <c r="T31" s="613">
        <f ca="1">EXP(y_inter1-(slope*LN(+S31)))</f>
        <v>5.1005917220234647</v>
      </c>
      <c r="U31" s="614">
        <f ca="1">(+S31*T31/100)/100</f>
        <v>0.20314785158460236</v>
      </c>
      <c r="V31" s="614">
        <f>regDebt_weighted</f>
        <v>3.5860000000000003E-2</v>
      </c>
      <c r="W31" s="614">
        <f ca="1">+U31-V31</f>
        <v>0.16728785158460235</v>
      </c>
      <c r="X31" s="614">
        <f ca="1">+((W31*(1-0.34))-Pfd_weighted)/Equity_percent</f>
        <v>0.30296506408673707</v>
      </c>
      <c r="Y31" s="614">
        <f ca="1">+X31*equityP</f>
        <v>0.18177903845204224</v>
      </c>
      <c r="Z31" s="614">
        <f ca="1">+Y31/(1-taxrate)</f>
        <v>0.23010004867347117</v>
      </c>
      <c r="AA31" s="614">
        <f>debtP*Debt_Rate</f>
        <v>2.0000000000000004E-2</v>
      </c>
      <c r="AB31" s="614">
        <f ca="1">+AA31+Z31</f>
        <v>0.25010004867347119</v>
      </c>
      <c r="AC31" s="614">
        <f ca="1">+AB31/(S31/100)</f>
        <v>6.2794571933256008E-2</v>
      </c>
      <c r="AD31" s="614">
        <f ca="1">1-AC31</f>
        <v>0.93720542806674401</v>
      </c>
      <c r="AE31" s="615">
        <f ca="1">expenses/(AD31)</f>
        <v>89423.64284998778</v>
      </c>
      <c r="AF31" s="616">
        <f ca="1">+AE31-Revenue</f>
        <v>-1222.097150012225</v>
      </c>
      <c r="AG31" s="617">
        <f ca="1">+AF31/$J$49</f>
        <v>-1333.7643956699253</v>
      </c>
      <c r="AH31" s="617">
        <f ca="1">+AG31*$J$47</f>
        <v>-30.143075342140314</v>
      </c>
      <c r="AI31" s="615">
        <f ca="1">ROUND(+AH31+AE31,5)</f>
        <v>89393.499769999995</v>
      </c>
    </row>
    <row r="32" spans="1:35" ht="15.75">
      <c r="A32" s="327"/>
      <c r="B32" s="327"/>
      <c r="C32" s="327"/>
      <c r="D32" s="327"/>
      <c r="E32" s="327"/>
      <c r="F32" s="363">
        <f t="shared" si="0"/>
        <v>26</v>
      </c>
      <c r="G32" s="359"/>
      <c r="H32" s="361"/>
      <c r="I32" s="361"/>
      <c r="J32" s="361"/>
      <c r="K32" s="361"/>
      <c r="L32" s="359"/>
      <c r="M32" s="359"/>
      <c r="N32" s="359"/>
      <c r="O32" s="327"/>
      <c r="P32" s="327"/>
      <c r="R32" s="393">
        <v>2</v>
      </c>
      <c r="S32" s="390">
        <f ca="1">AI27/Investment*100</f>
        <v>397.84139501833636</v>
      </c>
      <c r="T32" s="392">
        <f ca="1">EXP(y_inter2-(slope*LN(+S32)))</f>
        <v>5.0318356492512821</v>
      </c>
      <c r="U32" s="388">
        <f ca="1">(+S32*T32/100)/100</f>
        <v>0.20018725142011262</v>
      </c>
      <c r="V32" s="388">
        <f>regDebt_weighted</f>
        <v>3.5860000000000003E-2</v>
      </c>
      <c r="W32" s="388">
        <f ca="1">+U32-V32</f>
        <v>0.16432725142011262</v>
      </c>
      <c r="X32" s="388">
        <f ca="1">+((W32*(1-0.34))-Pfd_weighted)/Equity_percent</f>
        <v>0.29728484284091372</v>
      </c>
      <c r="Y32" s="388">
        <f ca="1">+X32*equityP</f>
        <v>0.17837090570454822</v>
      </c>
      <c r="Z32" s="388">
        <f ca="1">+Y32/(1-taxrate)</f>
        <v>0.22578595658803571</v>
      </c>
      <c r="AA32" s="388">
        <f>debtP*Debt_Rate</f>
        <v>2.0000000000000004E-2</v>
      </c>
      <c r="AB32" s="388">
        <f ca="1">+AA32+Z32</f>
        <v>0.2457859565880357</v>
      </c>
      <c r="AC32" s="388">
        <f ca="1">+AB32/(S32/100)</f>
        <v>6.1779885066185113E-2</v>
      </c>
      <c r="AD32" s="388">
        <f ca="1">1-AC32</f>
        <v>0.93822011493381485</v>
      </c>
      <c r="AE32" s="386">
        <f ca="1">expenses/(AD32)</f>
        <v>89326.931007466774</v>
      </c>
      <c r="AF32" s="387">
        <f ca="1">+AE32-Revenue</f>
        <v>-1318.8089925332315</v>
      </c>
      <c r="AG32" s="375">
        <f ca="1">+AF32/$J$49</f>
        <v>-1439.3131339129241</v>
      </c>
      <c r="AH32" s="375">
        <f ca="1">+AG32*$J$47</f>
        <v>-32.528476826432083</v>
      </c>
      <c r="AI32" s="386">
        <f ca="1">ROUND(+AH32+AE32,5)</f>
        <v>89294.402530000007</v>
      </c>
    </row>
    <row r="33" spans="1:46" ht="15.75">
      <c r="A33" s="327"/>
      <c r="B33" s="327"/>
      <c r="C33" s="327"/>
      <c r="D33" s="327"/>
      <c r="E33" s="327"/>
      <c r="F33" s="363">
        <f t="shared" si="0"/>
        <v>27</v>
      </c>
      <c r="G33" s="359"/>
      <c r="H33" s="361" t="s">
        <v>183</v>
      </c>
      <c r="I33" s="361"/>
      <c r="J33" s="360">
        <f ca="1">+K9/J28</f>
        <v>0.24299355609866052</v>
      </c>
      <c r="K33" s="360">
        <f ca="1">+(M14+M11)/J28</f>
        <v>0.19616490931794181</v>
      </c>
      <c r="L33" s="359"/>
      <c r="M33" s="359"/>
      <c r="N33" s="359"/>
      <c r="O33" s="327"/>
      <c r="P33" s="327"/>
      <c r="R33" s="357">
        <v>3</v>
      </c>
      <c r="S33" s="390">
        <f ca="1">AI28/Investment*100</f>
        <v>397.54413967988307</v>
      </c>
      <c r="T33" s="313">
        <f ca="1">EXP(y_inter3-(slope*LN(S33)))</f>
        <v>4.9854609508133505</v>
      </c>
      <c r="U33" s="388">
        <f ca="1">(+S33*T33/100)/100</f>
        <v>0.19819407845987452</v>
      </c>
      <c r="V33" s="388">
        <f>regDebt_weighted</f>
        <v>3.5860000000000003E-2</v>
      </c>
      <c r="W33" s="388">
        <f ca="1">+U33-V33</f>
        <v>0.16233407845987452</v>
      </c>
      <c r="X33" s="388">
        <f ca="1">+((W33*(1-0.34))-Pfd_weighted)/Equity_percent</f>
        <v>0.29346073192882899</v>
      </c>
      <c r="Y33" s="388">
        <f ca="1">+X33*equityP</f>
        <v>0.1760764391572974</v>
      </c>
      <c r="Z33" s="388">
        <f ca="1">+Y33/(1-taxrate)</f>
        <v>0.22288156855354099</v>
      </c>
      <c r="AA33" s="388">
        <f>debtP*Debt_Rate</f>
        <v>2.0000000000000004E-2</v>
      </c>
      <c r="AB33" s="388">
        <f ca="1">+AA33+Z33</f>
        <v>0.24288156855354098</v>
      </c>
      <c r="AC33" s="388">
        <f ca="1">+AB33/(S33/100)</f>
        <v>6.109549715639577E-2</v>
      </c>
      <c r="AD33" s="388">
        <f ca="1">1-AC33</f>
        <v>0.93890450284360427</v>
      </c>
      <c r="AE33" s="386">
        <f ca="1">expenses/(AD33)</f>
        <v>89261.818664928258</v>
      </c>
      <c r="AF33" s="387">
        <f ca="1">+AE33-Revenue</f>
        <v>-1383.9213350717473</v>
      </c>
      <c r="AG33" s="375">
        <f ca="1">+AF33/$J$49</f>
        <v>-1510.3750165101203</v>
      </c>
      <c r="AH33" s="375">
        <f ca="1">+AG33*$J$47</f>
        <v>-34.134475373128723</v>
      </c>
      <c r="AI33" s="386">
        <f ca="1">ROUND(+AH33+AE33,5)</f>
        <v>89227.68419</v>
      </c>
    </row>
    <row r="34" spans="1:46" ht="15.75">
      <c r="A34" s="327"/>
      <c r="B34" s="327"/>
      <c r="C34" s="327"/>
      <c r="D34" s="327"/>
      <c r="E34" s="327"/>
      <c r="F34" s="363">
        <f t="shared" si="0"/>
        <v>28</v>
      </c>
      <c r="G34" s="359"/>
      <c r="H34" s="361" t="s">
        <v>184</v>
      </c>
      <c r="I34" s="361"/>
      <c r="J34" s="360">
        <f ca="1">+(M9-M11)/J26</f>
        <v>0.37165592683110088</v>
      </c>
      <c r="K34" s="360">
        <f ca="1">+M14/J26</f>
        <v>0.2936081821965697</v>
      </c>
      <c r="L34" s="359"/>
      <c r="M34" s="359"/>
      <c r="N34" s="359"/>
      <c r="O34" s="396"/>
      <c r="P34" s="327"/>
      <c r="R34" s="371">
        <v>4</v>
      </c>
      <c r="S34" s="390">
        <f ca="1">AI29/Investment*100</f>
        <v>397.35406088815387</v>
      </c>
      <c r="T34" s="389">
        <f ca="1">EXP(y_inter4-(slope*LN(S34)))</f>
        <v>4.9557713651071866</v>
      </c>
      <c r="U34" s="388">
        <f ca="1">(+S34*T34/100)/100</f>
        <v>0.19691958767585704</v>
      </c>
      <c r="V34" s="388">
        <f>regDebt_weighted</f>
        <v>3.5860000000000003E-2</v>
      </c>
      <c r="W34" s="388">
        <f ca="1">+U34-V34</f>
        <v>0.16105958767585704</v>
      </c>
      <c r="X34" s="388">
        <f ca="1">+((W34*(1-0.34))-Pfd_weighted)/Equity_percent</f>
        <v>0.29101548798274895</v>
      </c>
      <c r="Y34" s="388">
        <f ca="1">+X34*equityP</f>
        <v>0.17460929278964937</v>
      </c>
      <c r="Z34" s="388">
        <f ca="1">+Y34/(1-taxrate)</f>
        <v>0.2210244212527207</v>
      </c>
      <c r="AA34" s="388">
        <f>debtP*Debt_Rate</f>
        <v>2.0000000000000004E-2</v>
      </c>
      <c r="AB34" s="388">
        <f ca="1">+AA34+Z34</f>
        <v>0.24102442125272072</v>
      </c>
      <c r="AC34" s="388">
        <f ca="1">+AB34/(S34/100)</f>
        <v>6.0657344413189124E-2</v>
      </c>
      <c r="AD34" s="388">
        <f ca="1">1-AC34</f>
        <v>0.93934265558681085</v>
      </c>
      <c r="AE34" s="386">
        <f ca="1">expenses/(AD34)</f>
        <v>89220.182835362735</v>
      </c>
      <c r="AF34" s="387">
        <f ca="1">+AE34-Revenue</f>
        <v>-1425.55716463727</v>
      </c>
      <c r="AG34" s="375">
        <f ca="1">+AF34/$J$49</f>
        <v>-1555.815255903625</v>
      </c>
      <c r="AH34" s="375">
        <f ca="1">+AG34*$J$47</f>
        <v>-35.161424783421928</v>
      </c>
      <c r="AI34" s="386">
        <f ca="1">ROUND(+AH34+AE34,5)</f>
        <v>89185.021410000001</v>
      </c>
    </row>
    <row r="35" spans="1:46" ht="15.75">
      <c r="A35" s="327"/>
      <c r="B35" s="327"/>
      <c r="C35" s="327"/>
      <c r="D35" s="327"/>
      <c r="E35" s="327"/>
      <c r="F35" s="363">
        <f t="shared" si="0"/>
        <v>29</v>
      </c>
      <c r="G35" s="359"/>
      <c r="H35" s="395" t="s">
        <v>127</v>
      </c>
      <c r="I35" s="361"/>
      <c r="J35" s="360">
        <f ca="1">+K8/K7</f>
        <v>0.93889999999999996</v>
      </c>
      <c r="K35" s="360">
        <f ca="1">+M8/M7</f>
        <v>0.93887663324929893</v>
      </c>
      <c r="L35" s="359"/>
      <c r="M35" s="359"/>
      <c r="N35" s="359"/>
      <c r="O35" s="327"/>
      <c r="P35" s="327"/>
      <c r="R35" s="310" t="s">
        <v>185</v>
      </c>
      <c r="X35" s="314"/>
      <c r="Y35" s="315"/>
      <c r="Z35" s="313"/>
      <c r="AA35" s="314"/>
      <c r="AC35" s="314"/>
      <c r="AD35" s="314"/>
      <c r="AE35" s="313"/>
      <c r="AF35" s="316"/>
      <c r="AH35" s="313"/>
    </row>
    <row r="36" spans="1:46" ht="15.75">
      <c r="A36" s="327"/>
      <c r="B36" s="327"/>
      <c r="C36" s="327"/>
      <c r="D36" s="327"/>
      <c r="E36" s="327"/>
      <c r="F36" s="363">
        <f t="shared" si="0"/>
        <v>30</v>
      </c>
      <c r="G36" s="359"/>
      <c r="H36" s="361" t="s">
        <v>186</v>
      </c>
      <c r="I36" s="361"/>
      <c r="J36" s="360">
        <f ca="1">+K9/K7</f>
        <v>6.1100000000000015E-2</v>
      </c>
      <c r="K36" s="360">
        <f ca="1">+J36</f>
        <v>6.1100000000000015E-2</v>
      </c>
      <c r="L36" s="359"/>
      <c r="M36" s="359"/>
      <c r="N36" s="359"/>
      <c r="O36" s="327"/>
      <c r="P36" s="327"/>
      <c r="R36" s="611">
        <v>1</v>
      </c>
      <c r="S36" s="612">
        <f ca="1">AI31/Investment*100</f>
        <v>398.28291120910075</v>
      </c>
      <c r="T36" s="613">
        <f ca="1">EXP(y_inter1-(slope*LN(+S36)))</f>
        <v>5.1005917150019036</v>
      </c>
      <c r="U36" s="614">
        <f ca="1">(+S36*T36/100)/100</f>
        <v>0.2031478517139978</v>
      </c>
      <c r="V36" s="614">
        <f>regDebt_weighted</f>
        <v>3.5860000000000003E-2</v>
      </c>
      <c r="W36" s="614">
        <f ca="1">+U36-V36</f>
        <v>0.16728785171399779</v>
      </c>
      <c r="X36" s="614">
        <f ca="1">+((W36*(1-0.34))-Pfd_weighted)/Equity_percent</f>
        <v>0.3029650643349957</v>
      </c>
      <c r="Y36" s="614">
        <f ca="1">+X36*equityP</f>
        <v>0.18177903860099742</v>
      </c>
      <c r="Z36" s="614">
        <f ca="1">+Y36/(1-taxrate)</f>
        <v>0.23010004886202204</v>
      </c>
      <c r="AA36" s="614">
        <f>debtP*Debt_Rate</f>
        <v>2.0000000000000004E-2</v>
      </c>
      <c r="AB36" s="614">
        <f ca="1">+AA36+Z36</f>
        <v>0.25010004886202203</v>
      </c>
      <c r="AC36" s="614">
        <f ca="1">+AB36/(S36/100)</f>
        <v>6.2794571854155726E-2</v>
      </c>
      <c r="AD36" s="614">
        <f ca="1">1-AC36</f>
        <v>0.93720542814584429</v>
      </c>
      <c r="AE36" s="615">
        <f ca="1">expenses/(AD36)</f>
        <v>89423.642842440415</v>
      </c>
      <c r="AF36" s="616">
        <f ca="1">+AE36-Revenue</f>
        <v>-1222.0971575595904</v>
      </c>
      <c r="AG36" s="617">
        <f ca="1">+AF36/$J$49</f>
        <v>-1333.7644039069196</v>
      </c>
      <c r="AH36" s="617">
        <f ca="1">+AG36*$J$47</f>
        <v>-30.143075528296386</v>
      </c>
      <c r="AI36" s="615">
        <f ca="1">ROUND(+AH36+AE36,5)</f>
        <v>89393.499769999995</v>
      </c>
    </row>
    <row r="37" spans="1:46" ht="15.75">
      <c r="A37" s="327"/>
      <c r="B37" s="327"/>
      <c r="C37" s="327"/>
      <c r="D37" s="327"/>
      <c r="E37" s="327"/>
      <c r="F37" s="363">
        <f t="shared" si="0"/>
        <v>31</v>
      </c>
      <c r="G37" s="359"/>
      <c r="H37" s="361" t="s">
        <v>187</v>
      </c>
      <c r="I37" s="366"/>
      <c r="J37" s="394">
        <f ca="1">+S39/100</f>
        <v>3.9735405879412053</v>
      </c>
      <c r="K37" s="394">
        <f ca="1">+J37</f>
        <v>3.9735405879412053</v>
      </c>
      <c r="L37" s="359"/>
      <c r="M37" s="359"/>
      <c r="N37" s="359"/>
      <c r="O37" s="327"/>
      <c r="P37" s="327"/>
      <c r="R37" s="393">
        <v>2</v>
      </c>
      <c r="S37" s="390">
        <f ca="1">AI32/Investment*100</f>
        <v>397.84139435002783</v>
      </c>
      <c r="T37" s="392">
        <f ca="1">EXP(y_inter2-(slope*LN(+S37)))</f>
        <v>5.0318356550301129</v>
      </c>
      <c r="U37" s="388">
        <f ca="1">(+S37*T37/100)/100</f>
        <v>0.20018725131373657</v>
      </c>
      <c r="V37" s="388">
        <f>regDebt_weighted</f>
        <v>3.5860000000000003E-2</v>
      </c>
      <c r="W37" s="388">
        <f ca="1">+U37-V37</f>
        <v>0.16432725131373657</v>
      </c>
      <c r="X37" s="388">
        <f ca="1">+((W37*(1-0.34))-Pfd_weighted)/Equity_percent</f>
        <v>0.29728484263682015</v>
      </c>
      <c r="Y37" s="388">
        <f ca="1">+X37*equityP</f>
        <v>0.17837090558209209</v>
      </c>
      <c r="Z37" s="388">
        <f ca="1">+Y37/(1-taxrate)</f>
        <v>0.22578595643302796</v>
      </c>
      <c r="AA37" s="388">
        <f>debtP*Debt_Rate</f>
        <v>2.0000000000000004E-2</v>
      </c>
      <c r="AB37" s="388">
        <f ca="1">+AA37+Z37</f>
        <v>0.24578595643302797</v>
      </c>
      <c r="AC37" s="388">
        <f ca="1">+AB37/(S37/100)</f>
        <v>6.1779885131003034E-2</v>
      </c>
      <c r="AD37" s="388">
        <f ca="1">1-AC37</f>
        <v>0.93822011486899692</v>
      </c>
      <c r="AE37" s="386">
        <f ca="1">expenses/(AD37)</f>
        <v>89326.931013638023</v>
      </c>
      <c r="AF37" s="387">
        <f ca="1">+AE37-Revenue</f>
        <v>-1318.8089863619825</v>
      </c>
      <c r="AG37" s="375">
        <f ca="1">+AF37/$J$49</f>
        <v>-1439.3131271777868</v>
      </c>
      <c r="AH37" s="375">
        <f ca="1">+AG37*$J$47</f>
        <v>-32.528476674217984</v>
      </c>
      <c r="AI37" s="386">
        <f ca="1">ROUND(+AH37+AE37,5)</f>
        <v>89294.402539999995</v>
      </c>
    </row>
    <row r="38" spans="1:46" ht="15.75">
      <c r="A38" s="327"/>
      <c r="B38" s="327"/>
      <c r="C38" s="327"/>
      <c r="D38" s="327"/>
      <c r="E38" s="327"/>
      <c r="F38" s="363">
        <f t="shared" si="0"/>
        <v>32</v>
      </c>
      <c r="G38" s="359"/>
      <c r="H38" s="361" t="s">
        <v>188</v>
      </c>
      <c r="I38" s="359"/>
      <c r="J38" s="360">
        <f>+C10</f>
        <v>0.21</v>
      </c>
      <c r="K38" s="360">
        <f>+J38</f>
        <v>0.21</v>
      </c>
      <c r="L38" s="359"/>
      <c r="M38" s="359"/>
      <c r="N38" s="359"/>
      <c r="O38" s="327"/>
      <c r="P38" s="327"/>
      <c r="Q38" s="391"/>
      <c r="R38" s="357">
        <v>3</v>
      </c>
      <c r="S38" s="390">
        <f ca="1">AI33/Investment*100</f>
        <v>397.54413812049654</v>
      </c>
      <c r="T38" s="313">
        <f ca="1">EXP(y_inter3-(slope*LN(S38)))</f>
        <v>4.9854609641830088</v>
      </c>
      <c r="U38" s="388">
        <f ca="1">(+S38*T38/100)/100</f>
        <v>0.19819407821395138</v>
      </c>
      <c r="V38" s="388">
        <f>regDebt_weighted</f>
        <v>3.5860000000000003E-2</v>
      </c>
      <c r="W38" s="388">
        <f ca="1">+U38-V38</f>
        <v>0.16233407821395138</v>
      </c>
      <c r="X38" s="388">
        <f ca="1">+((W38*(1-0.34))-Pfd_weighted)/Equity_percent</f>
        <v>0.29346073145699969</v>
      </c>
      <c r="Y38" s="388">
        <f ca="1">+X38*equityP</f>
        <v>0.1760764388741998</v>
      </c>
      <c r="Z38" s="388">
        <f ca="1">+Y38/(1-taxrate)</f>
        <v>0.22288156819518962</v>
      </c>
      <c r="AA38" s="388">
        <f>debtP*Debt_Rate</f>
        <v>2.0000000000000004E-2</v>
      </c>
      <c r="AB38" s="388">
        <f ca="1">+AA38+Z38</f>
        <v>0.24288156819518963</v>
      </c>
      <c r="AC38" s="388">
        <f ca="1">+AB38/(S38/100)</f>
        <v>6.1095497305904606E-2</v>
      </c>
      <c r="AD38" s="388">
        <f ca="1">1-AC38</f>
        <v>0.93890450269409542</v>
      </c>
      <c r="AE38" s="386">
        <f ca="1">expenses/(AD38)</f>
        <v>89261.818679142103</v>
      </c>
      <c r="AF38" s="387">
        <f ca="1">+AE38-Revenue</f>
        <v>-1383.9213208579022</v>
      </c>
      <c r="AG38" s="375">
        <f ca="1">+AF38/$J$49</f>
        <v>-1510.375000997507</v>
      </c>
      <c r="AH38" s="375">
        <f ca="1">+AG38*$J$47</f>
        <v>-34.134475022543661</v>
      </c>
      <c r="AI38" s="386">
        <f ca="1">ROUND(+AH38+AE38,5)</f>
        <v>89227.684200000003</v>
      </c>
    </row>
    <row r="39" spans="1:46" ht="15.75">
      <c r="A39" s="327"/>
      <c r="B39" s="327"/>
      <c r="C39" s="327"/>
      <c r="D39" s="327"/>
      <c r="E39" s="327"/>
      <c r="F39" s="363">
        <f t="shared" si="0"/>
        <v>33</v>
      </c>
      <c r="G39" s="359"/>
      <c r="H39" s="359"/>
      <c r="I39" s="359"/>
      <c r="J39" s="359"/>
      <c r="K39" s="359"/>
      <c r="L39" s="359"/>
      <c r="M39" s="359"/>
      <c r="N39" s="359"/>
      <c r="O39" s="327"/>
      <c r="P39" s="327"/>
      <c r="R39" s="371">
        <v>4</v>
      </c>
      <c r="S39" s="390">
        <f ca="1">AI34/Investment*100</f>
        <v>397.35405879412053</v>
      </c>
      <c r="T39" s="389">
        <f ca="1">EXP(y_inter4-(slope*LN(S39)))</f>
        <v>4.9557713829623493</v>
      </c>
      <c r="U39" s="388">
        <f ca="1">(+S39*T39/100)/100</f>
        <v>0.19691958734758416</v>
      </c>
      <c r="V39" s="388">
        <f>regDebt_weighted</f>
        <v>3.5860000000000003E-2</v>
      </c>
      <c r="W39" s="388">
        <f ca="1">+U39-V39</f>
        <v>0.16105958734758416</v>
      </c>
      <c r="X39" s="388">
        <f ca="1">+((W39*(1-0.34))-Pfd_weighted)/Equity_percent</f>
        <v>0.29101548735292304</v>
      </c>
      <c r="Y39" s="388">
        <f ca="1">+X39*equityP</f>
        <v>0.17460929241175382</v>
      </c>
      <c r="Z39" s="388">
        <f ca="1">+Y39/(1-taxrate)</f>
        <v>0.22102442077437193</v>
      </c>
      <c r="AA39" s="388">
        <f>debtP*Debt_Rate</f>
        <v>2.0000000000000004E-2</v>
      </c>
      <c r="AB39" s="388">
        <f ca="1">+AA39+Z39</f>
        <v>0.24102442077437192</v>
      </c>
      <c r="AC39" s="388">
        <f ca="1">+AB39/(S39/100)</f>
        <v>6.0657344612466371E-2</v>
      </c>
      <c r="AD39" s="388">
        <f ca="1">1-AC39</f>
        <v>0.93934265538753359</v>
      </c>
      <c r="AE39" s="386">
        <f ca="1">expenses/(AD39)</f>
        <v>89220.182854290382</v>
      </c>
      <c r="AF39" s="387">
        <f ca="1">+AE39-Revenue</f>
        <v>-1425.557145709623</v>
      </c>
      <c r="AG39" s="375">
        <f ca="1">+AF39/$J$49</f>
        <v>-1555.8152352464933</v>
      </c>
      <c r="AH39" s="375">
        <f ca="1">+AG39*$J$47</f>
        <v>-35.161424316570752</v>
      </c>
      <c r="AI39" s="386">
        <f ca="1">ROUND(+AH39+AE39,5)</f>
        <v>89185.021429999993</v>
      </c>
    </row>
    <row r="40" spans="1:46" ht="15.75">
      <c r="A40" s="327"/>
      <c r="B40" s="327"/>
      <c r="C40" s="327"/>
      <c r="D40" s="327"/>
      <c r="E40" s="327"/>
      <c r="F40" s="363">
        <f t="shared" si="0"/>
        <v>34</v>
      </c>
      <c r="G40" s="366"/>
      <c r="H40" s="359"/>
      <c r="I40" s="359"/>
      <c r="J40" s="359"/>
      <c r="K40" s="359"/>
      <c r="L40" s="359"/>
      <c r="M40" s="359"/>
      <c r="N40" s="359"/>
      <c r="O40" s="327"/>
      <c r="P40" s="327"/>
      <c r="X40" s="314"/>
      <c r="Y40" s="315"/>
      <c r="Z40" s="313"/>
      <c r="AA40" s="314"/>
      <c r="AC40" s="314"/>
      <c r="AD40" s="314"/>
      <c r="AE40" s="313"/>
      <c r="AF40" s="316"/>
      <c r="AH40" s="313"/>
    </row>
    <row r="41" spans="1:46" ht="15.75">
      <c r="A41" s="327"/>
      <c r="B41" s="327"/>
      <c r="C41" s="327"/>
      <c r="D41" s="327"/>
      <c r="E41" s="327"/>
      <c r="F41" s="363">
        <f t="shared" si="0"/>
        <v>35</v>
      </c>
      <c r="G41" s="359"/>
      <c r="H41" s="385" t="s">
        <v>189</v>
      </c>
      <c r="I41" s="384"/>
      <c r="J41" s="359"/>
      <c r="K41" s="359"/>
      <c r="L41" s="359"/>
      <c r="M41" s="359"/>
      <c r="N41" s="359"/>
      <c r="O41" s="327"/>
      <c r="P41" s="327"/>
      <c r="R41" s="621" t="s">
        <v>190</v>
      </c>
      <c r="S41" s="622"/>
      <c r="T41" s="619"/>
      <c r="U41" s="619"/>
      <c r="V41" s="620"/>
      <c r="X41" s="383"/>
      <c r="Y41" s="315"/>
      <c r="Z41" s="313"/>
      <c r="AA41" s="314"/>
      <c r="AC41" s="314"/>
      <c r="AD41" s="314"/>
      <c r="AE41" s="313"/>
      <c r="AF41" s="316"/>
      <c r="AH41" s="313"/>
    </row>
    <row r="42" spans="1:46" ht="15.75">
      <c r="A42" s="327"/>
      <c r="B42" s="327"/>
      <c r="C42" s="327"/>
      <c r="D42" s="327"/>
      <c r="E42" s="327"/>
      <c r="F42" s="363">
        <f t="shared" si="0"/>
        <v>36</v>
      </c>
      <c r="G42" s="359"/>
      <c r="H42" s="359"/>
      <c r="I42" s="359"/>
      <c r="J42" s="382" t="s">
        <v>28</v>
      </c>
      <c r="K42" s="381" t="s">
        <v>128</v>
      </c>
      <c r="L42" s="359"/>
      <c r="M42" s="359"/>
      <c r="N42" s="359"/>
      <c r="O42" s="327"/>
      <c r="P42" s="327"/>
      <c r="R42" s="380" t="s">
        <v>191</v>
      </c>
      <c r="S42" s="379"/>
      <c r="V42" s="356"/>
      <c r="X42" s="314"/>
      <c r="Y42" s="315"/>
      <c r="Z42" s="313"/>
      <c r="AA42" s="314"/>
      <c r="AC42" s="314"/>
      <c r="AD42" s="314"/>
      <c r="AE42" s="313"/>
      <c r="AH42" s="313"/>
    </row>
    <row r="43" spans="1:46" ht="15.75">
      <c r="A43" s="327"/>
      <c r="B43" s="327"/>
      <c r="C43" s="327"/>
      <c r="D43" s="327"/>
      <c r="E43" s="327"/>
      <c r="F43" s="363">
        <f t="shared" si="0"/>
        <v>37</v>
      </c>
      <c r="G43" s="359"/>
      <c r="H43" s="361" t="s">
        <v>192</v>
      </c>
      <c r="I43" s="373"/>
      <c r="J43" s="365">
        <f>IF($A$65=TRUE,C11,0)</f>
        <v>1.7500000000000002E-2</v>
      </c>
      <c r="K43" s="372">
        <f ca="1">+J43*($J$7/$J$49)</f>
        <v>-26.423386717207485</v>
      </c>
      <c r="L43" s="359"/>
      <c r="M43" s="359"/>
      <c r="N43" s="359"/>
      <c r="O43" s="327"/>
      <c r="P43" s="327"/>
      <c r="R43" s="357">
        <v>0</v>
      </c>
      <c r="S43" s="377">
        <v>1</v>
      </c>
      <c r="U43" s="378" t="s">
        <v>186</v>
      </c>
      <c r="V43" s="323">
        <f ca="1">VLOOKUP(R49,R36:AE39,12)</f>
        <v>6.1095497305904606E-2</v>
      </c>
      <c r="AA43" s="314"/>
      <c r="AC43" s="314"/>
      <c r="AH43" s="313"/>
      <c r="AL43" s="314"/>
      <c r="AM43" s="314"/>
      <c r="AN43" s="314"/>
      <c r="AO43" s="314"/>
      <c r="AP43" s="314"/>
      <c r="AQ43" s="314"/>
      <c r="AR43" s="314"/>
      <c r="AS43" s="314"/>
      <c r="AT43" s="314"/>
    </row>
    <row r="44" spans="1:46" ht="15.75">
      <c r="A44" s="327"/>
      <c r="B44" s="327"/>
      <c r="C44" s="327"/>
      <c r="D44" s="327"/>
      <c r="E44" s="327"/>
      <c r="F44" s="363">
        <f t="shared" si="0"/>
        <v>38</v>
      </c>
      <c r="G44" s="359"/>
      <c r="H44" s="361" t="s">
        <v>193</v>
      </c>
      <c r="I44" s="373"/>
      <c r="J44" s="365">
        <f>IF($A$65=TRUE,C12,0)</f>
        <v>5.1000000000000004E-3</v>
      </c>
      <c r="K44" s="372">
        <f ca="1">+J44*($J$7/$J$49)</f>
        <v>-7.7005298433004672</v>
      </c>
      <c r="L44" s="359"/>
      <c r="M44" s="359"/>
      <c r="N44" s="359"/>
      <c r="O44" s="327"/>
      <c r="P44" s="327"/>
      <c r="R44" s="357">
        <v>50</v>
      </c>
      <c r="S44" s="377">
        <v>2</v>
      </c>
      <c r="U44" s="378" t="s">
        <v>127</v>
      </c>
      <c r="V44" s="323">
        <f ca="1">ROUND(1-V43,5)</f>
        <v>0.93889999999999996</v>
      </c>
      <c r="Y44" s="374"/>
      <c r="Z44" s="310"/>
      <c r="AA44" s="310"/>
      <c r="AC44" s="314"/>
      <c r="AF44" s="316"/>
      <c r="AH44" s="313"/>
      <c r="AL44" s="314"/>
      <c r="AM44" s="314"/>
      <c r="AN44" s="314"/>
      <c r="AO44" s="314"/>
      <c r="AP44" s="314"/>
      <c r="AQ44" s="314"/>
      <c r="AR44" s="314"/>
      <c r="AS44" s="314"/>
      <c r="AT44" s="314"/>
    </row>
    <row r="45" spans="1:46" ht="15.75">
      <c r="A45" s="327"/>
      <c r="B45" s="327"/>
      <c r="C45" s="327"/>
      <c r="D45" s="327"/>
      <c r="E45" s="327"/>
      <c r="F45" s="363">
        <f t="shared" si="0"/>
        <v>39</v>
      </c>
      <c r="G45" s="359"/>
      <c r="H45" s="361" t="s">
        <v>194</v>
      </c>
      <c r="I45" s="373"/>
      <c r="J45" s="365">
        <f>IF($A$65=TRUE,C13,0)</f>
        <v>0</v>
      </c>
      <c r="K45" s="372">
        <f ca="1">+J45*($J$7/$J$49)</f>
        <v>0</v>
      </c>
      <c r="L45" s="359"/>
      <c r="M45" s="359"/>
      <c r="N45" s="359"/>
      <c r="O45" s="327"/>
      <c r="P45" s="327"/>
      <c r="R45" s="357">
        <v>125</v>
      </c>
      <c r="S45" s="377">
        <v>3</v>
      </c>
      <c r="U45" s="309" t="s">
        <v>195</v>
      </c>
      <c r="V45" s="376">
        <f ca="1">+M7/Revenue-1</f>
        <v>-1.5639093060899056E-2</v>
      </c>
      <c r="W45" s="375"/>
      <c r="X45" s="314"/>
      <c r="Y45" s="374"/>
      <c r="Z45" s="313"/>
      <c r="AA45" s="314"/>
      <c r="AC45" s="314"/>
      <c r="AD45" s="314"/>
      <c r="AE45" s="313"/>
      <c r="AF45" s="316"/>
      <c r="AH45" s="313"/>
      <c r="AL45" s="314"/>
      <c r="AM45" s="314"/>
      <c r="AN45" s="314"/>
      <c r="AO45" s="314"/>
      <c r="AP45" s="314"/>
      <c r="AQ45" s="314"/>
      <c r="AR45" s="314"/>
      <c r="AS45" s="314"/>
      <c r="AT45" s="314"/>
    </row>
    <row r="46" spans="1:46" ht="15.75">
      <c r="A46" s="327"/>
      <c r="B46" s="327"/>
      <c r="C46" s="327"/>
      <c r="D46" s="327"/>
      <c r="E46" s="327"/>
      <c r="F46" s="363">
        <f t="shared" si="0"/>
        <v>40</v>
      </c>
      <c r="G46" s="359"/>
      <c r="H46" s="361" t="s">
        <v>196</v>
      </c>
      <c r="I46" s="373"/>
      <c r="J46" s="365">
        <f>IF($A$65=TRUE,C14,0)</f>
        <v>0</v>
      </c>
      <c r="K46" s="372">
        <f ca="1">+J46*($J$7/$J$49)</f>
        <v>0</v>
      </c>
      <c r="L46" s="359"/>
      <c r="M46" s="359"/>
      <c r="N46" s="359"/>
      <c r="O46" s="327"/>
      <c r="P46" s="327"/>
      <c r="R46" s="371">
        <v>401</v>
      </c>
      <c r="S46" s="370">
        <v>4</v>
      </c>
      <c r="T46" s="352"/>
      <c r="U46" s="352"/>
      <c r="V46" s="369"/>
      <c r="X46" s="314"/>
      <c r="Y46" s="315"/>
      <c r="Z46" s="313"/>
      <c r="AA46" s="314"/>
      <c r="AC46" s="314"/>
      <c r="AD46" s="314"/>
      <c r="AE46" s="313"/>
      <c r="AF46" s="316"/>
      <c r="AH46" s="313"/>
      <c r="AL46" s="314"/>
      <c r="AM46" s="314"/>
      <c r="AN46" s="314"/>
      <c r="AO46" s="314"/>
      <c r="AP46" s="314"/>
      <c r="AQ46" s="314"/>
      <c r="AR46" s="314"/>
      <c r="AS46" s="314"/>
      <c r="AT46" s="314"/>
    </row>
    <row r="47" spans="1:46" ht="16.5" thickBot="1">
      <c r="A47" s="327"/>
      <c r="B47" s="327"/>
      <c r="C47" s="327"/>
      <c r="D47" s="327"/>
      <c r="E47" s="327"/>
      <c r="F47" s="363">
        <f t="shared" si="0"/>
        <v>41</v>
      </c>
      <c r="G47" s="359"/>
      <c r="H47" s="361" t="s">
        <v>197</v>
      </c>
      <c r="I47" s="366"/>
      <c r="J47" s="368">
        <f>SUM(J43:J46)</f>
        <v>2.2600000000000002E-2</v>
      </c>
      <c r="K47" s="367">
        <f ca="1">+K43+K44+K45+K46</f>
        <v>-34.123916560507951</v>
      </c>
      <c r="L47" s="359"/>
      <c r="M47" s="359"/>
      <c r="N47" s="359"/>
      <c r="O47" s="327"/>
      <c r="P47" s="327"/>
      <c r="R47" s="357"/>
      <c r="S47" s="310"/>
      <c r="X47" s="314"/>
      <c r="Y47" s="315"/>
      <c r="Z47" s="313"/>
      <c r="AA47" s="314"/>
      <c r="AC47" s="314"/>
      <c r="AD47" s="314"/>
      <c r="AE47" s="313"/>
      <c r="AF47" s="316"/>
      <c r="AH47" s="313"/>
      <c r="AL47" s="314"/>
      <c r="AM47" s="314"/>
      <c r="AN47" s="314"/>
      <c r="AO47" s="314"/>
      <c r="AP47" s="314"/>
      <c r="AQ47" s="314"/>
      <c r="AR47" s="314"/>
      <c r="AS47" s="314"/>
      <c r="AT47" s="314"/>
    </row>
    <row r="48" spans="1:46" ht="16.5" thickTop="1">
      <c r="A48" s="327"/>
      <c r="B48" s="327"/>
      <c r="C48" s="327"/>
      <c r="D48" s="327"/>
      <c r="E48" s="327"/>
      <c r="F48" s="363">
        <f t="shared" si="0"/>
        <v>42</v>
      </c>
      <c r="G48" s="359"/>
      <c r="H48" s="361"/>
      <c r="I48" s="366"/>
      <c r="J48" s="365"/>
      <c r="K48" s="364"/>
      <c r="L48" s="359"/>
      <c r="M48" s="359"/>
      <c r="N48" s="359"/>
      <c r="O48" s="327"/>
      <c r="P48" s="327"/>
      <c r="R48" s="623">
        <f ca="1">VLOOKUP(R49,R36:S39,2)</f>
        <v>397.54413812049654</v>
      </c>
      <c r="S48" s="624" t="s">
        <v>198</v>
      </c>
      <c r="T48" s="620"/>
      <c r="V48" s="619"/>
      <c r="X48" s="309" t="s">
        <v>199</v>
      </c>
      <c r="AC48" s="314"/>
      <c r="AF48" s="316"/>
      <c r="AH48" s="313"/>
    </row>
    <row r="49" spans="1:46" ht="15.75">
      <c r="A49" s="327"/>
      <c r="B49" s="327"/>
      <c r="C49" s="327"/>
      <c r="D49" s="327"/>
      <c r="E49" s="327"/>
      <c r="F49" s="363">
        <f t="shared" si="0"/>
        <v>43</v>
      </c>
      <c r="G49" s="362"/>
      <c r="H49" s="361" t="s">
        <v>200</v>
      </c>
      <c r="I49" s="359"/>
      <c r="J49" s="360">
        <f ca="1">((K35)-J47)</f>
        <v>0.91627663324929898</v>
      </c>
      <c r="K49" s="359"/>
      <c r="L49" s="359"/>
      <c r="M49" s="359"/>
      <c r="N49" s="359"/>
      <c r="O49" s="327"/>
      <c r="P49" s="327"/>
      <c r="R49" s="357">
        <f ca="1">VLOOKUP(S36,R43:S46,2)</f>
        <v>3</v>
      </c>
      <c r="S49" s="358" t="s">
        <v>201</v>
      </c>
      <c r="T49" s="356"/>
      <c r="X49" s="309" t="s">
        <v>202</v>
      </c>
      <c r="AA49" s="310"/>
      <c r="AC49" s="314"/>
      <c r="AH49" s="313"/>
    </row>
    <row r="50" spans="1:46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55"/>
      <c r="L50" s="327"/>
      <c r="M50" s="327"/>
      <c r="N50" s="354"/>
      <c r="O50" s="327"/>
      <c r="P50" s="327"/>
      <c r="R50" s="357"/>
      <c r="T50" s="356"/>
      <c r="X50" s="309" t="s">
        <v>203</v>
      </c>
      <c r="AA50" s="314"/>
      <c r="AC50" s="314"/>
      <c r="AD50" s="314"/>
      <c r="AE50" s="313"/>
      <c r="AH50" s="313"/>
    </row>
    <row r="51" spans="1:46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55"/>
      <c r="L51" s="327"/>
      <c r="M51" s="327"/>
      <c r="N51" s="354"/>
      <c r="O51" s="327"/>
      <c r="P51" s="327"/>
      <c r="R51" s="353">
        <f ca="1">+V44</f>
        <v>0.93889999999999996</v>
      </c>
      <c r="S51" s="352" t="s">
        <v>127</v>
      </c>
      <c r="T51" s="351"/>
      <c r="X51" s="309" t="s">
        <v>204</v>
      </c>
      <c r="AA51" s="314"/>
      <c r="AC51" s="314"/>
      <c r="AD51" s="314"/>
      <c r="AE51" s="313"/>
      <c r="AF51" s="314"/>
      <c r="AH51" s="313"/>
      <c r="AL51" s="314"/>
      <c r="AM51" s="314"/>
      <c r="AN51" s="314"/>
      <c r="AO51" s="314"/>
      <c r="AP51" s="314"/>
      <c r="AQ51" s="314"/>
      <c r="AR51" s="314"/>
      <c r="AS51" s="314"/>
      <c r="AT51" s="314"/>
    </row>
    <row r="52" spans="1:46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Z52" s="313"/>
      <c r="AA52" s="314"/>
      <c r="AC52" s="314"/>
      <c r="AD52" s="314"/>
      <c r="AE52" s="313"/>
      <c r="AF52" s="316"/>
      <c r="AH52" s="313"/>
      <c r="AL52" s="314"/>
      <c r="AM52" s="314"/>
      <c r="AN52" s="314"/>
      <c r="AO52" s="314"/>
      <c r="AP52" s="314"/>
      <c r="AQ52" s="314"/>
      <c r="AR52" s="314"/>
      <c r="AS52" s="314"/>
      <c r="AT52" s="314"/>
    </row>
    <row r="53" spans="1:46">
      <c r="A53" s="327"/>
      <c r="B53" s="327"/>
      <c r="C53" s="327"/>
      <c r="D53" s="327"/>
      <c r="E53" s="327"/>
      <c r="F53" s="327"/>
      <c r="G53" s="327"/>
      <c r="H53" s="327"/>
      <c r="I53" s="327"/>
      <c r="J53" s="330"/>
      <c r="K53" s="330"/>
      <c r="L53" s="330"/>
      <c r="M53" s="330"/>
      <c r="N53" s="327"/>
      <c r="O53" s="327"/>
      <c r="P53" s="327"/>
      <c r="R53" s="309"/>
      <c r="Z53" s="313"/>
      <c r="AA53" s="314"/>
      <c r="AC53" s="314"/>
      <c r="AD53" s="314"/>
      <c r="AE53" s="313"/>
      <c r="AF53" s="316"/>
      <c r="AH53" s="313"/>
      <c r="AL53" s="314"/>
      <c r="AM53" s="314"/>
      <c r="AN53" s="314"/>
      <c r="AO53" s="314"/>
      <c r="AP53" s="314"/>
      <c r="AQ53" s="314"/>
      <c r="AR53" s="314"/>
      <c r="AS53" s="314"/>
      <c r="AT53" s="314"/>
    </row>
    <row r="54" spans="1:46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30"/>
      <c r="L54" s="330"/>
      <c r="M54" s="330"/>
      <c r="N54" s="327"/>
      <c r="O54" s="327"/>
      <c r="P54" s="327"/>
      <c r="R54" s="309"/>
      <c r="S54" s="309" t="s">
        <v>205</v>
      </c>
      <c r="T54" s="314"/>
      <c r="U54" s="350"/>
      <c r="W54" s="349" t="s">
        <v>206</v>
      </c>
      <c r="X54" s="348"/>
      <c r="Y54" s="348"/>
      <c r="Z54" s="348"/>
      <c r="AC54" s="314"/>
      <c r="AF54" s="316"/>
      <c r="AH54" s="313"/>
      <c r="AL54" s="314"/>
      <c r="AM54" s="314"/>
      <c r="AN54" s="314"/>
      <c r="AO54" s="314"/>
      <c r="AP54" s="314"/>
      <c r="AQ54" s="314"/>
      <c r="AR54" s="314"/>
      <c r="AS54" s="314"/>
      <c r="AT54" s="314"/>
    </row>
    <row r="55" spans="1:46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39"/>
      <c r="M55" s="339"/>
      <c r="N55" s="327"/>
      <c r="O55" s="327"/>
      <c r="P55" s="327"/>
      <c r="R55" s="625"/>
      <c r="S55" s="626" t="s">
        <v>23</v>
      </c>
      <c r="T55" s="626" t="s">
        <v>207</v>
      </c>
      <c r="U55" s="627" t="s">
        <v>176</v>
      </c>
      <c r="W55" s="628" t="s">
        <v>208</v>
      </c>
      <c r="X55" s="629">
        <v>5.7225999999999999</v>
      </c>
      <c r="Y55" s="630" t="s">
        <v>209</v>
      </c>
      <c r="Z55" s="631">
        <v>5.6985000000000001</v>
      </c>
      <c r="AA55" s="310"/>
      <c r="AC55" s="314"/>
      <c r="AH55" s="313"/>
    </row>
    <row r="56" spans="1:46">
      <c r="A56" s="327"/>
      <c r="B56" s="327"/>
      <c r="C56" s="327"/>
      <c r="D56" s="327"/>
      <c r="E56" s="327"/>
      <c r="F56" s="327"/>
      <c r="G56" s="327"/>
      <c r="H56" s="327"/>
      <c r="I56" s="327"/>
      <c r="J56" s="339"/>
      <c r="K56" s="327"/>
      <c r="L56" s="339"/>
      <c r="M56" s="339"/>
      <c r="N56" s="327"/>
      <c r="O56" s="327"/>
      <c r="P56" s="327"/>
      <c r="R56" s="311" t="s">
        <v>125</v>
      </c>
      <c r="S56" s="343">
        <v>0.56200000000000006</v>
      </c>
      <c r="T56" s="343">
        <v>6.3799999999999996E-2</v>
      </c>
      <c r="U56" s="323">
        <f>ROUND(+S56*T56,5)</f>
        <v>3.5860000000000003E-2</v>
      </c>
      <c r="W56" s="347" t="s">
        <v>210</v>
      </c>
      <c r="X56" s="346">
        <v>5.7082699999999997</v>
      </c>
      <c r="Y56" s="345" t="s">
        <v>211</v>
      </c>
      <c r="Z56" s="344">
        <v>5.6921999999999997</v>
      </c>
      <c r="AA56" s="314"/>
      <c r="AC56" s="314"/>
      <c r="AD56" s="314"/>
      <c r="AE56" s="313"/>
      <c r="AH56" s="313"/>
    </row>
    <row r="57" spans="1:46">
      <c r="A57" s="327"/>
      <c r="B57" s="327"/>
      <c r="C57" s="327"/>
      <c r="D57" s="327"/>
      <c r="E57" s="330"/>
      <c r="F57" s="327"/>
      <c r="G57" s="327"/>
      <c r="H57" s="327"/>
      <c r="I57" s="327"/>
      <c r="J57" s="339"/>
      <c r="K57" s="327"/>
      <c r="L57" s="339"/>
      <c r="M57" s="339"/>
      <c r="N57" s="327"/>
      <c r="O57" s="327"/>
      <c r="P57" s="327"/>
      <c r="R57" s="311" t="s">
        <v>212</v>
      </c>
      <c r="S57" s="343">
        <v>9.4E-2</v>
      </c>
      <c r="T57" s="343">
        <v>6.59E-2</v>
      </c>
      <c r="U57" s="323">
        <f>ROUND(+S57*T57,5)</f>
        <v>6.1900000000000002E-3</v>
      </c>
      <c r="W57" s="311"/>
      <c r="Y57" s="342"/>
      <c r="Z57" s="341"/>
      <c r="AA57" s="314"/>
      <c r="AC57" s="314"/>
      <c r="AD57" s="314"/>
      <c r="AE57" s="313"/>
      <c r="AF57" s="316"/>
      <c r="AH57" s="313"/>
      <c r="AL57" s="314"/>
    </row>
    <row r="58" spans="1:46" ht="15.75">
      <c r="A58" s="327"/>
      <c r="B58" s="327"/>
      <c r="C58" s="327"/>
      <c r="D58" s="327"/>
      <c r="E58" s="330"/>
      <c r="F58" s="330"/>
      <c r="G58" s="330"/>
      <c r="H58" s="340"/>
      <c r="I58" s="330"/>
      <c r="J58" s="339"/>
      <c r="K58" s="327"/>
      <c r="L58" s="327"/>
      <c r="M58" s="327"/>
      <c r="N58" s="327"/>
      <c r="O58" s="327"/>
      <c r="P58" s="327"/>
      <c r="R58" s="311" t="s">
        <v>123</v>
      </c>
      <c r="S58" s="334">
        <v>0.34399999999999997</v>
      </c>
      <c r="T58" s="322"/>
      <c r="U58" s="338"/>
      <c r="W58" s="320"/>
      <c r="X58" s="337" t="s">
        <v>213</v>
      </c>
      <c r="Y58" s="336">
        <v>0.68367</v>
      </c>
      <c r="Z58" s="335"/>
      <c r="AA58" s="314"/>
      <c r="AC58" s="314"/>
      <c r="AD58" s="314"/>
      <c r="AE58" s="313"/>
      <c r="AF58" s="316"/>
      <c r="AH58" s="313"/>
    </row>
    <row r="59" spans="1:46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R59" s="320"/>
      <c r="S59" s="334">
        <f>SUM(S56:S58)</f>
        <v>1</v>
      </c>
      <c r="T59" s="333"/>
      <c r="U59" s="332"/>
      <c r="X59" s="314"/>
      <c r="Y59" s="315"/>
      <c r="Z59" s="313"/>
      <c r="AA59" s="314"/>
      <c r="AC59" s="314"/>
      <c r="AD59" s="314"/>
      <c r="AE59" s="313"/>
      <c r="AF59" s="316"/>
      <c r="AH59" s="313"/>
    </row>
    <row r="60" spans="1:46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X60" s="331"/>
      <c r="AC60" s="314"/>
      <c r="AF60" s="316"/>
      <c r="AH60" s="313"/>
      <c r="AL60" s="316"/>
      <c r="AM60" s="316"/>
      <c r="AN60" s="316"/>
      <c r="AO60" s="316"/>
      <c r="AP60" s="316"/>
      <c r="AQ60" s="316"/>
      <c r="AR60" s="316"/>
      <c r="AS60" s="316"/>
      <c r="AT60" s="316"/>
    </row>
    <row r="61" spans="1:46">
      <c r="A61" s="327"/>
      <c r="B61" s="327"/>
      <c r="C61" s="327"/>
      <c r="D61" s="327"/>
      <c r="E61" s="330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W61" s="625" t="s">
        <v>181</v>
      </c>
      <c r="X61" s="632"/>
      <c r="Y61" s="619" t="s">
        <v>214</v>
      </c>
      <c r="Z61" s="620" t="s">
        <v>106</v>
      </c>
      <c r="AC61" s="314"/>
      <c r="AH61" s="313"/>
      <c r="AL61" s="316"/>
      <c r="AM61" s="316"/>
      <c r="AN61" s="316"/>
      <c r="AO61" s="316"/>
      <c r="AP61" s="316"/>
      <c r="AQ61" s="316"/>
      <c r="AR61" s="316"/>
      <c r="AS61" s="316"/>
      <c r="AT61" s="316"/>
    </row>
    <row r="62" spans="1:46">
      <c r="A62" s="327"/>
      <c r="B62" s="327"/>
      <c r="C62" s="327"/>
      <c r="D62" s="327"/>
      <c r="E62" s="327"/>
      <c r="F62" s="330"/>
      <c r="G62" s="330"/>
      <c r="H62" s="330"/>
      <c r="I62" s="330"/>
      <c r="J62" s="330"/>
      <c r="K62" s="330"/>
      <c r="L62" s="330"/>
      <c r="M62" s="330"/>
      <c r="N62" s="330"/>
      <c r="O62" s="327"/>
      <c r="P62" s="327"/>
      <c r="W62" s="329"/>
      <c r="X62" s="326"/>
      <c r="Y62" s="326"/>
      <c r="Z62" s="328"/>
      <c r="AC62" s="314"/>
      <c r="AD62" s="314"/>
      <c r="AE62" s="313"/>
      <c r="AH62" s="313"/>
      <c r="AL62" s="316"/>
      <c r="AM62" s="316"/>
      <c r="AN62" s="316"/>
      <c r="AO62" s="316"/>
      <c r="AP62" s="316"/>
      <c r="AQ62" s="316"/>
      <c r="AR62" s="316"/>
      <c r="AS62" s="316"/>
      <c r="AT62" s="316"/>
    </row>
    <row r="63" spans="1:46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W63" s="311" t="s">
        <v>183</v>
      </c>
      <c r="X63" s="326"/>
      <c r="Y63" s="323">
        <f t="shared" ref="Y63:Z68" ca="1" si="1">+J33</f>
        <v>0.24299355609866052</v>
      </c>
      <c r="Z63" s="323">
        <f t="shared" ca="1" si="1"/>
        <v>0.19616490931794181</v>
      </c>
      <c r="AC63" s="314"/>
      <c r="AD63" s="314"/>
      <c r="AE63" s="313"/>
      <c r="AF63" s="316"/>
      <c r="AH63" s="313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4" spans="1:46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W64" s="311" t="s">
        <v>184</v>
      </c>
      <c r="X64" s="326"/>
      <c r="Y64" s="323">
        <f t="shared" ca="1" si="1"/>
        <v>0.37165592683110088</v>
      </c>
      <c r="Z64" s="323">
        <f t="shared" ca="1" si="1"/>
        <v>0.2936081821965697</v>
      </c>
      <c r="AC64" s="314"/>
      <c r="AD64" s="314"/>
      <c r="AE64" s="313"/>
      <c r="AF64" s="316"/>
      <c r="AH64" s="313"/>
    </row>
    <row r="65" spans="1:38">
      <c r="A65" s="309" t="b">
        <v>1</v>
      </c>
      <c r="F65" s="327"/>
      <c r="G65" s="327"/>
      <c r="H65" s="327"/>
      <c r="I65" s="327"/>
      <c r="J65" s="327"/>
      <c r="K65" s="327"/>
      <c r="L65" s="327"/>
      <c r="M65" s="327"/>
      <c r="N65" s="327"/>
      <c r="W65" s="311" t="s">
        <v>127</v>
      </c>
      <c r="X65" s="326"/>
      <c r="Y65" s="323">
        <f t="shared" ca="1" si="1"/>
        <v>0.93889999999999996</v>
      </c>
      <c r="Z65" s="323">
        <f t="shared" ca="1" si="1"/>
        <v>0.93887663324929893</v>
      </c>
      <c r="AC65" s="314"/>
      <c r="AD65" s="314"/>
      <c r="AE65" s="313"/>
      <c r="AF65" s="316"/>
      <c r="AH65" s="313"/>
    </row>
    <row r="66" spans="1:38">
      <c r="H66" s="316"/>
      <c r="I66" s="316"/>
      <c r="J66" s="316"/>
      <c r="K66" s="316"/>
      <c r="L66" s="316"/>
      <c r="M66" s="316"/>
      <c r="N66" s="316"/>
      <c r="O66" s="316"/>
      <c r="W66" s="311" t="s">
        <v>186</v>
      </c>
      <c r="X66" s="326"/>
      <c r="Y66" s="323">
        <f t="shared" ca="1" si="1"/>
        <v>6.1100000000000015E-2</v>
      </c>
      <c r="Z66" s="323">
        <f t="shared" ca="1" si="1"/>
        <v>6.1100000000000015E-2</v>
      </c>
      <c r="AC66" s="314"/>
      <c r="AF66" s="316"/>
      <c r="AH66" s="313"/>
      <c r="AL66" s="316"/>
    </row>
    <row r="67" spans="1:38">
      <c r="H67" s="316"/>
      <c r="I67" s="316"/>
      <c r="J67" s="316"/>
      <c r="K67" s="316"/>
      <c r="L67" s="316"/>
      <c r="M67" s="316"/>
      <c r="N67" s="316"/>
      <c r="O67" s="316"/>
      <c r="W67" s="311" t="s">
        <v>187</v>
      </c>
      <c r="X67" s="325"/>
      <c r="Y67" s="323">
        <f t="shared" ca="1" si="1"/>
        <v>3.9735405879412053</v>
      </c>
      <c r="Z67" s="323">
        <f t="shared" ca="1" si="1"/>
        <v>3.9735405879412053</v>
      </c>
      <c r="AC67" s="314"/>
      <c r="AH67" s="313"/>
    </row>
    <row r="68" spans="1:38">
      <c r="O68" s="316"/>
      <c r="W68" s="311" t="s">
        <v>188</v>
      </c>
      <c r="X68" s="324"/>
      <c r="Y68" s="323">
        <f t="shared" si="1"/>
        <v>0.21</v>
      </c>
      <c r="Z68" s="323">
        <f t="shared" si="1"/>
        <v>0.21</v>
      </c>
      <c r="AC68" s="314"/>
      <c r="AD68" s="314"/>
      <c r="AE68" s="313"/>
      <c r="AH68" s="313"/>
    </row>
    <row r="69" spans="1:38" ht="15.75">
      <c r="O69" s="316"/>
      <c r="W69" s="311"/>
      <c r="Y69" s="322"/>
      <c r="Z69" s="321"/>
      <c r="AC69" s="314"/>
      <c r="AD69" s="314"/>
      <c r="AE69" s="313"/>
      <c r="AF69" s="316"/>
      <c r="AH69" s="313"/>
    </row>
    <row r="70" spans="1:38">
      <c r="O70" s="316"/>
      <c r="W70" s="320"/>
      <c r="X70" s="319"/>
      <c r="Y70" s="318"/>
      <c r="Z70" s="317"/>
      <c r="AA70" s="314"/>
      <c r="AC70" s="314"/>
      <c r="AD70" s="314"/>
      <c r="AE70" s="313"/>
      <c r="AF70" s="316"/>
      <c r="AH70" s="313"/>
    </row>
    <row r="71" spans="1:38">
      <c r="X71" s="314"/>
      <c r="Y71" s="315"/>
      <c r="Z71" s="313"/>
      <c r="AA71" s="314"/>
      <c r="AC71" s="314"/>
      <c r="AD71" s="314"/>
      <c r="AE71" s="313"/>
      <c r="AF71" s="316"/>
      <c r="AH71" s="313"/>
    </row>
    <row r="72" spans="1:38">
      <c r="AC72" s="314"/>
      <c r="AF72" s="316"/>
      <c r="AH72" s="313"/>
    </row>
    <row r="73" spans="1:38">
      <c r="Y73" s="310"/>
      <c r="Z73" s="310"/>
      <c r="AA73" s="310"/>
      <c r="AC73" s="314"/>
      <c r="AH73" s="313"/>
    </row>
    <row r="74" spans="1:38">
      <c r="X74" s="314"/>
      <c r="Y74" s="315"/>
      <c r="Z74" s="313"/>
      <c r="AA74" s="314"/>
      <c r="AC74" s="314"/>
      <c r="AD74" s="314"/>
      <c r="AE74" s="313"/>
      <c r="AH74" s="313"/>
    </row>
    <row r="75" spans="1:38">
      <c r="X75" s="314"/>
      <c r="Y75" s="315"/>
      <c r="Z75" s="313"/>
      <c r="AA75" s="314"/>
      <c r="AC75" s="314"/>
      <c r="AD75" s="314"/>
      <c r="AE75" s="313"/>
      <c r="AF75" s="316"/>
      <c r="AH75" s="313"/>
    </row>
    <row r="76" spans="1:38">
      <c r="X76" s="314"/>
      <c r="Y76" s="315"/>
      <c r="Z76" s="313"/>
      <c r="AA76" s="314"/>
      <c r="AC76" s="314"/>
      <c r="AD76" s="314"/>
      <c r="AE76" s="313"/>
      <c r="AF76" s="316"/>
      <c r="AH76" s="313"/>
    </row>
    <row r="77" spans="1:38">
      <c r="X77" s="314"/>
      <c r="Y77" s="315"/>
      <c r="Z77" s="313"/>
      <c r="AA77" s="314"/>
      <c r="AC77" s="314"/>
      <c r="AD77" s="314"/>
      <c r="AE77" s="313"/>
      <c r="AF77" s="316"/>
      <c r="AH77" s="313"/>
    </row>
    <row r="78" spans="1:38">
      <c r="AC78" s="314"/>
      <c r="AF78" s="316"/>
      <c r="AH78" s="313"/>
    </row>
    <row r="80" spans="1:38">
      <c r="X80" s="314"/>
      <c r="Y80" s="315"/>
      <c r="Z80" s="313"/>
      <c r="AA80" s="314"/>
      <c r="AD80" s="314"/>
      <c r="AE80" s="313"/>
    </row>
    <row r="81" spans="24:32">
      <c r="X81" s="314"/>
      <c r="Y81" s="315"/>
      <c r="Z81" s="313"/>
      <c r="AA81" s="314"/>
      <c r="AD81" s="314"/>
      <c r="AE81" s="313"/>
      <c r="AF81" s="316"/>
    </row>
    <row r="82" spans="24:32">
      <c r="X82" s="314"/>
      <c r="Y82" s="315"/>
      <c r="Z82" s="313"/>
      <c r="AA82" s="314"/>
      <c r="AD82" s="314"/>
      <c r="AE82" s="313"/>
      <c r="AF82" s="316"/>
    </row>
    <row r="83" spans="24:32">
      <c r="X83" s="314"/>
      <c r="Y83" s="315"/>
      <c r="Z83" s="313"/>
      <c r="AA83" s="314"/>
      <c r="AD83" s="314"/>
      <c r="AE83" s="313"/>
      <c r="AF83" s="316"/>
    </row>
    <row r="84" spans="24:32">
      <c r="AF84" s="316"/>
    </row>
    <row r="86" spans="24:32">
      <c r="X86" s="314"/>
      <c r="Y86" s="315"/>
      <c r="Z86" s="313"/>
      <c r="AA86" s="314"/>
      <c r="AD86" s="314"/>
      <c r="AE86" s="313"/>
    </row>
    <row r="87" spans="24:32">
      <c r="X87" s="314"/>
      <c r="Y87" s="315"/>
      <c r="Z87" s="313"/>
      <c r="AA87" s="314"/>
      <c r="AD87" s="314"/>
      <c r="AE87" s="313"/>
      <c r="AF87" s="316"/>
    </row>
    <row r="88" spans="24:32">
      <c r="X88" s="314"/>
      <c r="Y88" s="315"/>
      <c r="Z88" s="313"/>
      <c r="AA88" s="314"/>
      <c r="AD88" s="314"/>
      <c r="AE88" s="313"/>
      <c r="AF88" s="316"/>
    </row>
    <row r="89" spans="24:32">
      <c r="X89" s="314"/>
      <c r="Y89" s="315"/>
      <c r="Z89" s="313"/>
      <c r="AA89" s="314"/>
      <c r="AD89" s="314"/>
      <c r="AE89" s="313"/>
      <c r="AF89" s="316"/>
    </row>
    <row r="90" spans="24:32">
      <c r="AF90" s="316"/>
    </row>
    <row r="92" spans="24:32">
      <c r="X92" s="314"/>
      <c r="Y92" s="315"/>
      <c r="Z92" s="313"/>
      <c r="AA92" s="314"/>
      <c r="AD92" s="314"/>
      <c r="AE92" s="313"/>
    </row>
    <row r="93" spans="24:32">
      <c r="X93" s="314"/>
      <c r="Y93" s="315"/>
      <c r="Z93" s="313"/>
      <c r="AA93" s="314"/>
      <c r="AD93" s="314"/>
      <c r="AE93" s="313"/>
      <c r="AF93" s="316"/>
    </row>
    <row r="94" spans="24:32">
      <c r="X94" s="314"/>
      <c r="Y94" s="315"/>
      <c r="Z94" s="313"/>
      <c r="AA94" s="314"/>
      <c r="AD94" s="314"/>
      <c r="AE94" s="313"/>
      <c r="AF94" s="316"/>
    </row>
    <row r="95" spans="24:32">
      <c r="X95" s="314"/>
      <c r="Y95" s="315"/>
      <c r="Z95" s="313"/>
      <c r="AA95" s="314"/>
      <c r="AD95" s="314"/>
      <c r="AE95" s="313"/>
      <c r="AF95" s="316"/>
    </row>
    <row r="96" spans="24:32">
      <c r="AF96" s="316"/>
    </row>
    <row r="98" spans="24:32">
      <c r="X98" s="314"/>
      <c r="Y98" s="315"/>
      <c r="Z98" s="313"/>
      <c r="AA98" s="314"/>
      <c r="AD98" s="314"/>
      <c r="AE98" s="313"/>
    </row>
    <row r="99" spans="24:32">
      <c r="X99" s="314"/>
      <c r="Y99" s="315"/>
      <c r="Z99" s="313"/>
      <c r="AA99" s="314"/>
      <c r="AD99" s="314"/>
      <c r="AE99" s="313"/>
      <c r="AF99" s="316"/>
    </row>
    <row r="100" spans="24:32">
      <c r="X100" s="314"/>
      <c r="Y100" s="315"/>
      <c r="Z100" s="313"/>
      <c r="AA100" s="314"/>
      <c r="AD100" s="314"/>
      <c r="AE100" s="313"/>
      <c r="AF100" s="316"/>
    </row>
    <row r="101" spans="24:32">
      <c r="X101" s="314"/>
      <c r="Y101" s="315"/>
      <c r="Z101" s="313"/>
      <c r="AA101" s="314"/>
      <c r="AD101" s="314"/>
      <c r="AE101" s="313"/>
      <c r="AF101" s="316"/>
    </row>
    <row r="102" spans="24:32">
      <c r="AF102" s="316"/>
    </row>
    <row r="104" spans="24:32">
      <c r="X104" s="314"/>
      <c r="Y104" s="315"/>
      <c r="Z104" s="313"/>
      <c r="AA104" s="314"/>
      <c r="AD104" s="314"/>
      <c r="AE104" s="313"/>
    </row>
    <row r="105" spans="24:32">
      <c r="X105" s="314"/>
      <c r="Y105" s="315"/>
      <c r="Z105" s="313"/>
      <c r="AA105" s="314"/>
      <c r="AD105" s="314"/>
      <c r="AE105" s="313"/>
      <c r="AF105" s="316"/>
    </row>
    <row r="106" spans="24:32">
      <c r="X106" s="314"/>
      <c r="Y106" s="315"/>
      <c r="Z106" s="313"/>
      <c r="AA106" s="314"/>
      <c r="AD106" s="314"/>
      <c r="AE106" s="313"/>
      <c r="AF106" s="316"/>
    </row>
    <row r="107" spans="24:32">
      <c r="X107" s="314"/>
      <c r="Y107" s="315"/>
      <c r="Z107" s="313"/>
      <c r="AA107" s="314"/>
      <c r="AD107" s="314"/>
      <c r="AE107" s="313"/>
      <c r="AF107" s="316"/>
    </row>
    <row r="108" spans="24:32">
      <c r="AF108" s="316"/>
    </row>
    <row r="110" spans="24:32">
      <c r="X110" s="314"/>
      <c r="Y110" s="315"/>
      <c r="Z110" s="313"/>
      <c r="AA110" s="314"/>
      <c r="AD110" s="314"/>
      <c r="AE110" s="313"/>
    </row>
    <row r="111" spans="24:32">
      <c r="X111" s="314"/>
      <c r="Y111" s="315"/>
      <c r="Z111" s="313"/>
      <c r="AA111" s="314"/>
      <c r="AD111" s="314"/>
      <c r="AE111" s="313"/>
    </row>
    <row r="112" spans="24:32">
      <c r="X112" s="314"/>
      <c r="Y112" s="315"/>
      <c r="Z112" s="313"/>
      <c r="AA112" s="314"/>
      <c r="AD112" s="314"/>
      <c r="AE112" s="313"/>
    </row>
    <row r="113" spans="24:31">
      <c r="X113" s="314"/>
      <c r="Y113" s="315"/>
      <c r="Z113" s="313"/>
      <c r="AA113" s="314"/>
      <c r="AD113" s="314"/>
      <c r="AE113" s="313"/>
    </row>
  </sheetData>
  <mergeCells count="7">
    <mergeCell ref="B18:C18"/>
    <mergeCell ref="P7:P10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6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69665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369665" r:id="rId4" name="CheckBox1"/>
      </mc:Fallback>
    </mc:AlternateContent>
  </control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theme="5" tint="0.59999389629810485"/>
  </sheetPr>
  <dimension ref="A1:AT113"/>
  <sheetViews>
    <sheetView workbookViewId="0">
      <selection activeCell="C7" sqref="C7"/>
    </sheetView>
  </sheetViews>
  <sheetFormatPr defaultColWidth="16.7109375" defaultRowHeight="15"/>
  <cols>
    <col min="1" max="1" width="4.85546875" style="309" customWidth="1"/>
    <col min="2" max="2" width="33.5703125" style="312" bestFit="1" customWidth="1"/>
    <col min="3" max="3" width="21.28515625" style="312" customWidth="1"/>
    <col min="4" max="4" width="21.28515625" style="312" hidden="1" customWidth="1"/>
    <col min="5" max="5" width="7.28515625" style="312" customWidth="1"/>
    <col min="6" max="6" width="5.7109375" style="309" customWidth="1"/>
    <col min="7" max="7" width="8.5703125" style="309" customWidth="1"/>
    <col min="8" max="8" width="15" style="309" customWidth="1"/>
    <col min="9" max="9" width="17.7109375" style="309" customWidth="1"/>
    <col min="10" max="10" width="13.28515625" style="309" customWidth="1"/>
    <col min="11" max="11" width="15.140625" style="309" bestFit="1" customWidth="1"/>
    <col min="12" max="13" width="18.42578125" style="309" customWidth="1"/>
    <col min="14" max="14" width="6.140625" style="309" customWidth="1"/>
    <col min="15" max="15" width="6.28515625" style="312" customWidth="1"/>
    <col min="16" max="16" width="40.42578125" style="312" customWidth="1"/>
    <col min="17" max="17" width="16.7109375" style="311"/>
    <col min="18" max="18" width="13.85546875" style="310" customWidth="1"/>
    <col min="19" max="19" width="16.7109375" style="309"/>
    <col min="20" max="20" width="13.42578125" style="309" customWidth="1"/>
    <col min="21" max="21" width="15.7109375" style="309" customWidth="1"/>
    <col min="22" max="22" width="16.7109375" style="309"/>
    <col min="23" max="24" width="17.7109375" style="309" customWidth="1"/>
    <col min="25" max="25" width="16" style="309" customWidth="1"/>
    <col min="26" max="26" width="16.7109375" style="309"/>
    <col min="27" max="27" width="15.85546875" style="309" customWidth="1"/>
    <col min="28" max="29" width="16.7109375" style="309"/>
    <col min="30" max="30" width="16.42578125" style="309" customWidth="1"/>
    <col min="31" max="31" width="17.28515625" style="309" customWidth="1"/>
    <col min="32" max="32" width="20.7109375" style="309" customWidth="1"/>
    <col min="33" max="33" width="18.140625" style="309" customWidth="1"/>
    <col min="34" max="34" width="16.42578125" style="309" customWidth="1"/>
    <col min="35" max="35" width="16.7109375" style="309"/>
    <col min="36" max="36" width="13.85546875" style="309" customWidth="1"/>
    <col min="37" max="37" width="16.42578125" style="309" customWidth="1"/>
    <col min="38" max="49" width="15.140625" style="309" customWidth="1"/>
    <col min="50" max="16384" width="16.7109375" style="309"/>
  </cols>
  <sheetData>
    <row r="1" spans="1:35" s="441" customFormat="1" ht="15.75" thickBot="1">
      <c r="A1" s="327"/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4"/>
      <c r="P1" s="444"/>
      <c r="Q1" s="443"/>
      <c r="R1" s="442"/>
    </row>
    <row r="2" spans="1:35" ht="19.5" thickBot="1">
      <c r="A2" s="327"/>
      <c r="B2" s="795" t="s">
        <v>86</v>
      </c>
      <c r="C2" s="795"/>
      <c r="D2" s="327"/>
      <c r="E2" s="327"/>
      <c r="F2" s="438" t="s">
        <v>87</v>
      </c>
      <c r="G2" s="439"/>
      <c r="H2" s="439"/>
      <c r="I2" s="440" t="s">
        <v>88</v>
      </c>
      <c r="J2" s="439"/>
      <c r="K2" s="439"/>
      <c r="L2" s="439"/>
      <c r="M2" s="438" t="s">
        <v>87</v>
      </c>
      <c r="O2" s="327"/>
      <c r="P2" s="327"/>
      <c r="R2" s="548" t="s">
        <v>89</v>
      </c>
      <c r="S2" s="549"/>
      <c r="T2" s="550"/>
      <c r="AF2" s="792" t="s">
        <v>90</v>
      </c>
      <c r="AG2" s="793"/>
      <c r="AH2" s="793"/>
      <c r="AI2" s="794"/>
    </row>
    <row r="3" spans="1:35" ht="15.75">
      <c r="A3" s="327"/>
      <c r="B3" s="327"/>
      <c r="C3" s="327"/>
      <c r="D3" s="327"/>
      <c r="E3" s="327"/>
      <c r="F3" s="437"/>
      <c r="G3" s="359"/>
      <c r="K3" s="436" t="s">
        <v>91</v>
      </c>
      <c r="M3" s="436" t="s">
        <v>92</v>
      </c>
      <c r="O3" s="327"/>
      <c r="P3" s="327"/>
      <c r="R3" s="309"/>
      <c r="T3" s="309" t="s">
        <v>93</v>
      </c>
      <c r="V3" s="310" t="s">
        <v>93</v>
      </c>
      <c r="W3" s="310" t="s">
        <v>93</v>
      </c>
      <c r="X3" s="310" t="s">
        <v>93</v>
      </c>
      <c r="Y3" s="310" t="s">
        <v>94</v>
      </c>
      <c r="Z3" s="310" t="s">
        <v>94</v>
      </c>
      <c r="AA3" s="310" t="s">
        <v>94</v>
      </c>
      <c r="AB3" s="310" t="s">
        <v>94</v>
      </c>
      <c r="AC3" s="310" t="s">
        <v>94</v>
      </c>
      <c r="AD3" s="310" t="s">
        <v>94</v>
      </c>
      <c r="AE3" s="310" t="s">
        <v>95</v>
      </c>
      <c r="AF3" s="310" t="s">
        <v>29</v>
      </c>
      <c r="AG3" s="310" t="s">
        <v>96</v>
      </c>
      <c r="AH3" s="310"/>
    </row>
    <row r="4" spans="1:35" ht="19.5" thickBot="1">
      <c r="A4" s="327"/>
      <c r="B4" s="435" t="s">
        <v>97</v>
      </c>
      <c r="C4" s="551"/>
      <c r="D4" s="423"/>
      <c r="E4" s="327"/>
      <c r="F4" s="362"/>
      <c r="G4" s="359"/>
      <c r="H4" s="432" t="s">
        <v>98</v>
      </c>
      <c r="I4" s="432" t="s">
        <v>99</v>
      </c>
      <c r="J4" s="432" t="s">
        <v>100</v>
      </c>
      <c r="K4" s="432" t="s">
        <v>101</v>
      </c>
      <c r="L4" s="432" t="s">
        <v>102</v>
      </c>
      <c r="M4" s="432" t="s">
        <v>103</v>
      </c>
      <c r="O4" s="434"/>
      <c r="P4" s="327"/>
      <c r="R4" s="309"/>
      <c r="T4" s="310" t="s">
        <v>104</v>
      </c>
      <c r="V4" s="310" t="s">
        <v>105</v>
      </c>
      <c r="W4" s="310" t="s">
        <v>20</v>
      </c>
      <c r="X4" s="310" t="s">
        <v>106</v>
      </c>
      <c r="Y4" s="310" t="s">
        <v>107</v>
      </c>
      <c r="Z4" s="310" t="s">
        <v>107</v>
      </c>
      <c r="AA4" s="310" t="s">
        <v>107</v>
      </c>
      <c r="AB4" s="310" t="s">
        <v>20</v>
      </c>
      <c r="AC4" s="310" t="s">
        <v>104</v>
      </c>
      <c r="AD4" s="310" t="s">
        <v>104</v>
      </c>
      <c r="AE4" s="310" t="s">
        <v>108</v>
      </c>
      <c r="AF4" s="310" t="s">
        <v>109</v>
      </c>
      <c r="AG4" s="310" t="s">
        <v>110</v>
      </c>
      <c r="AH4" s="310" t="s">
        <v>111</v>
      </c>
      <c r="AI4" s="310" t="s">
        <v>112</v>
      </c>
    </row>
    <row r="5" spans="1:35" ht="15.75">
      <c r="A5" s="327"/>
      <c r="B5" s="425" t="s">
        <v>113</v>
      </c>
      <c r="C5" s="25">
        <f>+'Results of Operations Regulated'!G21</f>
        <v>177485.48308564007</v>
      </c>
      <c r="D5" s="423"/>
      <c r="E5" s="327"/>
      <c r="F5" s="433" t="s">
        <v>114</v>
      </c>
      <c r="G5" s="361"/>
      <c r="H5" s="361"/>
      <c r="I5" s="432" t="s">
        <v>115</v>
      </c>
      <c r="J5" s="432" t="s">
        <v>29</v>
      </c>
      <c r="K5" s="431" t="s">
        <v>116</v>
      </c>
      <c r="L5" s="431" t="s">
        <v>117</v>
      </c>
      <c r="M5" s="431" t="s">
        <v>29</v>
      </c>
      <c r="O5" s="419"/>
      <c r="P5" s="327"/>
      <c r="R5" s="324"/>
      <c r="T5" s="310" t="s">
        <v>118</v>
      </c>
      <c r="U5" s="310" t="s">
        <v>119</v>
      </c>
      <c r="V5" s="310" t="s">
        <v>120</v>
      </c>
      <c r="W5" s="310" t="s">
        <v>121</v>
      </c>
      <c r="X5" s="310" t="s">
        <v>122</v>
      </c>
      <c r="Y5" s="310" t="s">
        <v>123</v>
      </c>
      <c r="Z5" s="310" t="s">
        <v>124</v>
      </c>
      <c r="AA5" s="310" t="s">
        <v>125</v>
      </c>
      <c r="AB5" s="310" t="s">
        <v>126</v>
      </c>
      <c r="AC5" s="310" t="s">
        <v>118</v>
      </c>
      <c r="AD5" s="310" t="s">
        <v>127</v>
      </c>
      <c r="AE5" s="310" t="s">
        <v>128</v>
      </c>
      <c r="AF5" s="310" t="s">
        <v>129</v>
      </c>
      <c r="AG5" s="310" t="s">
        <v>129</v>
      </c>
      <c r="AH5" s="310" t="s">
        <v>128</v>
      </c>
      <c r="AI5" s="310" t="s">
        <v>95</v>
      </c>
    </row>
    <row r="6" spans="1:35" ht="15.75">
      <c r="A6" s="327"/>
      <c r="B6" s="425" t="s">
        <v>130</v>
      </c>
      <c r="C6" s="25">
        <f>+'Results of Operations Regulated'!G102</f>
        <v>190781.98935064464</v>
      </c>
      <c r="D6" s="423"/>
      <c r="E6" s="327"/>
      <c r="F6" s="430" t="s">
        <v>131</v>
      </c>
      <c r="G6" s="361"/>
      <c r="H6" s="361"/>
      <c r="I6" s="429"/>
      <c r="J6" s="427" t="s">
        <v>2</v>
      </c>
      <c r="K6" s="428"/>
      <c r="L6" s="427" t="s">
        <v>132</v>
      </c>
      <c r="M6" s="427" t="s">
        <v>133</v>
      </c>
      <c r="O6" s="419"/>
      <c r="P6" s="327"/>
      <c r="R6" s="554">
        <v>1</v>
      </c>
      <c r="S6" s="555">
        <f>Revenue/Investment*100</f>
        <v>186.67553546324038</v>
      </c>
      <c r="T6" s="637">
        <f>EXP(y_inter1-(slope*LN(+S6)))</f>
        <v>8.562868516686688</v>
      </c>
      <c r="U6" s="638">
        <f>(+S6*T6/100)/100</f>
        <v>0.15984780654538105</v>
      </c>
      <c r="V6" s="638">
        <f>regDebt_weighted</f>
        <v>3.5860000000000003E-2</v>
      </c>
      <c r="W6" s="638">
        <f>+U6-V6</f>
        <v>0.12398780654538105</v>
      </c>
      <c r="X6" s="638">
        <f>+((W6*(1-0.34))-Pfd_weighted)/Equity_percent</f>
        <v>0.21988939627892873</v>
      </c>
      <c r="Y6" s="638">
        <f>X6*equityP</f>
        <v>0.13193363776735723</v>
      </c>
      <c r="Z6" s="638">
        <f>+Y6/(1-taxrate)</f>
        <v>0.1670046047688066</v>
      </c>
      <c r="AA6" s="638">
        <f>debtP*Debt_Rate</f>
        <v>2.0000000000000004E-2</v>
      </c>
      <c r="AB6" s="638">
        <f>AA6+Z6</f>
        <v>0.18700460476880659</v>
      </c>
      <c r="AC6" s="638">
        <f>AB6/(S6/100)</f>
        <v>0.10017627875272976</v>
      </c>
      <c r="AD6" s="638">
        <f>1-AC6</f>
        <v>0.89982372124727028</v>
      </c>
      <c r="AE6" s="615">
        <f>expenses/(AD6)</f>
        <v>212021.51582111718</v>
      </c>
      <c r="AF6" s="559">
        <f>+AE6-Revenue</f>
        <v>34536.032735477114</v>
      </c>
      <c r="AG6" s="641">
        <f ca="1">+AF6/$J$49</f>
        <v>38806.87853829642</v>
      </c>
      <c r="AH6" s="641">
        <f ca="1">+AG6*$J$47</f>
        <v>877.03545496549918</v>
      </c>
      <c r="AI6" s="615">
        <f ca="1">ROUND(+AH6+AE6,5)</f>
        <v>212898.55128000001</v>
      </c>
    </row>
    <row r="7" spans="1:35" ht="15.75">
      <c r="A7" s="327"/>
      <c r="B7" s="425" t="s">
        <v>3</v>
      </c>
      <c r="C7" s="25">
        <f>+'Results of Operations Regulated'!G108</f>
        <v>95076.991553930755</v>
      </c>
      <c r="D7" s="423"/>
      <c r="E7" s="327"/>
      <c r="F7" s="594">
        <v>1</v>
      </c>
      <c r="G7" s="361"/>
      <c r="H7" s="403" t="s">
        <v>113</v>
      </c>
      <c r="I7" s="364">
        <f>IF(A65=TRUE,C5,0)</f>
        <v>177485.48308564007</v>
      </c>
      <c r="J7" s="364">
        <f ca="1">(+$I8/($R51))-I7</f>
        <v>31657.136870997812</v>
      </c>
      <c r="K7" s="364">
        <f ca="1">+I7+J7</f>
        <v>209142.61995663788</v>
      </c>
      <c r="L7" s="364">
        <f ca="1">((+J7/J49*K35)-J7)</f>
        <v>803.92648603322596</v>
      </c>
      <c r="M7" s="364">
        <f ca="1">IFERROR(+K7+L7,0.00001)</f>
        <v>209946.5464426711</v>
      </c>
      <c r="O7" s="419"/>
      <c r="P7" s="327"/>
      <c r="R7" s="393">
        <v>2</v>
      </c>
      <c r="S7" s="390">
        <f>Revenue/Investment*100</f>
        <v>186.67553546324038</v>
      </c>
      <c r="T7" s="313">
        <f>EXP(y_inter1-(slope*LN(+S7)))</f>
        <v>8.562868516686688</v>
      </c>
      <c r="U7" s="388">
        <f>(+S7*T7/100)/100</f>
        <v>0.15984780654538105</v>
      </c>
      <c r="V7" s="388">
        <f>regDebt_weighted</f>
        <v>3.5860000000000003E-2</v>
      </c>
      <c r="W7" s="388">
        <f>+U7-V7</f>
        <v>0.12398780654538105</v>
      </c>
      <c r="X7" s="388">
        <f>+((W7*(1-0.34))-Pfd_weighted)/Equity_percent</f>
        <v>0.21988939627892873</v>
      </c>
      <c r="Y7" s="388">
        <f>X7*equityP</f>
        <v>0.13193363776735723</v>
      </c>
      <c r="Z7" s="388">
        <f>+Y7/(1-taxrate)</f>
        <v>0.1670046047688066</v>
      </c>
      <c r="AA7" s="388">
        <f>debtP*Debt_Rate</f>
        <v>2.0000000000000004E-2</v>
      </c>
      <c r="AB7" s="388">
        <f>AA7+Z7</f>
        <v>0.18700460476880659</v>
      </c>
      <c r="AC7" s="388">
        <f>AB7/(S7/100)</f>
        <v>0.10017627875272976</v>
      </c>
      <c r="AD7" s="388">
        <f>1-AC7</f>
        <v>0.89982372124727028</v>
      </c>
      <c r="AE7" s="386">
        <f>expenses/(AD7)</f>
        <v>212021.51582111718</v>
      </c>
      <c r="AF7" s="387">
        <f>+AE7-Revenue</f>
        <v>34536.032735477114</v>
      </c>
      <c r="AG7" s="375">
        <f ca="1">+AF7/$J$49</f>
        <v>38806.87853829642</v>
      </c>
      <c r="AH7" s="375">
        <f ca="1">+AG7*$J$47</f>
        <v>877.03545496549918</v>
      </c>
      <c r="AI7" s="386">
        <f ca="1">ROUND(+AH7+AE7,5)</f>
        <v>212898.55128000001</v>
      </c>
    </row>
    <row r="8" spans="1:35" ht="15.75">
      <c r="A8" s="327"/>
      <c r="B8" s="425" t="s">
        <v>134</v>
      </c>
      <c r="C8" s="552">
        <v>0.4</v>
      </c>
      <c r="D8" s="423"/>
      <c r="E8" s="327"/>
      <c r="F8" s="363">
        <f t="shared" ref="F8:F49" si="0">+F7+1</f>
        <v>2</v>
      </c>
      <c r="G8" s="361"/>
      <c r="H8" s="403" t="s">
        <v>130</v>
      </c>
      <c r="I8" s="364">
        <f>IF(A65=TRUE,C6,0)</f>
        <v>190781.98935064464</v>
      </c>
      <c r="J8" s="359"/>
      <c r="K8" s="364">
        <f>+I8</f>
        <v>190781.98935064464</v>
      </c>
      <c r="L8" s="364">
        <f ca="1">+L7</f>
        <v>803.92648603322596</v>
      </c>
      <c r="M8" s="364">
        <f ca="1">IFERROR(+K8+L8,0.00001)</f>
        <v>191585.91583667786</v>
      </c>
      <c r="O8" s="419"/>
      <c r="P8" s="327"/>
      <c r="R8" s="357">
        <v>3</v>
      </c>
      <c r="S8" s="390">
        <f>Revenue/Investment*100</f>
        <v>186.67553546324038</v>
      </c>
      <c r="T8" s="313">
        <f>EXP(y_inter1-(slope*LN(+S8)))</f>
        <v>8.562868516686688</v>
      </c>
      <c r="U8" s="388">
        <f>(+S8*T8/100)/100</f>
        <v>0.15984780654538105</v>
      </c>
      <c r="V8" s="388">
        <f>regDebt_weighted</f>
        <v>3.5860000000000003E-2</v>
      </c>
      <c r="W8" s="388">
        <f>+U8-V8</f>
        <v>0.12398780654538105</v>
      </c>
      <c r="X8" s="388">
        <f>+((W8*(1-0.34))-Pfd_weighted)/Equity_percent</f>
        <v>0.21988939627892873</v>
      </c>
      <c r="Y8" s="388">
        <f>X8*equityP</f>
        <v>0.13193363776735723</v>
      </c>
      <c r="Z8" s="388">
        <f>+Y8/(1-taxrate)</f>
        <v>0.1670046047688066</v>
      </c>
      <c r="AA8" s="388">
        <f>debtP*Debt_Rate</f>
        <v>2.0000000000000004E-2</v>
      </c>
      <c r="AB8" s="388">
        <f>AA8+Z8</f>
        <v>0.18700460476880659</v>
      </c>
      <c r="AC8" s="388">
        <f>AB8/(S8/100)</f>
        <v>0.10017627875272976</v>
      </c>
      <c r="AD8" s="388">
        <f>1-AC8</f>
        <v>0.89982372124727028</v>
      </c>
      <c r="AE8" s="386">
        <f>expenses/(AD8)</f>
        <v>212021.51582111718</v>
      </c>
      <c r="AF8" s="387">
        <f>+AE8-Revenue</f>
        <v>34536.032735477114</v>
      </c>
      <c r="AG8" s="375">
        <f ca="1">+AF8/$J$49</f>
        <v>38806.87853829642</v>
      </c>
      <c r="AH8" s="375">
        <f ca="1">+AG8*$J$47</f>
        <v>877.03545496549918</v>
      </c>
      <c r="AI8" s="386">
        <f ca="1">ROUND(+AH8+AE8,5)</f>
        <v>212898.55128000001</v>
      </c>
    </row>
    <row r="9" spans="1:35" ht="15.75">
      <c r="A9" s="327"/>
      <c r="B9" s="425" t="s">
        <v>135</v>
      </c>
      <c r="C9" s="552">
        <v>0.05</v>
      </c>
      <c r="D9" s="423"/>
      <c r="E9" s="327"/>
      <c r="F9" s="363">
        <f t="shared" si="0"/>
        <v>3</v>
      </c>
      <c r="G9" s="361"/>
      <c r="H9" s="403" t="s">
        <v>136</v>
      </c>
      <c r="I9" s="595">
        <f>+I7-I8</f>
        <v>-13296.506265004573</v>
      </c>
      <c r="J9" s="359"/>
      <c r="K9" s="595">
        <f ca="1">+K7-K8</f>
        <v>18360.630605993239</v>
      </c>
      <c r="L9" s="361"/>
      <c r="M9" s="596">
        <f ca="1">+M7-M8</f>
        <v>18360.630605993239</v>
      </c>
      <c r="O9" s="419"/>
      <c r="P9" s="327"/>
      <c r="R9" s="371">
        <v>4</v>
      </c>
      <c r="S9" s="390">
        <f>Revenue/Investment*100</f>
        <v>186.67553546324038</v>
      </c>
      <c r="T9" s="313">
        <f>EXP(y_inter1-(slope*LN(+S9)))</f>
        <v>8.562868516686688</v>
      </c>
      <c r="U9" s="388">
        <f>(+S9*T9/100)/100</f>
        <v>0.15984780654538105</v>
      </c>
      <c r="V9" s="388">
        <f>regDebt_weighted</f>
        <v>3.5860000000000003E-2</v>
      </c>
      <c r="W9" s="388">
        <f>+U9-V9</f>
        <v>0.12398780654538105</v>
      </c>
      <c r="X9" s="388">
        <f>+((W9*(1-0.34))-Pfd_weighted)/Equity_percent</f>
        <v>0.21988939627892873</v>
      </c>
      <c r="Y9" s="388">
        <f>X9*equityP</f>
        <v>0.13193363776735723</v>
      </c>
      <c r="Z9" s="388">
        <f>+Y9/(1-taxrate)</f>
        <v>0.1670046047688066</v>
      </c>
      <c r="AA9" s="388">
        <f>debtP*Debt_Rate</f>
        <v>2.0000000000000004E-2</v>
      </c>
      <c r="AB9" s="388">
        <f>AA9+Z9</f>
        <v>0.18700460476880659</v>
      </c>
      <c r="AC9" s="388">
        <f>AB9/(S9/100)</f>
        <v>0.10017627875272976</v>
      </c>
      <c r="AD9" s="388">
        <f>1-AC9</f>
        <v>0.89982372124727028</v>
      </c>
      <c r="AE9" s="386">
        <f>expenses/(AD9)</f>
        <v>212021.51582111718</v>
      </c>
      <c r="AF9" s="387">
        <f>+AE9-Revenue</f>
        <v>34536.032735477114</v>
      </c>
      <c r="AG9" s="375">
        <f ca="1">+AF9/$J$49</f>
        <v>38806.87853829642</v>
      </c>
      <c r="AH9" s="375">
        <f ca="1">+AG9*$J$47</f>
        <v>877.03545496549918</v>
      </c>
      <c r="AI9" s="386">
        <f ca="1">ROUND(+AH9+AE9,5)</f>
        <v>212898.55128000001</v>
      </c>
    </row>
    <row r="10" spans="1:35" ht="15.75">
      <c r="A10" s="327"/>
      <c r="B10" s="426" t="s">
        <v>137</v>
      </c>
      <c r="C10" s="552">
        <v>0.21</v>
      </c>
      <c r="D10" s="423"/>
      <c r="E10" s="327"/>
      <c r="F10" s="363">
        <f t="shared" si="0"/>
        <v>4</v>
      </c>
      <c r="G10" s="361"/>
      <c r="H10" s="361"/>
      <c r="I10" s="359"/>
      <c r="J10" s="359"/>
      <c r="K10" s="364"/>
      <c r="L10" s="361"/>
      <c r="M10" s="361"/>
      <c r="N10" s="361"/>
      <c r="O10" s="419"/>
      <c r="P10" s="327"/>
      <c r="R10" s="310" t="s">
        <v>138</v>
      </c>
    </row>
    <row r="11" spans="1:35" ht="15.75">
      <c r="A11" s="327"/>
      <c r="B11" s="425" t="s">
        <v>139</v>
      </c>
      <c r="C11" s="553">
        <v>1.7500000000000002E-2</v>
      </c>
      <c r="D11" s="423"/>
      <c r="E11" s="327"/>
      <c r="F11" s="363">
        <f t="shared" si="0"/>
        <v>5</v>
      </c>
      <c r="G11" s="361"/>
      <c r="H11" s="403" t="s">
        <v>140</v>
      </c>
      <c r="I11" s="364">
        <f>+K11</f>
        <v>1901.5398310786154</v>
      </c>
      <c r="J11" s="359"/>
      <c r="K11" s="364">
        <f>+M27</f>
        <v>1901.5398310786154</v>
      </c>
      <c r="L11" s="361"/>
      <c r="M11" s="364">
        <f>+K11</f>
        <v>1901.5398310786154</v>
      </c>
      <c r="O11" s="419"/>
      <c r="P11" s="327"/>
      <c r="R11" s="554">
        <v>1</v>
      </c>
      <c r="S11" s="555">
        <f ca="1">IF((AI6/Investment*100)&gt;0,(AI6/Investment*100),0)</f>
        <v>223.92226321048142</v>
      </c>
      <c r="T11" s="637">
        <f ca="1">EXP(y_inter1-(slope*LN(S11)))</f>
        <v>7.5614067069014022</v>
      </c>
      <c r="U11" s="638">
        <f ca="1">(+S11*T11/100)/100</f>
        <v>0.16931673028642752</v>
      </c>
      <c r="V11" s="638">
        <f>regDebt_weighted</f>
        <v>3.5860000000000003E-2</v>
      </c>
      <c r="W11" s="638">
        <f ca="1">+U11-V11</f>
        <v>0.13345673028642752</v>
      </c>
      <c r="X11" s="638">
        <f ca="1">+((W11*(1-0.34))-Pfd_weighted)/Equity_percent</f>
        <v>0.23805651741000627</v>
      </c>
      <c r="Y11" s="638">
        <f ca="1">+X11*equityP</f>
        <v>0.14283391044600377</v>
      </c>
      <c r="Z11" s="638">
        <f ca="1">+Y11/(1-taxrate)</f>
        <v>0.18080241828608071</v>
      </c>
      <c r="AA11" s="638">
        <f>debtP*Debt_Rate</f>
        <v>2.0000000000000004E-2</v>
      </c>
      <c r="AB11" s="638">
        <f ca="1">+AA11+Z11</f>
        <v>0.2008024182860807</v>
      </c>
      <c r="AC11" s="638">
        <f ca="1">+AB11/(S11/100)</f>
        <v>8.9675057498562069E-2</v>
      </c>
      <c r="AD11" s="638">
        <f ca="1">1-AC11</f>
        <v>0.91032494250143792</v>
      </c>
      <c r="AE11" s="615">
        <f ca="1">expenses/(AD11)</f>
        <v>209575.7025248633</v>
      </c>
      <c r="AF11" s="559">
        <f ca="1">+AE11-Revenue</f>
        <v>32090.219439223234</v>
      </c>
      <c r="AG11" s="641">
        <f ca="1">+AF11/$J$49</f>
        <v>36058.607471898744</v>
      </c>
      <c r="AH11" s="641">
        <f ca="1">+AG11*$J$47</f>
        <v>814.92452886491174</v>
      </c>
      <c r="AI11" s="615">
        <f ca="1">ROUND(+AH11+AE11,5)</f>
        <v>210390.62705000001</v>
      </c>
    </row>
    <row r="12" spans="1:35" ht="15.75">
      <c r="A12" s="327"/>
      <c r="B12" s="425" t="s">
        <v>141</v>
      </c>
      <c r="C12" s="553">
        <v>5.1000000000000004E-3</v>
      </c>
      <c r="D12" s="423"/>
      <c r="E12" s="327"/>
      <c r="F12" s="363">
        <f t="shared" si="0"/>
        <v>6</v>
      </c>
      <c r="G12" s="361"/>
      <c r="H12" s="403" t="s">
        <v>142</v>
      </c>
      <c r="I12" s="364" t="e">
        <f ca="1">IF(I14&lt;0,0,+J38*I14)</f>
        <v>#REF!</v>
      </c>
      <c r="J12" s="364" t="e">
        <f ca="1">+K12-I12</f>
        <v>#REF!</v>
      </c>
      <c r="K12" s="364">
        <f ca="1">+(K9-K11)*taxrate</f>
        <v>3456.4090627320711</v>
      </c>
      <c r="L12" s="361"/>
      <c r="M12" s="364">
        <f ca="1">+K12</f>
        <v>3456.4090627320711</v>
      </c>
      <c r="O12" s="419"/>
      <c r="P12" s="327"/>
      <c r="R12" s="393">
        <v>2</v>
      </c>
      <c r="S12" s="390">
        <f ca="1">IF((AI7/Investment*100)&gt;0,(AI7/Investment*100),0)</f>
        <v>223.92226321048142</v>
      </c>
      <c r="T12" s="392">
        <f ca="1">EXP(y_inter2-(slope*LN(+S12)))</f>
        <v>7.4538244168852454</v>
      </c>
      <c r="U12" s="388">
        <f ca="1">(+S12*T12/100)/100</f>
        <v>0.16690772330024908</v>
      </c>
      <c r="V12" s="388">
        <f>regDebt_weighted</f>
        <v>3.5860000000000003E-2</v>
      </c>
      <c r="W12" s="388">
        <f ca="1">+U12-V12</f>
        <v>0.13104772330024908</v>
      </c>
      <c r="X12" s="388">
        <f ca="1">+((W12*(1-0.34))-Pfd_weighted)/Equity_percent</f>
        <v>0.23343458540164069</v>
      </c>
      <c r="Y12" s="388">
        <f ca="1">+X12*equityP</f>
        <v>0.14006075124098441</v>
      </c>
      <c r="Z12" s="388">
        <f ca="1">+Y12/(1-taxrate)</f>
        <v>0.17729209017846126</v>
      </c>
      <c r="AA12" s="388">
        <f>debtP*Debt_Rate</f>
        <v>2.0000000000000004E-2</v>
      </c>
      <c r="AB12" s="388">
        <f ca="1">+AA12+Z12</f>
        <v>0.19729209017846128</v>
      </c>
      <c r="AC12" s="388">
        <f ca="1">+AB12/(S12/100)</f>
        <v>8.8107402698503257E-2</v>
      </c>
      <c r="AD12" s="388">
        <f ca="1">1-AC12</f>
        <v>0.91189259730149674</v>
      </c>
      <c r="AE12" s="386">
        <f ca="1">expenses/(AD12)</f>
        <v>209215.41628390571</v>
      </c>
      <c r="AF12" s="387">
        <f ca="1">+AE12-Revenue</f>
        <v>31729.933198265644</v>
      </c>
      <c r="AG12" s="375">
        <f ca="1">+AF12/$J$49</f>
        <v>35653.76698257705</v>
      </c>
      <c r="AH12" s="375">
        <f ca="1">+AG12*$J$47</f>
        <v>805.77513380624146</v>
      </c>
      <c r="AI12" s="386">
        <f ca="1">ROUND(+AH12+AE12,5)</f>
        <v>210021.19141999999</v>
      </c>
    </row>
    <row r="13" spans="1:35" ht="15.75">
      <c r="A13" s="327"/>
      <c r="B13" s="425" t="s">
        <v>143</v>
      </c>
      <c r="C13" s="553">
        <v>0</v>
      </c>
      <c r="D13" s="423"/>
      <c r="E13" s="327"/>
      <c r="F13" s="363">
        <f t="shared" si="0"/>
        <v>7</v>
      </c>
      <c r="G13" s="361"/>
      <c r="H13" s="361"/>
      <c r="I13" s="359"/>
      <c r="J13" s="359"/>
      <c r="K13" s="364"/>
      <c r="L13" s="361"/>
      <c r="M13" s="361"/>
      <c r="O13" s="419"/>
      <c r="P13" s="327"/>
      <c r="R13" s="357">
        <v>3</v>
      </c>
      <c r="S13" s="390">
        <f ca="1">IF((AI8/Investment*100)&gt;0,(AI8/Investment*100),0)</f>
        <v>223.92226321048142</v>
      </c>
      <c r="T13" s="313">
        <f ca="1">EXP(y_inter3-(slope*LN(S13)))</f>
        <v>7.3813551411933274</v>
      </c>
      <c r="U13" s="388">
        <f ca="1">(+S13*T13/100)/100</f>
        <v>0.16528497487763325</v>
      </c>
      <c r="V13" s="388">
        <f>regDebt_weighted</f>
        <v>3.5860000000000003E-2</v>
      </c>
      <c r="W13" s="388">
        <f ca="1">+U13-V13</f>
        <v>0.12942497487763324</v>
      </c>
      <c r="X13" s="388">
        <f ca="1">+((W13*(1-0.34))-Pfd_weighted)/Equity_percent</f>
        <v>0.23032117273034283</v>
      </c>
      <c r="Y13" s="388">
        <f ca="1">+X13*equityP</f>
        <v>0.13819270363820568</v>
      </c>
      <c r="Z13" s="388">
        <f ca="1">+Y13/(1-taxrate)</f>
        <v>0.17492747295975403</v>
      </c>
      <c r="AA13" s="388">
        <f>debtP*Debt_Rate</f>
        <v>2.0000000000000004E-2</v>
      </c>
      <c r="AB13" s="388">
        <f ca="1">+AA13+Z13</f>
        <v>0.19492747295975404</v>
      </c>
      <c r="AC13" s="388">
        <f ca="1">+AB13/(S13/100)</f>
        <v>8.7051403538435573E-2</v>
      </c>
      <c r="AD13" s="388">
        <f ca="1">1-AC13</f>
        <v>0.91294859646156445</v>
      </c>
      <c r="AE13" s="386">
        <f ca="1">expenses/(AD13)</f>
        <v>208973.41875553958</v>
      </c>
      <c r="AF13" s="387">
        <f ca="1">+AE13-Revenue</f>
        <v>31487.935669899511</v>
      </c>
      <c r="AG13" s="375">
        <f ca="1">+AF13/$J$49</f>
        <v>35381.843199037619</v>
      </c>
      <c r="AH13" s="375">
        <f ca="1">+AG13*$J$47</f>
        <v>799.62965629825032</v>
      </c>
      <c r="AI13" s="386">
        <f ca="1">ROUND(+AH13+AE13,5)</f>
        <v>209773.04840999999</v>
      </c>
    </row>
    <row r="14" spans="1:35" ht="16.5" thickBot="1">
      <c r="A14" s="327"/>
      <c r="B14" s="424" t="s">
        <v>145</v>
      </c>
      <c r="C14" s="553">
        <v>0</v>
      </c>
      <c r="D14" s="423"/>
      <c r="E14" s="327"/>
      <c r="F14" s="363">
        <f t="shared" si="0"/>
        <v>8</v>
      </c>
      <c r="G14" s="361"/>
      <c r="H14" s="361" t="s">
        <v>146</v>
      </c>
      <c r="I14" s="666" t="e">
        <f ca="1">+I9-SUM(I11:I13)</f>
        <v>#REF!</v>
      </c>
      <c r="J14" s="359"/>
      <c r="K14" s="666">
        <f ca="1">+K9-SUM(K11:K13)</f>
        <v>13002.681712182553</v>
      </c>
      <c r="L14" s="361"/>
      <c r="M14" s="666">
        <f ca="1">+M9-SUM(M11:M13)</f>
        <v>13002.681712182553</v>
      </c>
      <c r="O14" s="419"/>
      <c r="P14" s="327"/>
      <c r="R14" s="371">
        <v>4</v>
      </c>
      <c r="S14" s="390">
        <f ca="1">IF((AI9/Investment*100)&gt;0,(AI9/Investment*100),0)</f>
        <v>223.92226321048142</v>
      </c>
      <c r="T14" s="389">
        <f ca="1">EXP(y_inter4-(slope*LN(S14)))</f>
        <v>7.3349987796661811</v>
      </c>
      <c r="U14" s="388">
        <f ca="1">(+S14*T14/100)/100</f>
        <v>0.16424695273889708</v>
      </c>
      <c r="V14" s="388">
        <f>regDebt_weighted</f>
        <v>3.5860000000000003E-2</v>
      </c>
      <c r="W14" s="388">
        <f ca="1">+U14-V14</f>
        <v>0.12838695273889708</v>
      </c>
      <c r="X14" s="388">
        <f ca="1">+((W14*(1-0.34))-Pfd_weighted)/Equity_percent</f>
        <v>0.2283296186269537</v>
      </c>
      <c r="Y14" s="388">
        <f ca="1">+X14*equityP</f>
        <v>0.13699777117617221</v>
      </c>
      <c r="Z14" s="388">
        <f ca="1">+Y14/(1-taxrate)</f>
        <v>0.17341490022300279</v>
      </c>
      <c r="AA14" s="388">
        <f>debtP*Debt_Rate</f>
        <v>2.0000000000000004E-2</v>
      </c>
      <c r="AB14" s="388">
        <f ca="1">+AA14+Z14</f>
        <v>0.19341490022300278</v>
      </c>
      <c r="AC14" s="388">
        <f ca="1">+AB14/(S14/100)</f>
        <v>8.6375913430813064E-2</v>
      </c>
      <c r="AD14" s="388">
        <f ca="1">1-AC14</f>
        <v>0.91362408656918692</v>
      </c>
      <c r="AE14" s="386">
        <f ca="1">expenses/(AD14)</f>
        <v>208818.91376907902</v>
      </c>
      <c r="AF14" s="387">
        <f ca="1">+AE14-Revenue</f>
        <v>31333.430683438957</v>
      </c>
      <c r="AG14" s="375">
        <f ca="1">+AF14/$J$49</f>
        <v>35208.231589126895</v>
      </c>
      <c r="AH14" s="375">
        <f ca="1">+AG14*$J$47</f>
        <v>795.70603391426789</v>
      </c>
      <c r="AI14" s="386">
        <f ca="1">ROUND(+AH14+AE14,5)</f>
        <v>209614.61979999999</v>
      </c>
    </row>
    <row r="15" spans="1:35" ht="16.5" thickTop="1">
      <c r="A15" s="327"/>
      <c r="B15" s="797"/>
      <c r="C15" s="797"/>
      <c r="D15" s="327"/>
      <c r="E15" s="327"/>
      <c r="F15" s="363">
        <f t="shared" si="0"/>
        <v>9</v>
      </c>
      <c r="G15" s="359"/>
      <c r="H15" s="359"/>
      <c r="I15" s="359"/>
      <c r="J15" s="359"/>
      <c r="K15" s="422"/>
      <c r="L15" s="359"/>
      <c r="M15" s="359"/>
      <c r="O15" s="419"/>
      <c r="P15" s="327"/>
      <c r="R15" s="310" t="s">
        <v>147</v>
      </c>
    </row>
    <row r="16" spans="1:35" ht="15.75">
      <c r="A16" s="327"/>
      <c r="B16" s="667" t="s">
        <v>148</v>
      </c>
      <c r="C16" s="797"/>
      <c r="D16" s="797"/>
      <c r="E16" s="327"/>
      <c r="F16" s="363">
        <f t="shared" si="0"/>
        <v>10</v>
      </c>
      <c r="G16" s="359"/>
      <c r="H16" s="403" t="s">
        <v>149</v>
      </c>
      <c r="I16" s="405">
        <f>+I8/I7</f>
        <v>1.0749160214899871</v>
      </c>
      <c r="J16" s="421"/>
      <c r="K16" s="405">
        <f ca="1">+K8/K7</f>
        <v>0.91220999999999997</v>
      </c>
      <c r="L16" s="420"/>
      <c r="M16" s="405">
        <f ca="1">+M8/M7</f>
        <v>0.91254616512109732</v>
      </c>
      <c r="O16" s="419"/>
      <c r="P16" s="327"/>
      <c r="R16" s="668">
        <v>1</v>
      </c>
      <c r="S16" s="669">
        <f ca="1">AI11/Investment*100</f>
        <v>221.28448072598047</v>
      </c>
      <c r="T16" s="670">
        <f ca="1">EXP(y_inter1-(slope*LN(+S16)))</f>
        <v>7.6229133215516445</v>
      </c>
      <c r="U16" s="671">
        <f ca="1">(+S16*T16/100)/100</f>
        <v>0.16868324159787146</v>
      </c>
      <c r="V16" s="671">
        <f>regDebt_weighted</f>
        <v>3.5860000000000003E-2</v>
      </c>
      <c r="W16" s="671">
        <f ca="1">+U16-V16</f>
        <v>0.13282324159787146</v>
      </c>
      <c r="X16" s="671">
        <f ca="1">+((W16*(1-0.34))-Pfd_weighted)/Equity_percent</f>
        <v>0.23684110306568357</v>
      </c>
      <c r="Y16" s="671">
        <f ca="1">+X16*equityP</f>
        <v>0.14210466183941015</v>
      </c>
      <c r="Z16" s="671">
        <f ca="1">+Y16/(1-taxrate)</f>
        <v>0.17987931878406346</v>
      </c>
      <c r="AA16" s="671">
        <f>debtP*Debt_Rate</f>
        <v>2.0000000000000004E-2</v>
      </c>
      <c r="AB16" s="671">
        <f ca="1">+AA16+Z16</f>
        <v>0.19987931878406345</v>
      </c>
      <c r="AC16" s="671">
        <f ca="1">+AB16/(S16/100)</f>
        <v>9.0326858046397146E-2</v>
      </c>
      <c r="AD16" s="671">
        <f ca="1">1-AC16</f>
        <v>0.90967314195360283</v>
      </c>
      <c r="AE16" s="672">
        <f ca="1">expenses/(AD16)</f>
        <v>209725.86806391095</v>
      </c>
      <c r="AF16" s="673">
        <f ca="1">+AE16-Revenue</f>
        <v>32240.384978270886</v>
      </c>
      <c r="AG16" s="674">
        <f ca="1">+AF16/$J$49</f>
        <v>36227.343003252172</v>
      </c>
      <c r="AH16" s="674">
        <f ca="1">+AG16*$J$47</f>
        <v>818.73795187349913</v>
      </c>
      <c r="AI16" s="672">
        <f ca="1">ROUND(+AH16+AE16,5)</f>
        <v>210544.60602000001</v>
      </c>
    </row>
    <row r="17" spans="1:35" ht="15.75">
      <c r="A17" s="327"/>
      <c r="B17" s="810"/>
      <c r="C17" s="797"/>
      <c r="D17" s="327" t="s">
        <v>150</v>
      </c>
      <c r="E17" s="327"/>
      <c r="F17" s="363">
        <f t="shared" si="0"/>
        <v>11</v>
      </c>
      <c r="G17" s="359"/>
      <c r="H17" s="359"/>
      <c r="I17" s="359"/>
      <c r="K17" s="359"/>
      <c r="L17" s="403"/>
      <c r="M17" s="403"/>
      <c r="N17" s="405"/>
      <c r="O17" s="327"/>
      <c r="P17" s="327"/>
      <c r="R17" s="393">
        <v>2</v>
      </c>
      <c r="S17" s="390">
        <f ca="1">AI12/Investment*100</f>
        <v>220.89591602282576</v>
      </c>
      <c r="T17" s="392">
        <f ca="1">EXP(y_inter2-(slope*LN(+S17)))</f>
        <v>7.5234903197282712</v>
      </c>
      <c r="U17" s="388">
        <f ca="1">(+S17*T17/100)/100</f>
        <v>0.16619082858652387</v>
      </c>
      <c r="V17" s="388">
        <f>regDebt_weighted</f>
        <v>3.5860000000000003E-2</v>
      </c>
      <c r="W17" s="388">
        <f ca="1">+U17-V17</f>
        <v>0.13033082858652387</v>
      </c>
      <c r="X17" s="388">
        <f ca="1">+((W17*(1-0.34))-Pfd_weighted)/Equity_percent</f>
        <v>0.23205914786949347</v>
      </c>
      <c r="Y17" s="388">
        <f ca="1">+X17*equityP</f>
        <v>0.13923548872169608</v>
      </c>
      <c r="Z17" s="388">
        <f ca="1">+Y17/(1-taxrate)</f>
        <v>0.17624745407809631</v>
      </c>
      <c r="AA17" s="388">
        <f>debtP*Debt_Rate</f>
        <v>2.0000000000000004E-2</v>
      </c>
      <c r="AB17" s="388">
        <f ca="1">+AA17+Z17</f>
        <v>0.1962474540780963</v>
      </c>
      <c r="AC17" s="388">
        <f ca="1">+AB17/(S17/100)</f>
        <v>8.8841594544381494E-2</v>
      </c>
      <c r="AD17" s="388">
        <f ca="1">1-AC17</f>
        <v>0.91115840545561855</v>
      </c>
      <c r="AE17" s="386">
        <f ca="1">expenses/(AD17)</f>
        <v>209383.99756653226</v>
      </c>
      <c r="AF17" s="387">
        <f ca="1">+AE17-Revenue</f>
        <v>31898.51448089219</v>
      </c>
      <c r="AG17" s="375">
        <f ca="1">+AF17/$J$49</f>
        <v>35843.195612345466</v>
      </c>
      <c r="AH17" s="375">
        <f ca="1">+AG17*$J$47</f>
        <v>810.05622083900755</v>
      </c>
      <c r="AI17" s="386">
        <f ca="1">ROUND(+AH17+AE17,5)</f>
        <v>210194.05379000001</v>
      </c>
    </row>
    <row r="18" spans="1:35" ht="15.75">
      <c r="A18" s="327"/>
      <c r="B18" s="809" t="s">
        <v>151</v>
      </c>
      <c r="C18" s="809"/>
      <c r="D18" s="327"/>
      <c r="E18" s="327"/>
      <c r="F18" s="363">
        <f t="shared" si="0"/>
        <v>12</v>
      </c>
      <c r="G18" s="359"/>
      <c r="H18" s="675" t="s">
        <v>152</v>
      </c>
      <c r="I18" s="676"/>
      <c r="J18" s="676"/>
      <c r="K18" s="676"/>
      <c r="L18" s="676"/>
      <c r="M18" s="677"/>
      <c r="O18" s="327"/>
      <c r="P18" s="327"/>
      <c r="R18" s="357">
        <v>3</v>
      </c>
      <c r="S18" s="390">
        <f ca="1">AI13/Investment*100</f>
        <v>220.6349243718023</v>
      </c>
      <c r="T18" s="313">
        <f ca="1">EXP(y_inter3-(slope*LN(S18)))</f>
        <v>7.4563678471921149</v>
      </c>
      <c r="U18" s="388">
        <f ca="1">(+S18*T18/100)/100</f>
        <v>0.16451351560535707</v>
      </c>
      <c r="V18" s="388">
        <f>regDebt_weighted</f>
        <v>3.5860000000000003E-2</v>
      </c>
      <c r="W18" s="388">
        <f ca="1">+U18-V18</f>
        <v>0.12865351560535707</v>
      </c>
      <c r="X18" s="388">
        <f ca="1">+((W18*(1-0.34))-Pfd_weighted)/Equity_percent</f>
        <v>0.22884104738237113</v>
      </c>
      <c r="Y18" s="388">
        <f ca="1">+X18*equityP</f>
        <v>0.13730462842942268</v>
      </c>
      <c r="Z18" s="388">
        <f ca="1">+Y18/(1-taxrate)</f>
        <v>0.17380332712585148</v>
      </c>
      <c r="AA18" s="388">
        <f>debtP*Debt_Rate</f>
        <v>2.0000000000000004E-2</v>
      </c>
      <c r="AB18" s="388">
        <f ca="1">+AA18+Z18</f>
        <v>0.19380332712585147</v>
      </c>
      <c r="AC18" s="388">
        <f ca="1">+AB18/(S18/100)</f>
        <v>8.7838916562123392E-2</v>
      </c>
      <c r="AD18" s="388">
        <f ca="1">1-AC18</f>
        <v>0.91216108343787661</v>
      </c>
      <c r="AE18" s="386">
        <f ca="1">expenses/(AD18)</f>
        <v>209153.83567077818</v>
      </c>
      <c r="AF18" s="387">
        <f ca="1">+AE18-Revenue</f>
        <v>31668.352585138113</v>
      </c>
      <c r="AG18" s="375">
        <f ca="1">+AF18/$J$49</f>
        <v>35584.571096869564</v>
      </c>
      <c r="AH18" s="375">
        <f ca="1">+AG18*$J$47</f>
        <v>804.21130678925226</v>
      </c>
      <c r="AI18" s="386">
        <f ca="1">ROUND(+AH18+AE18,5)</f>
        <v>209958.04698000001</v>
      </c>
    </row>
    <row r="19" spans="1:35" ht="15.75">
      <c r="A19" s="327"/>
      <c r="B19" s="327"/>
      <c r="C19" s="327"/>
      <c r="D19" s="327"/>
      <c r="E19" s="327"/>
      <c r="F19" s="363">
        <f t="shared" si="0"/>
        <v>13</v>
      </c>
      <c r="G19" s="359"/>
      <c r="H19" s="362"/>
      <c r="I19" s="403" t="s">
        <v>154</v>
      </c>
      <c r="J19" s="364">
        <f>+Revenue</f>
        <v>177485.48308564007</v>
      </c>
      <c r="K19" s="418"/>
      <c r="L19" s="403" t="s">
        <v>155</v>
      </c>
      <c r="M19" s="417">
        <f ca="1">+J7</f>
        <v>31657.136870997812</v>
      </c>
      <c r="O19" s="327"/>
      <c r="P19" s="327"/>
      <c r="R19" s="371">
        <v>4</v>
      </c>
      <c r="S19" s="390">
        <f ca="1">AI14/Investment*100</f>
        <v>220.46829245864367</v>
      </c>
      <c r="T19" s="389">
        <f ca="1">EXP(y_inter4-(slope*LN(S19)))</f>
        <v>7.4133686203319993</v>
      </c>
      <c r="U19" s="388">
        <f ca="1">(+S19*T19/100)/100</f>
        <v>0.16344127210910869</v>
      </c>
      <c r="V19" s="388">
        <f>regDebt_weighted</f>
        <v>3.5860000000000003E-2</v>
      </c>
      <c r="W19" s="388">
        <f ca="1">+U19-V19</f>
        <v>0.12758127210910869</v>
      </c>
      <c r="X19" s="388">
        <f ca="1">+((W19*(1-0.34))-Pfd_weighted)/Equity_percent</f>
        <v>0.22678383602328991</v>
      </c>
      <c r="Y19" s="388">
        <f ca="1">+X19*equityP</f>
        <v>0.13607030161397393</v>
      </c>
      <c r="Z19" s="388">
        <f ca="1">+Y19/(1-taxrate)</f>
        <v>0.17224088811895433</v>
      </c>
      <c r="AA19" s="388">
        <f>debtP*Debt_Rate</f>
        <v>2.0000000000000004E-2</v>
      </c>
      <c r="AB19" s="388">
        <f ca="1">+AA19+Z19</f>
        <v>0.19224088811895435</v>
      </c>
      <c r="AC19" s="388">
        <f ca="1">+AB19/(S19/100)</f>
        <v>8.7196614975831796E-2</v>
      </c>
      <c r="AD19" s="388">
        <f ca="1">1-AC19</f>
        <v>0.91280338502416825</v>
      </c>
      <c r="AE19" s="386">
        <f ca="1">expenses/(AD19)</f>
        <v>209006.66285937722</v>
      </c>
      <c r="AF19" s="387">
        <f ca="1">+AE19-Revenue</f>
        <v>31521.179773737153</v>
      </c>
      <c r="AG19" s="375">
        <f ca="1">+AF19/$J$49</f>
        <v>35419.198384261792</v>
      </c>
      <c r="AH19" s="375">
        <f ca="1">+AG19*$J$47</f>
        <v>800.47388348431662</v>
      </c>
      <c r="AI19" s="386">
        <f ca="1">ROUND(+AH19+AE19,5)</f>
        <v>209807.13673999999</v>
      </c>
    </row>
    <row r="20" spans="1:35" ht="15.75">
      <c r="A20" s="327"/>
      <c r="B20" s="416"/>
      <c r="C20" s="327"/>
      <c r="D20" s="327"/>
      <c r="E20" s="327"/>
      <c r="F20" s="363">
        <f t="shared" si="0"/>
        <v>14</v>
      </c>
      <c r="G20" s="359"/>
      <c r="H20" s="362"/>
      <c r="I20" s="403" t="s">
        <v>157</v>
      </c>
      <c r="J20" s="364">
        <f ca="1">+J21-J19</f>
        <v>32461.063357031031</v>
      </c>
      <c r="K20" s="418"/>
      <c r="L20" s="403" t="s">
        <v>158</v>
      </c>
      <c r="M20" s="417">
        <f ca="1">+L8</f>
        <v>803.92648603322596</v>
      </c>
      <c r="O20" s="327"/>
      <c r="P20" s="327"/>
      <c r="R20" s="310" t="s">
        <v>160</v>
      </c>
    </row>
    <row r="21" spans="1:35" ht="16.5" thickBot="1">
      <c r="A21" s="327"/>
      <c r="B21" s="416" t="s">
        <v>161</v>
      </c>
      <c r="C21" s="327"/>
      <c r="D21" s="327"/>
      <c r="E21" s="327"/>
      <c r="F21" s="363">
        <f t="shared" si="0"/>
        <v>15</v>
      </c>
      <c r="G21" s="359"/>
      <c r="H21" s="362"/>
      <c r="I21" s="414" t="s">
        <v>152</v>
      </c>
      <c r="J21" s="415">
        <f ca="1">+M7</f>
        <v>209946.5464426711</v>
      </c>
      <c r="L21" s="414" t="s">
        <v>157</v>
      </c>
      <c r="M21" s="413">
        <f ca="1">+M19+M20</f>
        <v>32461.063357031038</v>
      </c>
      <c r="O21" s="327"/>
      <c r="P21" s="327"/>
      <c r="R21" s="668">
        <v>1</v>
      </c>
      <c r="S21" s="669">
        <f ca="1">AI16/Investment*100</f>
        <v>221.44643260043867</v>
      </c>
      <c r="T21" s="670">
        <f ca="1">EXP(y_inter1-(slope*LN(+S21)))</f>
        <v>7.619101478207285</v>
      </c>
      <c r="U21" s="671">
        <f ca="1">(+S21*T21/100)/100</f>
        <v>0.16872228419697322</v>
      </c>
      <c r="V21" s="671">
        <f>regDebt_weighted</f>
        <v>3.5860000000000003E-2</v>
      </c>
      <c r="W21" s="671">
        <f ca="1">+U21-V21</f>
        <v>0.13286228419697321</v>
      </c>
      <c r="X21" s="671">
        <f ca="1">+((W21*(1-0.34))-Pfd_weighted)/Equity_percent</f>
        <v>0.23691601037791371</v>
      </c>
      <c r="Y21" s="671">
        <f ca="1">+X21*equityP</f>
        <v>0.14214960622674822</v>
      </c>
      <c r="Z21" s="671">
        <f ca="1">+Y21/(1-taxrate)</f>
        <v>0.17993621041360533</v>
      </c>
      <c r="AA21" s="671">
        <f>debtP*Debt_Rate</f>
        <v>2.0000000000000004E-2</v>
      </c>
      <c r="AB21" s="671">
        <f ca="1">+AA21+Z21</f>
        <v>0.19993621041360532</v>
      </c>
      <c r="AC21" s="671">
        <f ca="1">+AB21/(S21/100)</f>
        <v>9.0286489633524702E-2</v>
      </c>
      <c r="AD21" s="671">
        <f ca="1">1-AC21</f>
        <v>0.9097135103664753</v>
      </c>
      <c r="AE21" s="672">
        <f ca="1">expenses/(AD21)</f>
        <v>209716.56150713723</v>
      </c>
      <c r="AF21" s="673">
        <f ca="1">+AE21-Revenue</f>
        <v>32231.078421497165</v>
      </c>
      <c r="AG21" s="674">
        <f ca="1">+AF21/$J$49</f>
        <v>36216.885565332363</v>
      </c>
      <c r="AH21" s="674">
        <f ca="1">+AG21*$J$47</f>
        <v>818.50161377651148</v>
      </c>
      <c r="AI21" s="672">
        <f ca="1">ROUND(+AH21+AE21,5)</f>
        <v>210535.06312000001</v>
      </c>
    </row>
    <row r="22" spans="1:35" ht="16.5" thickTop="1">
      <c r="A22" s="327"/>
      <c r="B22" s="327" t="s">
        <v>163</v>
      </c>
      <c r="C22" s="327"/>
      <c r="D22" s="327"/>
      <c r="E22" s="327"/>
      <c r="F22" s="363">
        <f t="shared" si="0"/>
        <v>16</v>
      </c>
      <c r="G22" s="359"/>
      <c r="H22" s="320"/>
      <c r="I22" s="352"/>
      <c r="J22" s="511" t="s">
        <v>164</v>
      </c>
      <c r="K22" s="510">
        <f ca="1">+(J21/J19)-1</f>
        <v>0.18289418826083903</v>
      </c>
      <c r="L22" s="352"/>
      <c r="M22" s="369"/>
      <c r="O22" s="327"/>
      <c r="P22" s="327"/>
      <c r="R22" s="393">
        <v>2</v>
      </c>
      <c r="S22" s="390">
        <f ca="1">AI17/Investment*100</f>
        <v>221.07772906420911</v>
      </c>
      <c r="T22" s="392">
        <f ca="1">EXP(y_inter2-(slope*LN(+S22)))</f>
        <v>7.519259715162705</v>
      </c>
      <c r="U22" s="388">
        <f ca="1">(+S22*T22/100)/100</f>
        <v>0.16623408620721628</v>
      </c>
      <c r="V22" s="388">
        <f>regDebt_weighted</f>
        <v>3.5860000000000003E-2</v>
      </c>
      <c r="W22" s="388">
        <f ca="1">+U22-V22</f>
        <v>0.13037408620721627</v>
      </c>
      <c r="X22" s="388">
        <f ca="1">+((W22*(1-0.34))-Pfd_weighted)/Equity_percent</f>
        <v>0.23214214214175213</v>
      </c>
      <c r="Y22" s="388">
        <f ca="1">+X22*equityP</f>
        <v>0.13928528528505127</v>
      </c>
      <c r="Z22" s="388">
        <f ca="1">+Y22/(1-taxrate)</f>
        <v>0.17631048770259652</v>
      </c>
      <c r="AA22" s="388">
        <f>debtP*Debt_Rate</f>
        <v>2.0000000000000004E-2</v>
      </c>
      <c r="AB22" s="388">
        <f ca="1">+AA22+Z22</f>
        <v>0.19631048770259651</v>
      </c>
      <c r="AC22" s="388">
        <f ca="1">+AB22/(S22/100)</f>
        <v>8.8797043706551157E-2</v>
      </c>
      <c r="AD22" s="388">
        <f ca="1">1-AC22</f>
        <v>0.91120295629344883</v>
      </c>
      <c r="AE22" s="386">
        <f ca="1">expenses/(AD22)</f>
        <v>209373.7602945223</v>
      </c>
      <c r="AF22" s="387">
        <f ca="1">+AE22-Revenue</f>
        <v>31888.277208882238</v>
      </c>
      <c r="AG22" s="375">
        <f ca="1">+AF22/$J$49</f>
        <v>35831.692363709568</v>
      </c>
      <c r="AH22" s="375">
        <f ca="1">+AG22*$J$47</f>
        <v>809.79624741983628</v>
      </c>
      <c r="AI22" s="386">
        <f ca="1">ROUND(+AH22+AE22,5)</f>
        <v>210183.55653999999</v>
      </c>
    </row>
    <row r="23" spans="1:35" ht="15.75">
      <c r="A23" s="327"/>
      <c r="B23" s="327" t="s">
        <v>166</v>
      </c>
      <c r="C23" s="327"/>
      <c r="D23" s="327"/>
      <c r="E23" s="327"/>
      <c r="F23" s="363">
        <f t="shared" si="0"/>
        <v>17</v>
      </c>
      <c r="H23" s="359"/>
      <c r="I23" s="359"/>
      <c r="J23" s="359"/>
      <c r="K23" s="359"/>
      <c r="L23" s="359"/>
      <c r="M23" s="359"/>
      <c r="N23" s="359"/>
      <c r="O23" s="327"/>
      <c r="P23" s="327"/>
      <c r="R23" s="357">
        <v>3</v>
      </c>
      <c r="S23" s="390">
        <f ca="1">AI18/Investment*100</f>
        <v>220.82950201564279</v>
      </c>
      <c r="T23" s="313">
        <f ca="1">EXP(y_inter3-(slope*LN(S23)))</f>
        <v>7.4518755318034211</v>
      </c>
      <c r="U23" s="388">
        <f ca="1">(+S23*T23/100)/100</f>
        <v>0.16455939627707028</v>
      </c>
      <c r="V23" s="388">
        <f>regDebt_weighted</f>
        <v>3.5860000000000003E-2</v>
      </c>
      <c r="W23" s="388">
        <f ca="1">+U23-V23</f>
        <v>0.12869939627707028</v>
      </c>
      <c r="X23" s="388">
        <f ca="1">+((W23*(1-0.34))-Pfd_weighted)/Equity_percent</f>
        <v>0.22892907425251852</v>
      </c>
      <c r="Y23" s="388">
        <f ca="1">+X23*equityP</f>
        <v>0.13735744455151111</v>
      </c>
      <c r="Z23" s="388">
        <f ca="1">+Y23/(1-taxrate)</f>
        <v>0.17387018297659634</v>
      </c>
      <c r="AA23" s="388">
        <f>debtP*Debt_Rate</f>
        <v>2.0000000000000004E-2</v>
      </c>
      <c r="AB23" s="388">
        <f ca="1">+AA23+Z23</f>
        <v>0.19387018297659636</v>
      </c>
      <c r="AC23" s="388">
        <f ca="1">+AB23/(S23/100)</f>
        <v>8.7791794668297216E-2</v>
      </c>
      <c r="AD23" s="388">
        <f ca="1">1-AC23</f>
        <v>0.91220820533170277</v>
      </c>
      <c r="AE23" s="386">
        <f ca="1">expenses/(AD23)</f>
        <v>209143.03142150681</v>
      </c>
      <c r="AF23" s="387">
        <f ca="1">+AE23-Revenue</f>
        <v>31657.548335866741</v>
      </c>
      <c r="AG23" s="375">
        <f ca="1">+AF23/$J$49</f>
        <v>35572.430756594149</v>
      </c>
      <c r="AH23" s="375">
        <f ca="1">+AG23*$J$47</f>
        <v>803.93693509902789</v>
      </c>
      <c r="AI23" s="386">
        <f ca="1">ROUND(+AH23+AE23,5)</f>
        <v>209946.96836</v>
      </c>
    </row>
    <row r="24" spans="1:35" ht="15.75">
      <c r="A24" s="327"/>
      <c r="B24" s="327" t="s">
        <v>168</v>
      </c>
      <c r="C24" s="327"/>
      <c r="D24" s="327"/>
      <c r="E24" s="327"/>
      <c r="F24" s="363">
        <f t="shared" si="0"/>
        <v>18</v>
      </c>
      <c r="H24" s="359"/>
      <c r="J24" s="412" t="s">
        <v>169</v>
      </c>
      <c r="K24" s="411" t="s">
        <v>170</v>
      </c>
      <c r="L24" s="411"/>
      <c r="M24" s="411"/>
      <c r="N24" s="411"/>
      <c r="O24" s="327"/>
      <c r="P24" s="327"/>
      <c r="R24" s="371">
        <v>4</v>
      </c>
      <c r="S24" s="390">
        <f ca="1">AI19/Investment*100</f>
        <v>220.67077776750074</v>
      </c>
      <c r="T24" s="389">
        <f ca="1">EXP(y_inter4-(slope*LN(S24)))</f>
        <v>7.4087173255765544</v>
      </c>
      <c r="U24" s="388">
        <f ca="1">(+S24*T24/100)/100</f>
        <v>0.16348874144945363</v>
      </c>
      <c r="V24" s="388">
        <f>regDebt_weighted</f>
        <v>3.5860000000000003E-2</v>
      </c>
      <c r="W24" s="388">
        <f ca="1">+U24-V24</f>
        <v>0.12762874144945363</v>
      </c>
      <c r="X24" s="388">
        <f ca="1">+((W24*(1-0.34))-Pfd_weighted)/Equity_percent</f>
        <v>0.22687491092046336</v>
      </c>
      <c r="Y24" s="388">
        <f ca="1">+X24*equityP</f>
        <v>0.136124946552278</v>
      </c>
      <c r="Z24" s="388">
        <f ca="1">+Y24/(1-taxrate)</f>
        <v>0.17231005892693416</v>
      </c>
      <c r="AA24" s="388">
        <f>debtP*Debt_Rate</f>
        <v>2.0000000000000004E-2</v>
      </c>
      <c r="AB24" s="388">
        <f ca="1">+AA24+Z24</f>
        <v>0.19231005892693415</v>
      </c>
      <c r="AC24" s="388">
        <f ca="1">+AB24/(S24/100)</f>
        <v>8.714794993361219E-2</v>
      </c>
      <c r="AD24" s="388">
        <f ca="1">1-AC24</f>
        <v>0.91285205006638781</v>
      </c>
      <c r="AE24" s="386">
        <f ca="1">expenses/(AD24)</f>
        <v>208995.52050824653</v>
      </c>
      <c r="AF24" s="387">
        <f ca="1">+AE24-Revenue</f>
        <v>31510.03742260646</v>
      </c>
      <c r="AG24" s="375">
        <f ca="1">+AF24/$J$49</f>
        <v>35406.678131276407</v>
      </c>
      <c r="AH24" s="375">
        <f ca="1">+AG24*$J$47</f>
        <v>800.19092576684682</v>
      </c>
      <c r="AI24" s="386">
        <f ca="1">ROUND(+AH24+AE24,5)</f>
        <v>209795.71143</v>
      </c>
    </row>
    <row r="25" spans="1:35" ht="15.75">
      <c r="A25" s="327"/>
      <c r="B25" s="327" t="s">
        <v>172</v>
      </c>
      <c r="C25" s="327"/>
      <c r="D25" s="327"/>
      <c r="E25" s="327"/>
      <c r="F25" s="363">
        <f t="shared" si="0"/>
        <v>19</v>
      </c>
      <c r="H25" s="409" t="s">
        <v>173</v>
      </c>
      <c r="I25" s="410" t="s">
        <v>23</v>
      </c>
      <c r="J25" s="408" t="s">
        <v>174</v>
      </c>
      <c r="K25" s="409" t="s">
        <v>175</v>
      </c>
      <c r="L25" s="408" t="s">
        <v>176</v>
      </c>
      <c r="M25" s="408" t="s">
        <v>174</v>
      </c>
      <c r="O25" s="327"/>
      <c r="P25" s="327"/>
      <c r="R25" s="310" t="s">
        <v>177</v>
      </c>
      <c r="W25" s="316"/>
      <c r="X25" s="314"/>
      <c r="Y25" s="313"/>
      <c r="Z25" s="313"/>
      <c r="AA25" s="314"/>
      <c r="AC25" s="314"/>
      <c r="AD25" s="314"/>
      <c r="AE25" s="313"/>
      <c r="AF25" s="316"/>
    </row>
    <row r="26" spans="1:35" ht="15.75">
      <c r="A26" s="327"/>
      <c r="B26" s="327"/>
      <c r="C26" s="327"/>
      <c r="D26" s="327"/>
      <c r="E26" s="327"/>
      <c r="F26" s="363">
        <f t="shared" si="0"/>
        <v>20</v>
      </c>
      <c r="H26" s="403" t="s">
        <v>123</v>
      </c>
      <c r="I26" s="404">
        <f>1-I27</f>
        <v>0.6</v>
      </c>
      <c r="J26" s="407">
        <f>+I26*J28</f>
        <v>57046.194932358449</v>
      </c>
      <c r="K26" s="405">
        <f ca="1">+K34</f>
        <v>0.22793249799746085</v>
      </c>
      <c r="L26" s="404">
        <f ca="1">+K26*I26</f>
        <v>0.13675949879847651</v>
      </c>
      <c r="M26" s="364">
        <f ca="1">+J26*K26</f>
        <v>13002.681712182553</v>
      </c>
      <c r="O26" s="327"/>
      <c r="P26" s="327"/>
      <c r="R26" s="668">
        <v>1</v>
      </c>
      <c r="S26" s="669">
        <f ca="1">AI21/Investment*100</f>
        <v>221.43639557692322</v>
      </c>
      <c r="T26" s="670">
        <f ca="1">EXP(y_inter1-(slope*LN(+S26)))</f>
        <v>7.6193375820772467</v>
      </c>
      <c r="U26" s="671">
        <f ca="1">(+S26*T26/100)/100</f>
        <v>0.16871986508589751</v>
      </c>
      <c r="V26" s="671">
        <f>regDebt_weighted</f>
        <v>3.5860000000000003E-2</v>
      </c>
      <c r="W26" s="671">
        <f ca="1">+U26-V26</f>
        <v>0.1328598650858975</v>
      </c>
      <c r="X26" s="671">
        <f ca="1">+((W26*(1-0.34))-Pfd_weighted)/Equity_percent</f>
        <v>0.2369113690601522</v>
      </c>
      <c r="Y26" s="671">
        <f ca="1">+X26*equityP</f>
        <v>0.14214682143609131</v>
      </c>
      <c r="Z26" s="671">
        <f ca="1">+Y26/(1-taxrate)</f>
        <v>0.17993268536214088</v>
      </c>
      <c r="AA26" s="671">
        <f>debtP*Debt_Rate</f>
        <v>2.0000000000000004E-2</v>
      </c>
      <c r="AB26" s="671">
        <f ca="1">+AA26+Z26</f>
        <v>0.19993268536214087</v>
      </c>
      <c r="AC26" s="671">
        <f ca="1">+AB26/(S26/100)</f>
        <v>9.0288990136983896E-2</v>
      </c>
      <c r="AD26" s="671">
        <f ca="1">1-AC26</f>
        <v>0.90971100986301612</v>
      </c>
      <c r="AE26" s="672">
        <f ca="1">expenses/(AD26)</f>
        <v>209717.13795062513</v>
      </c>
      <c r="AF26" s="673">
        <f ca="1">+AE26-Revenue</f>
        <v>32231.654864985059</v>
      </c>
      <c r="AG26" s="674">
        <f ca="1">+AF26/$J$49</f>
        <v>36217.533293824818</v>
      </c>
      <c r="AH26" s="674">
        <f ca="1">+AG26*$J$47</f>
        <v>818.51625244044089</v>
      </c>
      <c r="AI26" s="672">
        <f ca="1">ROUND(+AH26+AE26,5)</f>
        <v>210535.65419999999</v>
      </c>
    </row>
    <row r="27" spans="1:35" ht="15.75">
      <c r="A27" s="327"/>
      <c r="B27" s="327"/>
      <c r="C27" s="327"/>
      <c r="D27" s="327"/>
      <c r="E27" s="327"/>
      <c r="F27" s="363">
        <f t="shared" si="0"/>
        <v>21</v>
      </c>
      <c r="H27" s="403" t="s">
        <v>125</v>
      </c>
      <c r="I27" s="404">
        <f>IF(A65=TRUE,C8,0)</f>
        <v>0.4</v>
      </c>
      <c r="J27" s="406">
        <f>+I27*J28</f>
        <v>38030.796621572306</v>
      </c>
      <c r="K27" s="405">
        <f>IF(A65=TRUE,C9,0)</f>
        <v>0.05</v>
      </c>
      <c r="L27" s="404">
        <f>+K27*I27</f>
        <v>2.0000000000000004E-2</v>
      </c>
      <c r="M27" s="364">
        <f>+K27*J27</f>
        <v>1901.5398310786154</v>
      </c>
      <c r="O27" s="327"/>
      <c r="P27" s="327"/>
      <c r="R27" s="393">
        <v>2</v>
      </c>
      <c r="S27" s="390">
        <f ca="1">AI22/Investment*100</f>
        <v>221.06668827523541</v>
      </c>
      <c r="T27" s="392">
        <f ca="1">EXP(y_inter2-(slope*LN(+S27)))</f>
        <v>7.5195164560170493</v>
      </c>
      <c r="U27" s="388">
        <f ca="1">(+S27*T27/100)/100</f>
        <v>0.16623146003628239</v>
      </c>
      <c r="V27" s="388">
        <f>regDebt_weighted</f>
        <v>3.5860000000000003E-2</v>
      </c>
      <c r="W27" s="388">
        <f ca="1">+U27-V27</f>
        <v>0.13037146003628239</v>
      </c>
      <c r="X27" s="388">
        <f ca="1">+((W27*(1-0.34))-Pfd_weighted)/Equity_percent</f>
        <v>0.23213710355798362</v>
      </c>
      <c r="Y27" s="388">
        <f ca="1">+X27*equityP</f>
        <v>0.13928226213479017</v>
      </c>
      <c r="Z27" s="388">
        <f ca="1">+Y27/(1-taxrate)</f>
        <v>0.17630666093011413</v>
      </c>
      <c r="AA27" s="388">
        <f>debtP*Debt_Rate</f>
        <v>2.0000000000000004E-2</v>
      </c>
      <c r="AB27" s="388">
        <f ca="1">+AA27+Z27</f>
        <v>0.19630666093011412</v>
      </c>
      <c r="AC27" s="388">
        <f ca="1">+AB27/(S27/100)</f>
        <v>8.8799747470639165E-2</v>
      </c>
      <c r="AD27" s="388">
        <f ca="1">1-AC27</f>
        <v>0.91120025252936088</v>
      </c>
      <c r="AE27" s="386">
        <f ca="1">expenses/(AD27)</f>
        <v>209374.38155999329</v>
      </c>
      <c r="AF27" s="387">
        <f ca="1">+AE27-Revenue</f>
        <v>31888.89847435322</v>
      </c>
      <c r="AG27" s="375">
        <f ca="1">+AF27/$J$49</f>
        <v>35832.390457027264</v>
      </c>
      <c r="AH27" s="375">
        <f ca="1">+AG27*$J$47</f>
        <v>809.81202432881628</v>
      </c>
      <c r="AI27" s="386">
        <f ca="1">ROUND(+AH27+AE27,5)</f>
        <v>210184.19357999999</v>
      </c>
    </row>
    <row r="28" spans="1:35" ht="16.5" thickBot="1">
      <c r="A28" s="327"/>
      <c r="B28" s="327"/>
      <c r="C28" s="327"/>
      <c r="D28" s="327"/>
      <c r="E28" s="327"/>
      <c r="F28" s="363">
        <f t="shared" si="0"/>
        <v>22</v>
      </c>
      <c r="H28" s="403" t="s">
        <v>27</v>
      </c>
      <c r="I28" s="402">
        <f>SUM(I26:I27)</f>
        <v>1</v>
      </c>
      <c r="J28" s="367">
        <f>IF(A65=TRUE,C7,0)</f>
        <v>95076.991553930755</v>
      </c>
      <c r="K28" s="401"/>
      <c r="L28" s="400">
        <f ca="1">SUM(L26:L27)</f>
        <v>0.1567594987984765</v>
      </c>
      <c r="M28" s="367">
        <f ca="1">SUM(M26:M27)</f>
        <v>14904.221543261168</v>
      </c>
      <c r="O28" s="327"/>
      <c r="P28" s="327"/>
      <c r="R28" s="357">
        <v>3</v>
      </c>
      <c r="S28" s="390">
        <f ca="1">AI23/Investment*100</f>
        <v>220.81784975380847</v>
      </c>
      <c r="T28" s="313">
        <f ca="1">EXP(y_inter3-(slope*LN(S28)))</f>
        <v>7.4521443660232949</v>
      </c>
      <c r="U28" s="388">
        <f ca="1">(+S28*T28/100)/100</f>
        <v>0.16455664949602222</v>
      </c>
      <c r="V28" s="388">
        <f>regDebt_weighted</f>
        <v>3.5860000000000003E-2</v>
      </c>
      <c r="W28" s="388">
        <f ca="1">+U28-V28</f>
        <v>0.12869664949602222</v>
      </c>
      <c r="X28" s="388">
        <f ca="1">+((W28*(1-0.34))-Pfd_weighted)/Equity_percent</f>
        <v>0.22892380426562403</v>
      </c>
      <c r="Y28" s="388">
        <f ca="1">+X28*equityP</f>
        <v>0.1373542825593744</v>
      </c>
      <c r="Z28" s="388">
        <f ca="1">+Y28/(1-taxrate)</f>
        <v>0.17386618045490429</v>
      </c>
      <c r="AA28" s="388">
        <f>debtP*Debt_Rate</f>
        <v>2.0000000000000004E-2</v>
      </c>
      <c r="AB28" s="388">
        <f ca="1">+AA28+Z28</f>
        <v>0.19386618045490428</v>
      </c>
      <c r="AC28" s="388">
        <f ca="1">+AB28/(S28/100)</f>
        <v>8.7794614733839316E-2</v>
      </c>
      <c r="AD28" s="388">
        <f ca="1">1-AC28</f>
        <v>0.91220538526616068</v>
      </c>
      <c r="AE28" s="386">
        <f ca="1">expenses/(AD28)</f>
        <v>209143.67798319762</v>
      </c>
      <c r="AF28" s="387">
        <f ca="1">+AE28-Revenue</f>
        <v>31658.194897557551</v>
      </c>
      <c r="AG28" s="375">
        <f ca="1">+AF28/$J$49</f>
        <v>35573.157274350109</v>
      </c>
      <c r="AH28" s="375">
        <f ca="1">+AG28*$J$47</f>
        <v>803.95335440031249</v>
      </c>
      <c r="AI28" s="386">
        <f ca="1">ROUND(+AH28+AE28,5)</f>
        <v>209947.63133999999</v>
      </c>
    </row>
    <row r="29" spans="1:35" ht="16.5" thickTop="1">
      <c r="A29" s="327"/>
      <c r="B29" s="327"/>
      <c r="C29" s="327"/>
      <c r="D29" s="327"/>
      <c r="E29" s="327"/>
      <c r="F29" s="363">
        <f t="shared" si="0"/>
        <v>23</v>
      </c>
      <c r="G29" s="359"/>
      <c r="H29" s="359"/>
      <c r="I29" s="359"/>
      <c r="J29" s="359"/>
      <c r="K29" s="359"/>
      <c r="L29" s="359"/>
      <c r="M29" s="359"/>
      <c r="N29" s="359"/>
      <c r="O29" s="327"/>
      <c r="P29" s="327"/>
      <c r="R29" s="371">
        <v>4</v>
      </c>
      <c r="S29" s="390">
        <f ca="1">AI24/Investment*100</f>
        <v>220.65876086434338</v>
      </c>
      <c r="T29" s="389">
        <f ca="1">EXP(y_inter4-(slope*LN(S29)))</f>
        <v>7.4089931655444001</v>
      </c>
      <c r="U29" s="388">
        <f ca="1">(+S29*T29/100)/100</f>
        <v>0.16348592511614166</v>
      </c>
      <c r="V29" s="388">
        <f>regDebt_weighted</f>
        <v>3.5860000000000003E-2</v>
      </c>
      <c r="W29" s="388">
        <f ca="1">+U29-V29</f>
        <v>0.12762592511614165</v>
      </c>
      <c r="X29" s="388">
        <f ca="1">+((W29*(1-0.34))-Pfd_weighted)/Equity_percent</f>
        <v>0.22686950749027174</v>
      </c>
      <c r="Y29" s="388">
        <f ca="1">+X29*equityP</f>
        <v>0.13612170449416303</v>
      </c>
      <c r="Z29" s="388">
        <f ca="1">+Y29/(1-taxrate)</f>
        <v>0.17230595505590254</v>
      </c>
      <c r="AA29" s="388">
        <f>debtP*Debt_Rate</f>
        <v>2.0000000000000004E-2</v>
      </c>
      <c r="AB29" s="388">
        <f ca="1">+AA29+Z29</f>
        <v>0.19230595505590253</v>
      </c>
      <c r="AC29" s="388">
        <f ca="1">+AB29/(S29/100)</f>
        <v>8.7150836115738192E-2</v>
      </c>
      <c r="AD29" s="388">
        <f ca="1">1-AC29</f>
        <v>0.91284916388426185</v>
      </c>
      <c r="AE29" s="386">
        <f ca="1">expenses/(AD29)</f>
        <v>208996.18129554804</v>
      </c>
      <c r="AF29" s="387">
        <f ca="1">+AE29-Revenue</f>
        <v>31510.698209907976</v>
      </c>
      <c r="AG29" s="375">
        <f ca="1">+AF29/$J$49</f>
        <v>35407.42063383152</v>
      </c>
      <c r="AH29" s="375">
        <f ca="1">+AG29*$J$47</f>
        <v>800.20770632459244</v>
      </c>
      <c r="AI29" s="386">
        <f ca="1">ROUND(+AH29+AE29,5)</f>
        <v>209796.389</v>
      </c>
    </row>
    <row r="30" spans="1:35" ht="15.75">
      <c r="A30" s="327"/>
      <c r="B30" s="327"/>
      <c r="C30" s="327"/>
      <c r="D30" s="327"/>
      <c r="E30" s="327"/>
      <c r="F30" s="363">
        <f t="shared" si="0"/>
        <v>24</v>
      </c>
      <c r="G30" s="359"/>
      <c r="H30" s="359"/>
      <c r="I30" s="359"/>
      <c r="J30" s="399" t="s">
        <v>178</v>
      </c>
      <c r="K30" s="399" t="s">
        <v>179</v>
      </c>
      <c r="L30" s="359"/>
      <c r="M30" s="359"/>
      <c r="N30" s="359"/>
      <c r="O30" s="327"/>
      <c r="P30" s="327"/>
      <c r="R30" s="310" t="s">
        <v>180</v>
      </c>
      <c r="W30" s="316"/>
      <c r="X30" s="314"/>
      <c r="Y30" s="313"/>
      <c r="Z30" s="313"/>
      <c r="AA30" s="314"/>
      <c r="AC30" s="314"/>
      <c r="AD30" s="314"/>
      <c r="AE30" s="313"/>
      <c r="AF30" s="316"/>
      <c r="AH30" s="313"/>
    </row>
    <row r="31" spans="1:35" ht="15.75">
      <c r="A31" s="327"/>
      <c r="B31" s="327"/>
      <c r="C31" s="327"/>
      <c r="D31" s="327"/>
      <c r="E31" s="327"/>
      <c r="F31" s="363">
        <f t="shared" si="0"/>
        <v>25</v>
      </c>
      <c r="G31" s="359"/>
      <c r="H31" s="385" t="s">
        <v>181</v>
      </c>
      <c r="I31" s="398"/>
      <c r="J31" s="397" t="s">
        <v>182</v>
      </c>
      <c r="K31" s="397" t="s">
        <v>182</v>
      </c>
      <c r="L31" s="359"/>
      <c r="M31" s="359"/>
      <c r="N31" s="359"/>
      <c r="O31" s="327"/>
      <c r="P31" s="327"/>
      <c r="R31" s="668">
        <v>1</v>
      </c>
      <c r="S31" s="669">
        <f ca="1">AI26/Investment*100</f>
        <v>221.43701726255961</v>
      </c>
      <c r="T31" s="670">
        <f ca="1">EXP(y_inter1-(slope*LN(+S31)))</f>
        <v>7.6193229574588663</v>
      </c>
      <c r="U31" s="671">
        <f ca="1">(+S31*T31/100)/100</f>
        <v>0.16872001492598357</v>
      </c>
      <c r="V31" s="671">
        <f>regDebt_weighted</f>
        <v>3.5860000000000003E-2</v>
      </c>
      <c r="W31" s="671">
        <f ca="1">+U31-V31</f>
        <v>0.13286001492598357</v>
      </c>
      <c r="X31" s="671">
        <f ca="1">+((W31*(1-0.34))-Pfd_weighted)/Equity_percent</f>
        <v>0.2369116565440382</v>
      </c>
      <c r="Y31" s="671">
        <f ca="1">+X31*equityP</f>
        <v>0.14214699392642291</v>
      </c>
      <c r="Z31" s="671">
        <f ca="1">+Y31/(1-taxrate)</f>
        <v>0.17993290370433279</v>
      </c>
      <c r="AA31" s="671">
        <f>debtP*Debt_Rate</f>
        <v>2.0000000000000004E-2</v>
      </c>
      <c r="AB31" s="671">
        <f ca="1">+AA31+Z31</f>
        <v>0.19993290370433281</v>
      </c>
      <c r="AC31" s="671">
        <f ca="1">+AB31/(S31/100)</f>
        <v>9.0288835252540806E-2</v>
      </c>
      <c r="AD31" s="671">
        <f ca="1">1-AC31</f>
        <v>0.90971116474745917</v>
      </c>
      <c r="AE31" s="672">
        <f ca="1">expenses/(AD31)</f>
        <v>209717.10224487216</v>
      </c>
      <c r="AF31" s="673">
        <f ca="1">+AE31-Revenue</f>
        <v>32231.619159232097</v>
      </c>
      <c r="AG31" s="674">
        <f ca="1">+AF31/$J$49</f>
        <v>36217.493172574381</v>
      </c>
      <c r="AH31" s="674">
        <f ca="1">+AG31*$J$47</f>
        <v>818.51534570018111</v>
      </c>
      <c r="AI31" s="672">
        <f ca="1">ROUND(+AH31+AE31,5)</f>
        <v>210535.61759000001</v>
      </c>
    </row>
    <row r="32" spans="1:35" ht="15.75">
      <c r="A32" s="327"/>
      <c r="B32" s="327"/>
      <c r="C32" s="327"/>
      <c r="D32" s="327"/>
      <c r="E32" s="327"/>
      <c r="F32" s="363">
        <f t="shared" si="0"/>
        <v>26</v>
      </c>
      <c r="G32" s="359"/>
      <c r="H32" s="361"/>
      <c r="I32" s="361"/>
      <c r="J32" s="361"/>
      <c r="K32" s="361"/>
      <c r="L32" s="359"/>
      <c r="M32" s="359"/>
      <c r="N32" s="359"/>
      <c r="O32" s="327"/>
      <c r="P32" s="327"/>
      <c r="R32" s="393">
        <v>2</v>
      </c>
      <c r="S32" s="390">
        <f ca="1">AI27/Investment*100</f>
        <v>221.06735830064278</v>
      </c>
      <c r="T32" s="392">
        <f ca="1">EXP(y_inter2-(slope*LN(+S32)))</f>
        <v>7.5195008747311922</v>
      </c>
      <c r="U32" s="388">
        <f ca="1">(+S32*T32/100)/100</f>
        <v>0.16623161941161971</v>
      </c>
      <c r="V32" s="388">
        <f>regDebt_weighted</f>
        <v>3.5860000000000003E-2</v>
      </c>
      <c r="W32" s="388">
        <f ca="1">+U32-V32</f>
        <v>0.1303716194116197</v>
      </c>
      <c r="X32" s="388">
        <f ca="1">+((W32*(1-0.34))-Pfd_weighted)/Equity_percent</f>
        <v>0.23213740933624707</v>
      </c>
      <c r="Y32" s="388">
        <f ca="1">+X32*equityP</f>
        <v>0.13928244560174824</v>
      </c>
      <c r="Z32" s="388">
        <f ca="1">+Y32/(1-taxrate)</f>
        <v>0.17630689316676992</v>
      </c>
      <c r="AA32" s="388">
        <f>debtP*Debt_Rate</f>
        <v>2.0000000000000004E-2</v>
      </c>
      <c r="AB32" s="388">
        <f ca="1">+AA32+Z32</f>
        <v>0.19630689316676991</v>
      </c>
      <c r="AC32" s="388">
        <f ca="1">+AB32/(S32/100)</f>
        <v>8.8799583382997843E-2</v>
      </c>
      <c r="AD32" s="388">
        <f ca="1">1-AC32</f>
        <v>0.91120041661700213</v>
      </c>
      <c r="AE32" s="386">
        <f ca="1">expenses/(AD32)</f>
        <v>209374.34385616021</v>
      </c>
      <c r="AF32" s="387">
        <f ca="1">+AE32-Revenue</f>
        <v>31888.860770520143</v>
      </c>
      <c r="AG32" s="375">
        <f ca="1">+AF32/$J$49</f>
        <v>35832.348090607185</v>
      </c>
      <c r="AH32" s="375">
        <f ca="1">+AG32*$J$47</f>
        <v>809.81106684772249</v>
      </c>
      <c r="AI32" s="386">
        <f ca="1">ROUND(+AH32+AE32,5)</f>
        <v>210184.15492</v>
      </c>
    </row>
    <row r="33" spans="1:46" ht="15.75">
      <c r="A33" s="327"/>
      <c r="B33" s="327"/>
      <c r="C33" s="327"/>
      <c r="D33" s="327"/>
      <c r="E33" s="327"/>
      <c r="F33" s="363">
        <f t="shared" si="0"/>
        <v>27</v>
      </c>
      <c r="G33" s="359"/>
      <c r="H33" s="361" t="s">
        <v>183</v>
      </c>
      <c r="I33" s="361"/>
      <c r="J33" s="360">
        <f ca="1">+K9/J28</f>
        <v>0.19311328961832469</v>
      </c>
      <c r="K33" s="360">
        <f ca="1">+(M14+M11)/J28</f>
        <v>0.1567594987984765</v>
      </c>
      <c r="L33" s="359"/>
      <c r="M33" s="359"/>
      <c r="N33" s="359"/>
      <c r="O33" s="327"/>
      <c r="P33" s="327"/>
      <c r="R33" s="357">
        <v>3</v>
      </c>
      <c r="S33" s="390">
        <f ca="1">AI28/Investment*100</f>
        <v>220.81854706236777</v>
      </c>
      <c r="T33" s="313">
        <f ca="1">EXP(y_inter3-(slope*LN(S33)))</f>
        <v>7.4521282774531716</v>
      </c>
      <c r="U33" s="388">
        <f ca="1">(+S33*T33/100)/100</f>
        <v>0.16455681387495949</v>
      </c>
      <c r="V33" s="388">
        <f>regDebt_weighted</f>
        <v>3.5860000000000003E-2</v>
      </c>
      <c r="W33" s="388">
        <f ca="1">+U33-V33</f>
        <v>0.12869681387495949</v>
      </c>
      <c r="X33" s="388">
        <f ca="1">+((W33*(1-0.34))-Pfd_weighted)/Equity_percent</f>
        <v>0.22892411964381762</v>
      </c>
      <c r="Y33" s="388">
        <f ca="1">+X33*equityP</f>
        <v>0.13735447178629057</v>
      </c>
      <c r="Z33" s="388">
        <f ca="1">+Y33/(1-taxrate)</f>
        <v>0.17386641998264629</v>
      </c>
      <c r="AA33" s="388">
        <f>debtP*Debt_Rate</f>
        <v>2.0000000000000004E-2</v>
      </c>
      <c r="AB33" s="388">
        <f ca="1">+AA33+Z33</f>
        <v>0.19386641998264631</v>
      </c>
      <c r="AC33" s="388">
        <f ca="1">+AB33/(S33/100)</f>
        <v>8.7794445965578644E-2</v>
      </c>
      <c r="AD33" s="388">
        <f ca="1">1-AC33</f>
        <v>0.91220555403442138</v>
      </c>
      <c r="AE33" s="386">
        <f ca="1">expenses/(AD33)</f>
        <v>209143.639289271</v>
      </c>
      <c r="AF33" s="387">
        <f ca="1">+AE33-Revenue</f>
        <v>31658.156203630933</v>
      </c>
      <c r="AG33" s="375">
        <f ca="1">+AF33/$J$49</f>
        <v>35573.113795398087</v>
      </c>
      <c r="AH33" s="375">
        <f ca="1">+AG33*$J$47</f>
        <v>803.95237177599688</v>
      </c>
      <c r="AI33" s="386">
        <f ca="1">ROUND(+AH33+AE33,5)</f>
        <v>209947.59166000001</v>
      </c>
    </row>
    <row r="34" spans="1:46" ht="15.75">
      <c r="A34" s="327"/>
      <c r="B34" s="327"/>
      <c r="C34" s="327"/>
      <c r="D34" s="327"/>
      <c r="E34" s="327"/>
      <c r="F34" s="363">
        <f t="shared" si="0"/>
        <v>28</v>
      </c>
      <c r="G34" s="359"/>
      <c r="H34" s="361" t="s">
        <v>184</v>
      </c>
      <c r="I34" s="361"/>
      <c r="J34" s="360">
        <f ca="1">+(M9-M11)/J26</f>
        <v>0.28852214936387449</v>
      </c>
      <c r="K34" s="360">
        <f ca="1">+M14/J26</f>
        <v>0.22793249799746085</v>
      </c>
      <c r="L34" s="359"/>
      <c r="M34" s="359"/>
      <c r="N34" s="359"/>
      <c r="O34" s="396"/>
      <c r="P34" s="327"/>
      <c r="R34" s="371">
        <v>4</v>
      </c>
      <c r="S34" s="390">
        <f ca="1">AI29/Investment*100</f>
        <v>220.65947351836081</v>
      </c>
      <c r="T34" s="389">
        <f ca="1">EXP(y_inter4-(slope*LN(S34)))</f>
        <v>7.4089768063429986</v>
      </c>
      <c r="U34" s="388">
        <f ca="1">(+S34*T34/100)/100</f>
        <v>0.16348609213973922</v>
      </c>
      <c r="V34" s="388">
        <f>regDebt_weighted</f>
        <v>3.5860000000000003E-2</v>
      </c>
      <c r="W34" s="388">
        <f ca="1">+U34-V34</f>
        <v>0.12762609213973922</v>
      </c>
      <c r="X34" s="388">
        <f ca="1">+((W34*(1-0.34))-Pfd_weighted)/Equity_percent</f>
        <v>0.22686982794252292</v>
      </c>
      <c r="Y34" s="388">
        <f ca="1">+X34*equityP</f>
        <v>0.13612189676551376</v>
      </c>
      <c r="Z34" s="388">
        <f ca="1">+Y34/(1-taxrate)</f>
        <v>0.17230619843735917</v>
      </c>
      <c r="AA34" s="388">
        <f>debtP*Debt_Rate</f>
        <v>2.0000000000000004E-2</v>
      </c>
      <c r="AB34" s="388">
        <f ca="1">+AA34+Z34</f>
        <v>0.19230619843735919</v>
      </c>
      <c r="AC34" s="388">
        <f ca="1">+AB34/(S34/100)</f>
        <v>8.7150664945893477E-2</v>
      </c>
      <c r="AD34" s="388">
        <f ca="1">1-AC34</f>
        <v>0.91284933505410648</v>
      </c>
      <c r="AE34" s="386">
        <f ca="1">expenses/(AD34)</f>
        <v>208996.14210633849</v>
      </c>
      <c r="AF34" s="387">
        <f ca="1">+AE34-Revenue</f>
        <v>31510.659020698426</v>
      </c>
      <c r="AG34" s="375">
        <f ca="1">+AF34/$J$49</f>
        <v>35407.376598348157</v>
      </c>
      <c r="AH34" s="375">
        <f ca="1">+AG34*$J$47</f>
        <v>800.20671112266837</v>
      </c>
      <c r="AI34" s="386">
        <f ca="1">ROUND(+AH34+AE34,5)</f>
        <v>209796.34882000001</v>
      </c>
    </row>
    <row r="35" spans="1:46" ht="15.75">
      <c r="A35" s="327"/>
      <c r="B35" s="327"/>
      <c r="C35" s="327"/>
      <c r="D35" s="327"/>
      <c r="E35" s="327"/>
      <c r="F35" s="363">
        <f t="shared" si="0"/>
        <v>29</v>
      </c>
      <c r="G35" s="359"/>
      <c r="H35" s="395" t="s">
        <v>127</v>
      </c>
      <c r="I35" s="361"/>
      <c r="J35" s="360">
        <f ca="1">+K8/K7</f>
        <v>0.91220999999999997</v>
      </c>
      <c r="K35" s="360">
        <f ca="1">+M8/M7</f>
        <v>0.91254616512109732</v>
      </c>
      <c r="L35" s="359"/>
      <c r="M35" s="359"/>
      <c r="N35" s="359"/>
      <c r="O35" s="327"/>
      <c r="P35" s="327"/>
      <c r="R35" s="310" t="s">
        <v>185</v>
      </c>
      <c r="X35" s="314"/>
      <c r="Y35" s="315"/>
      <c r="Z35" s="313"/>
      <c r="AA35" s="314"/>
      <c r="AC35" s="314"/>
      <c r="AD35" s="314"/>
      <c r="AE35" s="313"/>
      <c r="AF35" s="316"/>
      <c r="AH35" s="313"/>
    </row>
    <row r="36" spans="1:46" ht="15.75">
      <c r="A36" s="327"/>
      <c r="B36" s="327"/>
      <c r="C36" s="327"/>
      <c r="D36" s="327"/>
      <c r="E36" s="327"/>
      <c r="F36" s="363">
        <f t="shared" si="0"/>
        <v>30</v>
      </c>
      <c r="G36" s="359"/>
      <c r="H36" s="361" t="s">
        <v>186</v>
      </c>
      <c r="I36" s="361"/>
      <c r="J36" s="360">
        <f ca="1">+K9/K7</f>
        <v>8.7790000000000007E-2</v>
      </c>
      <c r="K36" s="360">
        <f ca="1">+J36</f>
        <v>8.7790000000000007E-2</v>
      </c>
      <c r="L36" s="359"/>
      <c r="M36" s="359"/>
      <c r="N36" s="359"/>
      <c r="O36" s="327"/>
      <c r="P36" s="327"/>
      <c r="R36" s="668">
        <v>1</v>
      </c>
      <c r="S36" s="669">
        <f ca="1">AI31/Investment*100</f>
        <v>221.43697875692391</v>
      </c>
      <c r="T36" s="670">
        <f ca="1">EXP(y_inter1-(slope*LN(+S36)))</f>
        <v>7.6193238632687281</v>
      </c>
      <c r="U36" s="671">
        <f ca="1">(+S36*T36/100)/100</f>
        <v>0.16872000564527606</v>
      </c>
      <c r="V36" s="671">
        <f>regDebt_weighted</f>
        <v>3.5860000000000003E-2</v>
      </c>
      <c r="W36" s="671">
        <f ca="1">+U36-V36</f>
        <v>0.13286000564527606</v>
      </c>
      <c r="X36" s="671">
        <f ca="1">+((W36*(1-0.34))-Pfd_weighted)/Equity_percent</f>
        <v>0.23691163873802965</v>
      </c>
      <c r="Y36" s="671">
        <f ca="1">+X36*equityP</f>
        <v>0.14214698324281777</v>
      </c>
      <c r="Z36" s="671">
        <f ca="1">+Y36/(1-taxrate)</f>
        <v>0.17993289018078198</v>
      </c>
      <c r="AA36" s="671">
        <f>debtP*Debt_Rate</f>
        <v>2.0000000000000004E-2</v>
      </c>
      <c r="AB36" s="671">
        <f ca="1">+AA36+Z36</f>
        <v>0.19993289018078197</v>
      </c>
      <c r="AC36" s="671">
        <f ca="1">+AB36/(S36/100)</f>
        <v>9.0288844845671665E-2</v>
      </c>
      <c r="AD36" s="671">
        <f ca="1">1-AC36</f>
        <v>0.90971115515432832</v>
      </c>
      <c r="AE36" s="672">
        <f ca="1">expenses/(AD36)</f>
        <v>209717.10445639127</v>
      </c>
      <c r="AF36" s="673">
        <f ca="1">+AE36-Revenue</f>
        <v>32231.621370751207</v>
      </c>
      <c r="AG36" s="674">
        <f ca="1">+AF36/$J$49</f>
        <v>36217.49565757763</v>
      </c>
      <c r="AH36" s="674">
        <f ca="1">+AG36*$J$47</f>
        <v>818.51540186125453</v>
      </c>
      <c r="AI36" s="672">
        <f ca="1">ROUND(+AH36+AE36,5)</f>
        <v>210535.61986000001</v>
      </c>
    </row>
    <row r="37" spans="1:46" ht="15.75">
      <c r="A37" s="327"/>
      <c r="B37" s="327"/>
      <c r="C37" s="327"/>
      <c r="D37" s="327"/>
      <c r="E37" s="327"/>
      <c r="F37" s="363">
        <f t="shared" si="0"/>
        <v>31</v>
      </c>
      <c r="G37" s="359"/>
      <c r="H37" s="361" t="s">
        <v>187</v>
      </c>
      <c r="I37" s="366"/>
      <c r="J37" s="394">
        <f ca="1">+S39/100</f>
        <v>2.2065943125787348</v>
      </c>
      <c r="K37" s="394">
        <f ca="1">+J37</f>
        <v>2.2065943125787348</v>
      </c>
      <c r="L37" s="359"/>
      <c r="M37" s="359"/>
      <c r="N37" s="359"/>
      <c r="O37" s="327"/>
      <c r="P37" s="327"/>
      <c r="R37" s="393">
        <v>2</v>
      </c>
      <c r="S37" s="390">
        <f ca="1">AI32/Investment*100</f>
        <v>221.06731763885978</v>
      </c>
      <c r="T37" s="392">
        <f ca="1">EXP(y_inter2-(slope*LN(+S37)))</f>
        <v>7.5195018203092836</v>
      </c>
      <c r="U37" s="388">
        <f ca="1">(+S37*T37/100)/100</f>
        <v>0.16623160973962967</v>
      </c>
      <c r="V37" s="388">
        <f>regDebt_weighted</f>
        <v>3.5860000000000003E-2</v>
      </c>
      <c r="W37" s="388">
        <f ca="1">+U37-V37</f>
        <v>0.13037160973962966</v>
      </c>
      <c r="X37" s="388">
        <f ca="1">+((W37*(1-0.34))-Pfd_weighted)/Equity_percent</f>
        <v>0.232137390779522</v>
      </c>
      <c r="Y37" s="388">
        <f ca="1">+X37*equityP</f>
        <v>0.13928243446771318</v>
      </c>
      <c r="Z37" s="388">
        <f ca="1">+Y37/(1-taxrate)</f>
        <v>0.17630687907305465</v>
      </c>
      <c r="AA37" s="388">
        <f>debtP*Debt_Rate</f>
        <v>2.0000000000000004E-2</v>
      </c>
      <c r="AB37" s="388">
        <f ca="1">+AA37+Z37</f>
        <v>0.19630687907305466</v>
      </c>
      <c r="AC37" s="388">
        <f ca="1">+AB37/(S37/100)</f>
        <v>8.8799593340950431E-2</v>
      </c>
      <c r="AD37" s="388">
        <f ca="1">1-AC37</f>
        <v>0.91120040665904956</v>
      </c>
      <c r="AE37" s="386">
        <f ca="1">expenses/(AD37)</f>
        <v>209374.3461442845</v>
      </c>
      <c r="AF37" s="387">
        <f ca="1">+AE37-Revenue</f>
        <v>31888.863058644434</v>
      </c>
      <c r="AG37" s="375">
        <f ca="1">+AF37/$J$49</f>
        <v>35832.350661688877</v>
      </c>
      <c r="AH37" s="375">
        <f ca="1">+AG37*$J$47</f>
        <v>809.81112495416869</v>
      </c>
      <c r="AI37" s="386">
        <f ca="1">ROUND(+AH37+AE37,5)</f>
        <v>210184.15727</v>
      </c>
    </row>
    <row r="38" spans="1:46" ht="15.75">
      <c r="A38" s="327"/>
      <c r="B38" s="327"/>
      <c r="C38" s="327"/>
      <c r="D38" s="327"/>
      <c r="E38" s="327"/>
      <c r="F38" s="363">
        <f t="shared" si="0"/>
        <v>32</v>
      </c>
      <c r="G38" s="359"/>
      <c r="H38" s="361" t="s">
        <v>188</v>
      </c>
      <c r="I38" s="359"/>
      <c r="J38" s="360">
        <f>+C10</f>
        <v>0.21</v>
      </c>
      <c r="K38" s="360">
        <f>+J38</f>
        <v>0.21</v>
      </c>
      <c r="L38" s="359"/>
      <c r="M38" s="359"/>
      <c r="N38" s="359"/>
      <c r="O38" s="327"/>
      <c r="P38" s="327"/>
      <c r="Q38" s="391"/>
      <c r="R38" s="357">
        <v>3</v>
      </c>
      <c r="S38" s="390">
        <f ca="1">AI33/Investment*100</f>
        <v>220.81850532777</v>
      </c>
      <c r="T38" s="313">
        <f ca="1">EXP(y_inter3-(slope*LN(S38)))</f>
        <v>7.4521292403673876</v>
      </c>
      <c r="U38" s="388">
        <f ca="1">(+S38*T38/100)/100</f>
        <v>0.16455680403672965</v>
      </c>
      <c r="V38" s="388">
        <f>regDebt_weighted</f>
        <v>3.5860000000000003E-2</v>
      </c>
      <c r="W38" s="388">
        <f ca="1">+U38-V38</f>
        <v>0.12869680403672965</v>
      </c>
      <c r="X38" s="388">
        <f ca="1">+((W38*(1-0.34))-Pfd_weighted)/Equity_percent</f>
        <v>0.22892410076814407</v>
      </c>
      <c r="Y38" s="388">
        <f ca="1">+X38*equityP</f>
        <v>0.13735446046088642</v>
      </c>
      <c r="Z38" s="388">
        <f ca="1">+Y38/(1-taxrate)</f>
        <v>0.17386640564669167</v>
      </c>
      <c r="AA38" s="388">
        <f>debtP*Debt_Rate</f>
        <v>2.0000000000000004E-2</v>
      </c>
      <c r="AB38" s="388">
        <f ca="1">+AA38+Z38</f>
        <v>0.19386640564669166</v>
      </c>
      <c r="AC38" s="388">
        <f ca="1">+AB38/(S38/100)</f>
        <v>8.7794456066500312E-2</v>
      </c>
      <c r="AD38" s="388">
        <f ca="1">1-AC38</f>
        <v>0.91220554393349973</v>
      </c>
      <c r="AE38" s="386">
        <f ca="1">expenses/(AD38)</f>
        <v>209143.6416051345</v>
      </c>
      <c r="AF38" s="387">
        <f ca="1">+AE38-Revenue</f>
        <v>31658.158519494435</v>
      </c>
      <c r="AG38" s="375">
        <f ca="1">+AF38/$J$49</f>
        <v>35573.116397649319</v>
      </c>
      <c r="AH38" s="375">
        <f ca="1">+AG38*$J$47</f>
        <v>803.9524305868747</v>
      </c>
      <c r="AI38" s="386">
        <f ca="1">ROUND(+AH38+AE38,5)</f>
        <v>209947.59404</v>
      </c>
    </row>
    <row r="39" spans="1:46" ht="15.75">
      <c r="A39" s="327"/>
      <c r="B39" s="327"/>
      <c r="C39" s="327"/>
      <c r="D39" s="327"/>
      <c r="E39" s="327"/>
      <c r="F39" s="363">
        <f t="shared" si="0"/>
        <v>33</v>
      </c>
      <c r="G39" s="359"/>
      <c r="H39" s="359"/>
      <c r="I39" s="359"/>
      <c r="J39" s="359"/>
      <c r="K39" s="359"/>
      <c r="L39" s="359"/>
      <c r="M39" s="359"/>
      <c r="N39" s="359"/>
      <c r="O39" s="327"/>
      <c r="P39" s="327"/>
      <c r="R39" s="371">
        <v>4</v>
      </c>
      <c r="S39" s="390">
        <f ca="1">AI34/Investment*100</f>
        <v>220.65943125787348</v>
      </c>
      <c r="T39" s="389">
        <f ca="1">EXP(y_inter4-(slope*LN(S39)))</f>
        <v>7.4089777764435478</v>
      </c>
      <c r="U39" s="388">
        <f ca="1">(+S39*T39/100)/100</f>
        <v>0.16348608223522576</v>
      </c>
      <c r="V39" s="388">
        <f>regDebt_weighted</f>
        <v>3.5860000000000003E-2</v>
      </c>
      <c r="W39" s="388">
        <f ca="1">+U39-V39</f>
        <v>0.12762608223522576</v>
      </c>
      <c r="X39" s="388">
        <f ca="1">+((W39*(1-0.34))-Pfd_weighted)/Equity_percent</f>
        <v>0.22686980893967731</v>
      </c>
      <c r="Y39" s="388">
        <f ca="1">+X39*equityP</f>
        <v>0.13612188536380637</v>
      </c>
      <c r="Z39" s="388">
        <f ca="1">+Y39/(1-taxrate)</f>
        <v>0.17230618400481817</v>
      </c>
      <c r="AA39" s="388">
        <f>debtP*Debt_Rate</f>
        <v>2.0000000000000004E-2</v>
      </c>
      <c r="AB39" s="388">
        <f ca="1">+AA39+Z39</f>
        <v>0.19230618400481819</v>
      </c>
      <c r="AC39" s="388">
        <f ca="1">+AB39/(S39/100)</f>
        <v>8.71506750962662E-2</v>
      </c>
      <c r="AD39" s="388">
        <f ca="1">1-AC39</f>
        <v>0.91284932490373383</v>
      </c>
      <c r="AE39" s="386">
        <f ca="1">expenses/(AD39)</f>
        <v>208996.1444302584</v>
      </c>
      <c r="AF39" s="387">
        <f ca="1">+AE39-Revenue</f>
        <v>31510.661344618333</v>
      </c>
      <c r="AG39" s="375">
        <f ca="1">+AF39/$J$49</f>
        <v>35407.37920965207</v>
      </c>
      <c r="AH39" s="375">
        <f ca="1">+AG39*$J$47</f>
        <v>800.2067701381369</v>
      </c>
      <c r="AI39" s="386">
        <f ca="1">ROUND(+AH39+AE39,5)</f>
        <v>209796.3512</v>
      </c>
    </row>
    <row r="40" spans="1:46" ht="15.75">
      <c r="A40" s="327"/>
      <c r="B40" s="327"/>
      <c r="C40" s="327"/>
      <c r="D40" s="327"/>
      <c r="E40" s="327"/>
      <c r="F40" s="363">
        <f t="shared" si="0"/>
        <v>34</v>
      </c>
      <c r="G40" s="366"/>
      <c r="H40" s="359"/>
      <c r="I40" s="359"/>
      <c r="J40" s="359"/>
      <c r="K40" s="359"/>
      <c r="L40" s="359"/>
      <c r="M40" s="359"/>
      <c r="N40" s="359"/>
      <c r="O40" s="327"/>
      <c r="P40" s="327"/>
      <c r="X40" s="314"/>
      <c r="Y40" s="315"/>
      <c r="Z40" s="313"/>
      <c r="AA40" s="314"/>
      <c r="AC40" s="314"/>
      <c r="AD40" s="314"/>
      <c r="AE40" s="313"/>
      <c r="AF40" s="316"/>
      <c r="AH40" s="313"/>
    </row>
    <row r="41" spans="1:46" ht="15.75">
      <c r="A41" s="327"/>
      <c r="B41" s="327"/>
      <c r="C41" s="327"/>
      <c r="D41" s="327"/>
      <c r="E41" s="327"/>
      <c r="F41" s="363">
        <f t="shared" si="0"/>
        <v>35</v>
      </c>
      <c r="G41" s="359"/>
      <c r="H41" s="385" t="s">
        <v>189</v>
      </c>
      <c r="I41" s="384"/>
      <c r="J41" s="359"/>
      <c r="K41" s="359"/>
      <c r="L41" s="359"/>
      <c r="M41" s="359"/>
      <c r="N41" s="359"/>
      <c r="O41" s="327"/>
      <c r="P41" s="327"/>
      <c r="R41" s="678" t="s">
        <v>190</v>
      </c>
      <c r="S41" s="679"/>
      <c r="T41" s="676"/>
      <c r="U41" s="676"/>
      <c r="V41" s="677"/>
      <c r="X41" s="383"/>
      <c r="Y41" s="315"/>
      <c r="Z41" s="313"/>
      <c r="AA41" s="314"/>
      <c r="AC41" s="314"/>
      <c r="AD41" s="314"/>
      <c r="AE41" s="313"/>
      <c r="AF41" s="316"/>
      <c r="AH41" s="313"/>
    </row>
    <row r="42" spans="1:46" ht="15.75">
      <c r="A42" s="327"/>
      <c r="B42" s="327"/>
      <c r="C42" s="327"/>
      <c r="D42" s="327"/>
      <c r="E42" s="327"/>
      <c r="F42" s="363">
        <f t="shared" si="0"/>
        <v>36</v>
      </c>
      <c r="G42" s="359"/>
      <c r="H42" s="359"/>
      <c r="I42" s="359"/>
      <c r="J42" s="382" t="s">
        <v>28</v>
      </c>
      <c r="K42" s="381" t="s">
        <v>128</v>
      </c>
      <c r="L42" s="359"/>
      <c r="M42" s="359"/>
      <c r="N42" s="359"/>
      <c r="O42" s="327"/>
      <c r="P42" s="327"/>
      <c r="R42" s="380" t="s">
        <v>191</v>
      </c>
      <c r="S42" s="379"/>
      <c r="V42" s="356"/>
      <c r="X42" s="314"/>
      <c r="Y42" s="315"/>
      <c r="Z42" s="313"/>
      <c r="AA42" s="314"/>
      <c r="AC42" s="314"/>
      <c r="AD42" s="314"/>
      <c r="AE42" s="313"/>
      <c r="AH42" s="313"/>
    </row>
    <row r="43" spans="1:46" ht="15.75">
      <c r="A43" s="327"/>
      <c r="B43" s="327"/>
      <c r="C43" s="327"/>
      <c r="D43" s="327"/>
      <c r="E43" s="327"/>
      <c r="F43" s="363">
        <f t="shared" si="0"/>
        <v>37</v>
      </c>
      <c r="G43" s="359"/>
      <c r="H43" s="361" t="s">
        <v>192</v>
      </c>
      <c r="I43" s="373"/>
      <c r="J43" s="365">
        <f>IF($A$65=TRUE,C11,0)</f>
        <v>1.7500000000000002E-2</v>
      </c>
      <c r="K43" s="372">
        <f ca="1">+J43*($J$7/$J$49)</f>
        <v>622.50944714962338</v>
      </c>
      <c r="L43" s="359"/>
      <c r="M43" s="359"/>
      <c r="N43" s="359"/>
      <c r="O43" s="327"/>
      <c r="P43" s="327"/>
      <c r="R43" s="357">
        <v>0</v>
      </c>
      <c r="S43" s="377">
        <v>1</v>
      </c>
      <c r="U43" s="378" t="s">
        <v>186</v>
      </c>
      <c r="V43" s="323">
        <f ca="1">VLOOKUP(R49,R36:AE39,12)</f>
        <v>8.7794456066500312E-2</v>
      </c>
      <c r="AA43" s="314"/>
      <c r="AC43" s="314"/>
      <c r="AH43" s="313"/>
      <c r="AL43" s="314"/>
      <c r="AM43" s="314"/>
      <c r="AN43" s="314"/>
      <c r="AO43" s="314"/>
      <c r="AP43" s="314"/>
      <c r="AQ43" s="314"/>
      <c r="AR43" s="314"/>
      <c r="AS43" s="314"/>
      <c r="AT43" s="314"/>
    </row>
    <row r="44" spans="1:46" ht="15.75">
      <c r="A44" s="327"/>
      <c r="B44" s="327"/>
      <c r="C44" s="327"/>
      <c r="D44" s="327"/>
      <c r="E44" s="327"/>
      <c r="F44" s="363">
        <f t="shared" si="0"/>
        <v>38</v>
      </c>
      <c r="G44" s="359"/>
      <c r="H44" s="361" t="s">
        <v>193</v>
      </c>
      <c r="I44" s="373"/>
      <c r="J44" s="365">
        <f>IF($A$65=TRUE,C12,0)</f>
        <v>5.1000000000000004E-3</v>
      </c>
      <c r="K44" s="372">
        <f ca="1">+J44*($J$7/$J$49)</f>
        <v>181.4170388836045</v>
      </c>
      <c r="L44" s="359"/>
      <c r="M44" s="359"/>
      <c r="N44" s="359"/>
      <c r="O44" s="327"/>
      <c r="P44" s="327"/>
      <c r="R44" s="357">
        <v>50</v>
      </c>
      <c r="S44" s="377">
        <v>2</v>
      </c>
      <c r="U44" s="378" t="s">
        <v>127</v>
      </c>
      <c r="V44" s="323">
        <f ca="1">ROUND(1-V43,5)</f>
        <v>0.91220999999999997</v>
      </c>
      <c r="Y44" s="374"/>
      <c r="Z44" s="310"/>
      <c r="AA44" s="310"/>
      <c r="AC44" s="314"/>
      <c r="AF44" s="316"/>
      <c r="AH44" s="313"/>
      <c r="AL44" s="314"/>
      <c r="AM44" s="314"/>
      <c r="AN44" s="314"/>
      <c r="AO44" s="314"/>
      <c r="AP44" s="314"/>
      <c r="AQ44" s="314"/>
      <c r="AR44" s="314"/>
      <c r="AS44" s="314"/>
      <c r="AT44" s="314"/>
    </row>
    <row r="45" spans="1:46" ht="15.75">
      <c r="A45" s="327"/>
      <c r="B45" s="327"/>
      <c r="C45" s="327"/>
      <c r="D45" s="327"/>
      <c r="E45" s="327"/>
      <c r="F45" s="363">
        <f t="shared" si="0"/>
        <v>39</v>
      </c>
      <c r="G45" s="359"/>
      <c r="H45" s="361" t="s">
        <v>194</v>
      </c>
      <c r="I45" s="373"/>
      <c r="J45" s="365">
        <f>IF($A$65=TRUE,C13,0)</f>
        <v>0</v>
      </c>
      <c r="K45" s="372">
        <f ca="1">+J45*($J$7/$J$49)</f>
        <v>0</v>
      </c>
      <c r="L45" s="359"/>
      <c r="M45" s="359"/>
      <c r="N45" s="359"/>
      <c r="O45" s="327"/>
      <c r="P45" s="327"/>
      <c r="R45" s="357">
        <v>125</v>
      </c>
      <c r="S45" s="377">
        <v>3</v>
      </c>
      <c r="U45" s="309" t="s">
        <v>195</v>
      </c>
      <c r="V45" s="376">
        <f ca="1">+M7/Revenue-1</f>
        <v>0.18289418826083903</v>
      </c>
      <c r="W45" s="375"/>
      <c r="X45" s="314"/>
      <c r="Y45" s="374"/>
      <c r="Z45" s="313"/>
      <c r="AA45" s="314"/>
      <c r="AC45" s="314"/>
      <c r="AD45" s="314"/>
      <c r="AE45" s="313"/>
      <c r="AF45" s="316"/>
      <c r="AH45" s="313"/>
      <c r="AL45" s="314"/>
      <c r="AM45" s="314"/>
      <c r="AN45" s="314"/>
      <c r="AO45" s="314"/>
      <c r="AP45" s="314"/>
      <c r="AQ45" s="314"/>
      <c r="AR45" s="314"/>
      <c r="AS45" s="314"/>
      <c r="AT45" s="314"/>
    </row>
    <row r="46" spans="1:46" ht="15.75">
      <c r="A46" s="327"/>
      <c r="B46" s="327"/>
      <c r="C46" s="327"/>
      <c r="D46" s="327"/>
      <c r="E46" s="327"/>
      <c r="F46" s="363">
        <f t="shared" si="0"/>
        <v>40</v>
      </c>
      <c r="G46" s="359"/>
      <c r="H46" s="361" t="s">
        <v>196</v>
      </c>
      <c r="I46" s="373"/>
      <c r="J46" s="365">
        <f>IF($A$65=TRUE,C14,0)</f>
        <v>0</v>
      </c>
      <c r="K46" s="372">
        <f ca="1">+J46*($J$7/$J$49)</f>
        <v>0</v>
      </c>
      <c r="L46" s="359"/>
      <c r="M46" s="359"/>
      <c r="N46" s="359"/>
      <c r="O46" s="327"/>
      <c r="P46" s="327"/>
      <c r="R46" s="371">
        <v>401</v>
      </c>
      <c r="S46" s="370">
        <v>4</v>
      </c>
      <c r="T46" s="352"/>
      <c r="U46" s="352"/>
      <c r="V46" s="369"/>
      <c r="X46" s="314"/>
      <c r="Y46" s="315"/>
      <c r="Z46" s="313"/>
      <c r="AA46" s="314"/>
      <c r="AC46" s="314"/>
      <c r="AD46" s="314"/>
      <c r="AE46" s="313"/>
      <c r="AF46" s="316"/>
      <c r="AH46" s="313"/>
      <c r="AL46" s="314"/>
      <c r="AM46" s="314"/>
      <c r="AN46" s="314"/>
      <c r="AO46" s="314"/>
      <c r="AP46" s="314"/>
      <c r="AQ46" s="314"/>
      <c r="AR46" s="314"/>
      <c r="AS46" s="314"/>
      <c r="AT46" s="314"/>
    </row>
    <row r="47" spans="1:46" ht="16.5" thickBot="1">
      <c r="A47" s="327"/>
      <c r="B47" s="327"/>
      <c r="C47" s="327"/>
      <c r="D47" s="327"/>
      <c r="E47" s="327"/>
      <c r="F47" s="363">
        <f t="shared" si="0"/>
        <v>41</v>
      </c>
      <c r="G47" s="359"/>
      <c r="H47" s="361" t="s">
        <v>197</v>
      </c>
      <c r="I47" s="366"/>
      <c r="J47" s="368">
        <f>SUM(J43:J46)</f>
        <v>2.2600000000000002E-2</v>
      </c>
      <c r="K47" s="367">
        <f ca="1">+K43+K44+K45+K46</f>
        <v>803.92648603322789</v>
      </c>
      <c r="L47" s="359"/>
      <c r="M47" s="359"/>
      <c r="N47" s="359"/>
      <c r="O47" s="327"/>
      <c r="P47" s="327"/>
      <c r="R47" s="357"/>
      <c r="S47" s="310"/>
      <c r="X47" s="314"/>
      <c r="Y47" s="315"/>
      <c r="Z47" s="313"/>
      <c r="AA47" s="314"/>
      <c r="AC47" s="314"/>
      <c r="AD47" s="314"/>
      <c r="AE47" s="313"/>
      <c r="AF47" s="316"/>
      <c r="AH47" s="313"/>
      <c r="AL47" s="314"/>
      <c r="AM47" s="314"/>
      <c r="AN47" s="314"/>
      <c r="AO47" s="314"/>
      <c r="AP47" s="314"/>
      <c r="AQ47" s="314"/>
      <c r="AR47" s="314"/>
      <c r="AS47" s="314"/>
      <c r="AT47" s="314"/>
    </row>
    <row r="48" spans="1:46" ht="16.5" thickTop="1">
      <c r="A48" s="327"/>
      <c r="B48" s="327"/>
      <c r="C48" s="327"/>
      <c r="D48" s="327"/>
      <c r="E48" s="327"/>
      <c r="F48" s="363">
        <f t="shared" si="0"/>
        <v>42</v>
      </c>
      <c r="G48" s="359"/>
      <c r="H48" s="361"/>
      <c r="I48" s="366"/>
      <c r="J48" s="365"/>
      <c r="K48" s="364"/>
      <c r="L48" s="359"/>
      <c r="M48" s="359"/>
      <c r="N48" s="359"/>
      <c r="O48" s="327"/>
      <c r="P48" s="327"/>
      <c r="R48" s="680">
        <f ca="1">VLOOKUP(R49,R36:S39,2)</f>
        <v>220.81850532777</v>
      </c>
      <c r="S48" s="681" t="s">
        <v>198</v>
      </c>
      <c r="T48" s="677"/>
      <c r="V48" s="676"/>
      <c r="X48" s="309" t="s">
        <v>199</v>
      </c>
      <c r="AC48" s="314"/>
      <c r="AF48" s="316"/>
      <c r="AH48" s="313"/>
    </row>
    <row r="49" spans="1:46" ht="15.75">
      <c r="A49" s="327"/>
      <c r="B49" s="327"/>
      <c r="C49" s="327"/>
      <c r="D49" s="327"/>
      <c r="E49" s="327"/>
      <c r="F49" s="363">
        <f t="shared" si="0"/>
        <v>43</v>
      </c>
      <c r="G49" s="362"/>
      <c r="H49" s="361" t="s">
        <v>200</v>
      </c>
      <c r="I49" s="359"/>
      <c r="J49" s="360">
        <f ca="1">((K35)-J47)</f>
        <v>0.88994616512109737</v>
      </c>
      <c r="K49" s="359"/>
      <c r="L49" s="359"/>
      <c r="M49" s="359"/>
      <c r="N49" s="359"/>
      <c r="O49" s="327"/>
      <c r="P49" s="327"/>
      <c r="R49" s="357">
        <f ca="1">VLOOKUP(S36,R43:S46,2)</f>
        <v>3</v>
      </c>
      <c r="S49" s="358" t="s">
        <v>201</v>
      </c>
      <c r="T49" s="356"/>
      <c r="X49" s="309" t="s">
        <v>202</v>
      </c>
      <c r="AA49" s="310"/>
      <c r="AC49" s="314"/>
      <c r="AH49" s="313"/>
    </row>
    <row r="50" spans="1:46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55"/>
      <c r="L50" s="327"/>
      <c r="M50" s="327"/>
      <c r="N50" s="354"/>
      <c r="O50" s="327"/>
      <c r="P50" s="327"/>
      <c r="R50" s="357"/>
      <c r="T50" s="356"/>
      <c r="X50" s="309" t="s">
        <v>203</v>
      </c>
      <c r="AA50" s="314"/>
      <c r="AC50" s="314"/>
      <c r="AD50" s="314"/>
      <c r="AE50" s="313"/>
      <c r="AH50" s="313"/>
    </row>
    <row r="51" spans="1:46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55"/>
      <c r="L51" s="327"/>
      <c r="M51" s="327"/>
      <c r="N51" s="354"/>
      <c r="O51" s="327"/>
      <c r="P51" s="327"/>
      <c r="R51" s="353">
        <f ca="1">+V44</f>
        <v>0.91220999999999997</v>
      </c>
      <c r="S51" s="352" t="s">
        <v>127</v>
      </c>
      <c r="T51" s="351"/>
      <c r="X51" s="309" t="s">
        <v>204</v>
      </c>
      <c r="AA51" s="314"/>
      <c r="AC51" s="314"/>
      <c r="AD51" s="314"/>
      <c r="AE51" s="313"/>
      <c r="AF51" s="314"/>
      <c r="AH51" s="313"/>
      <c r="AL51" s="314"/>
      <c r="AM51" s="314"/>
      <c r="AN51" s="314"/>
      <c r="AO51" s="314"/>
      <c r="AP51" s="314"/>
      <c r="AQ51" s="314"/>
      <c r="AR51" s="314"/>
      <c r="AS51" s="314"/>
      <c r="AT51" s="314"/>
    </row>
    <row r="52" spans="1:46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Z52" s="313"/>
      <c r="AA52" s="314"/>
      <c r="AC52" s="314"/>
      <c r="AD52" s="314"/>
      <c r="AE52" s="313"/>
      <c r="AF52" s="316"/>
      <c r="AH52" s="313"/>
      <c r="AL52" s="314"/>
      <c r="AM52" s="314"/>
      <c r="AN52" s="314"/>
      <c r="AO52" s="314"/>
      <c r="AP52" s="314"/>
      <c r="AQ52" s="314"/>
      <c r="AR52" s="314"/>
      <c r="AS52" s="314"/>
      <c r="AT52" s="314"/>
    </row>
    <row r="53" spans="1:46">
      <c r="A53" s="327"/>
      <c r="B53" s="327"/>
      <c r="C53" s="327"/>
      <c r="D53" s="327"/>
      <c r="E53" s="327"/>
      <c r="F53" s="327"/>
      <c r="G53" s="327"/>
      <c r="H53" s="327"/>
      <c r="I53" s="327"/>
      <c r="J53" s="330"/>
      <c r="K53" s="330"/>
      <c r="L53" s="330"/>
      <c r="M53" s="330"/>
      <c r="N53" s="327"/>
      <c r="O53" s="327"/>
      <c r="P53" s="327"/>
      <c r="R53" s="309"/>
      <c r="Z53" s="313"/>
      <c r="AA53" s="314"/>
      <c r="AC53" s="314"/>
      <c r="AD53" s="314"/>
      <c r="AE53" s="313"/>
      <c r="AF53" s="316"/>
      <c r="AH53" s="313"/>
      <c r="AL53" s="314"/>
      <c r="AM53" s="314"/>
      <c r="AN53" s="314"/>
      <c r="AO53" s="314"/>
      <c r="AP53" s="314"/>
      <c r="AQ53" s="314"/>
      <c r="AR53" s="314"/>
      <c r="AS53" s="314"/>
      <c r="AT53" s="314"/>
    </row>
    <row r="54" spans="1:46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30"/>
      <c r="L54" s="330"/>
      <c r="M54" s="330"/>
      <c r="N54" s="327"/>
      <c r="O54" s="327"/>
      <c r="P54" s="327"/>
      <c r="R54" s="309"/>
      <c r="S54" s="309" t="s">
        <v>205</v>
      </c>
      <c r="T54" s="314"/>
      <c r="U54" s="350"/>
      <c r="W54" s="349" t="s">
        <v>206</v>
      </c>
      <c r="X54" s="348"/>
      <c r="Y54" s="348"/>
      <c r="Z54" s="348"/>
      <c r="AC54" s="314"/>
      <c r="AF54" s="316"/>
      <c r="AH54" s="313"/>
      <c r="AL54" s="314"/>
      <c r="AM54" s="314"/>
      <c r="AN54" s="314"/>
      <c r="AO54" s="314"/>
      <c r="AP54" s="314"/>
      <c r="AQ54" s="314"/>
      <c r="AR54" s="314"/>
      <c r="AS54" s="314"/>
      <c r="AT54" s="314"/>
    </row>
    <row r="55" spans="1:46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39"/>
      <c r="M55" s="339"/>
      <c r="N55" s="327"/>
      <c r="O55" s="327"/>
      <c r="P55" s="327"/>
      <c r="R55" s="682"/>
      <c r="S55" s="683" t="s">
        <v>23</v>
      </c>
      <c r="T55" s="683" t="s">
        <v>207</v>
      </c>
      <c r="U55" s="684" t="s">
        <v>176</v>
      </c>
      <c r="W55" s="685" t="s">
        <v>208</v>
      </c>
      <c r="X55" s="686">
        <v>5.7225999999999999</v>
      </c>
      <c r="Y55" s="687" t="s">
        <v>209</v>
      </c>
      <c r="Z55" s="688">
        <v>5.6985000000000001</v>
      </c>
      <c r="AA55" s="310"/>
      <c r="AC55" s="314"/>
      <c r="AH55" s="313"/>
    </row>
    <row r="56" spans="1:46">
      <c r="A56" s="327"/>
      <c r="B56" s="327"/>
      <c r="C56" s="327"/>
      <c r="D56" s="327"/>
      <c r="E56" s="327"/>
      <c r="F56" s="327"/>
      <c r="G56" s="327"/>
      <c r="H56" s="327"/>
      <c r="I56" s="327"/>
      <c r="J56" s="339"/>
      <c r="K56" s="327"/>
      <c r="L56" s="339"/>
      <c r="M56" s="339"/>
      <c r="N56" s="327"/>
      <c r="O56" s="327"/>
      <c r="P56" s="327"/>
      <c r="R56" s="311" t="s">
        <v>125</v>
      </c>
      <c r="S56" s="343">
        <v>0.56200000000000006</v>
      </c>
      <c r="T56" s="343">
        <v>6.3799999999999996E-2</v>
      </c>
      <c r="U56" s="323">
        <f>ROUND(+S56*T56,5)</f>
        <v>3.5860000000000003E-2</v>
      </c>
      <c r="W56" s="347" t="s">
        <v>210</v>
      </c>
      <c r="X56" s="346">
        <v>5.7082699999999997</v>
      </c>
      <c r="Y56" s="345" t="s">
        <v>211</v>
      </c>
      <c r="Z56" s="344">
        <v>5.6921999999999997</v>
      </c>
      <c r="AA56" s="314"/>
      <c r="AC56" s="314"/>
      <c r="AD56" s="314"/>
      <c r="AE56" s="313"/>
      <c r="AH56" s="313"/>
    </row>
    <row r="57" spans="1:46">
      <c r="A57" s="327"/>
      <c r="B57" s="327"/>
      <c r="C57" s="327"/>
      <c r="D57" s="327"/>
      <c r="E57" s="330"/>
      <c r="F57" s="327"/>
      <c r="G57" s="327"/>
      <c r="H57" s="327"/>
      <c r="I57" s="327"/>
      <c r="J57" s="339"/>
      <c r="K57" s="327"/>
      <c r="L57" s="339"/>
      <c r="M57" s="339"/>
      <c r="N57" s="327"/>
      <c r="O57" s="327"/>
      <c r="P57" s="327"/>
      <c r="R57" s="311" t="s">
        <v>212</v>
      </c>
      <c r="S57" s="343">
        <v>9.4E-2</v>
      </c>
      <c r="T57" s="343">
        <v>6.59E-2</v>
      </c>
      <c r="U57" s="323">
        <f>ROUND(+S57*T57,5)</f>
        <v>6.1900000000000002E-3</v>
      </c>
      <c r="W57" s="311"/>
      <c r="Y57" s="342"/>
      <c r="Z57" s="341"/>
      <c r="AA57" s="314"/>
      <c r="AC57" s="314"/>
      <c r="AD57" s="314"/>
      <c r="AE57" s="313"/>
      <c r="AF57" s="316"/>
      <c r="AH57" s="313"/>
      <c r="AL57" s="314"/>
    </row>
    <row r="58" spans="1:46" ht="15.75">
      <c r="A58" s="327"/>
      <c r="B58" s="327"/>
      <c r="C58" s="327"/>
      <c r="D58" s="327"/>
      <c r="E58" s="330"/>
      <c r="F58" s="330"/>
      <c r="G58" s="330"/>
      <c r="H58" s="340"/>
      <c r="I58" s="330"/>
      <c r="J58" s="339"/>
      <c r="K58" s="327"/>
      <c r="L58" s="327"/>
      <c r="M58" s="327"/>
      <c r="N58" s="327"/>
      <c r="O58" s="327"/>
      <c r="P58" s="327"/>
      <c r="R58" s="311" t="s">
        <v>123</v>
      </c>
      <c r="S58" s="334">
        <v>0.34399999999999997</v>
      </c>
      <c r="T58" s="322"/>
      <c r="U58" s="338"/>
      <c r="W58" s="320"/>
      <c r="X58" s="337" t="s">
        <v>213</v>
      </c>
      <c r="Y58" s="336">
        <v>0.68367</v>
      </c>
      <c r="Z58" s="335"/>
      <c r="AA58" s="314"/>
      <c r="AC58" s="314"/>
      <c r="AD58" s="314"/>
      <c r="AE58" s="313"/>
      <c r="AF58" s="316"/>
      <c r="AH58" s="313"/>
    </row>
    <row r="59" spans="1:46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R59" s="320"/>
      <c r="S59" s="334">
        <f>SUM(S56:S58)</f>
        <v>1</v>
      </c>
      <c r="T59" s="333"/>
      <c r="U59" s="332"/>
      <c r="X59" s="314"/>
      <c r="Y59" s="315"/>
      <c r="Z59" s="313"/>
      <c r="AA59" s="314"/>
      <c r="AC59" s="314"/>
      <c r="AD59" s="314"/>
      <c r="AE59" s="313"/>
      <c r="AF59" s="316"/>
      <c r="AH59" s="313"/>
    </row>
    <row r="60" spans="1:46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X60" s="331"/>
      <c r="AC60" s="314"/>
      <c r="AF60" s="316"/>
      <c r="AH60" s="313"/>
      <c r="AL60" s="316"/>
      <c r="AM60" s="316"/>
      <c r="AN60" s="316"/>
      <c r="AO60" s="316"/>
      <c r="AP60" s="316"/>
      <c r="AQ60" s="316"/>
      <c r="AR60" s="316"/>
      <c r="AS60" s="316"/>
      <c r="AT60" s="316"/>
    </row>
    <row r="61" spans="1:46">
      <c r="A61" s="327"/>
      <c r="B61" s="327"/>
      <c r="C61" s="327"/>
      <c r="D61" s="327"/>
      <c r="E61" s="330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W61" s="682" t="s">
        <v>181</v>
      </c>
      <c r="X61" s="689"/>
      <c r="Y61" s="676" t="s">
        <v>214</v>
      </c>
      <c r="Z61" s="677" t="s">
        <v>106</v>
      </c>
      <c r="AC61" s="314"/>
      <c r="AH61" s="313"/>
      <c r="AL61" s="316"/>
      <c r="AM61" s="316"/>
      <c r="AN61" s="316"/>
      <c r="AO61" s="316"/>
      <c r="AP61" s="316"/>
      <c r="AQ61" s="316"/>
      <c r="AR61" s="316"/>
      <c r="AS61" s="316"/>
      <c r="AT61" s="316"/>
    </row>
    <row r="62" spans="1:46">
      <c r="A62" s="327"/>
      <c r="B62" s="327"/>
      <c r="C62" s="327"/>
      <c r="D62" s="327"/>
      <c r="E62" s="327"/>
      <c r="F62" s="330"/>
      <c r="G62" s="330"/>
      <c r="H62" s="330"/>
      <c r="I62" s="330"/>
      <c r="J62" s="330"/>
      <c r="K62" s="330"/>
      <c r="L62" s="330"/>
      <c r="M62" s="330"/>
      <c r="N62" s="330"/>
      <c r="O62" s="327"/>
      <c r="P62" s="327"/>
      <c r="W62" s="329"/>
      <c r="X62" s="326"/>
      <c r="Y62" s="326"/>
      <c r="Z62" s="328"/>
      <c r="AC62" s="314"/>
      <c r="AD62" s="314"/>
      <c r="AE62" s="313"/>
      <c r="AH62" s="313"/>
      <c r="AL62" s="316"/>
      <c r="AM62" s="316"/>
      <c r="AN62" s="316"/>
      <c r="AO62" s="316"/>
      <c r="AP62" s="316"/>
      <c r="AQ62" s="316"/>
      <c r="AR62" s="316"/>
      <c r="AS62" s="316"/>
      <c r="AT62" s="316"/>
    </row>
    <row r="63" spans="1:46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W63" s="311" t="s">
        <v>183</v>
      </c>
      <c r="X63" s="326"/>
      <c r="Y63" s="323">
        <f t="shared" ref="Y63:Z68" ca="1" si="1">+J33</f>
        <v>0.19311328961832469</v>
      </c>
      <c r="Z63" s="323">
        <f t="shared" ca="1" si="1"/>
        <v>0.1567594987984765</v>
      </c>
      <c r="AC63" s="314"/>
      <c r="AD63" s="314"/>
      <c r="AE63" s="313"/>
      <c r="AF63" s="316"/>
      <c r="AH63" s="313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4" spans="1:46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W64" s="311" t="s">
        <v>184</v>
      </c>
      <c r="X64" s="326"/>
      <c r="Y64" s="323">
        <f t="shared" ca="1" si="1"/>
        <v>0.28852214936387449</v>
      </c>
      <c r="Z64" s="323">
        <f t="shared" ca="1" si="1"/>
        <v>0.22793249799746085</v>
      </c>
      <c r="AC64" s="314"/>
      <c r="AD64" s="314"/>
      <c r="AE64" s="313"/>
      <c r="AF64" s="316"/>
      <c r="AH64" s="313"/>
    </row>
    <row r="65" spans="1:38">
      <c r="A65" s="309" t="b">
        <v>1</v>
      </c>
      <c r="F65" s="327"/>
      <c r="G65" s="327"/>
      <c r="H65" s="327"/>
      <c r="I65" s="327"/>
      <c r="J65" s="327"/>
      <c r="K65" s="327"/>
      <c r="L65" s="327"/>
      <c r="M65" s="327"/>
      <c r="N65" s="327"/>
      <c r="W65" s="311" t="s">
        <v>127</v>
      </c>
      <c r="X65" s="326"/>
      <c r="Y65" s="323">
        <f t="shared" ca="1" si="1"/>
        <v>0.91220999999999997</v>
      </c>
      <c r="Z65" s="323">
        <f t="shared" ca="1" si="1"/>
        <v>0.91254616512109732</v>
      </c>
      <c r="AC65" s="314"/>
      <c r="AD65" s="314"/>
      <c r="AE65" s="313"/>
      <c r="AF65" s="316"/>
      <c r="AH65" s="313"/>
    </row>
    <row r="66" spans="1:38">
      <c r="H66" s="316"/>
      <c r="I66" s="316"/>
      <c r="J66" s="316"/>
      <c r="K66" s="316"/>
      <c r="L66" s="316"/>
      <c r="M66" s="316"/>
      <c r="N66" s="316"/>
      <c r="O66" s="316"/>
      <c r="W66" s="311" t="s">
        <v>186</v>
      </c>
      <c r="X66" s="326"/>
      <c r="Y66" s="323">
        <f t="shared" ca="1" si="1"/>
        <v>8.7790000000000007E-2</v>
      </c>
      <c r="Z66" s="323">
        <f t="shared" ca="1" si="1"/>
        <v>8.7790000000000007E-2</v>
      </c>
      <c r="AC66" s="314"/>
      <c r="AF66" s="316"/>
      <c r="AH66" s="313"/>
      <c r="AL66" s="316"/>
    </row>
    <row r="67" spans="1:38">
      <c r="H67" s="316"/>
      <c r="I67" s="316"/>
      <c r="J67" s="316"/>
      <c r="K67" s="316"/>
      <c r="L67" s="316"/>
      <c r="M67" s="316"/>
      <c r="N67" s="316"/>
      <c r="O67" s="316"/>
      <c r="W67" s="311" t="s">
        <v>187</v>
      </c>
      <c r="X67" s="325"/>
      <c r="Y67" s="323">
        <f t="shared" ca="1" si="1"/>
        <v>2.2065943125787348</v>
      </c>
      <c r="Z67" s="323">
        <f t="shared" ca="1" si="1"/>
        <v>2.2065943125787348</v>
      </c>
      <c r="AC67" s="314"/>
      <c r="AH67" s="313"/>
    </row>
    <row r="68" spans="1:38">
      <c r="O68" s="316"/>
      <c r="W68" s="311" t="s">
        <v>188</v>
      </c>
      <c r="X68" s="324"/>
      <c r="Y68" s="323">
        <f t="shared" si="1"/>
        <v>0.21</v>
      </c>
      <c r="Z68" s="323">
        <f t="shared" si="1"/>
        <v>0.21</v>
      </c>
      <c r="AC68" s="314"/>
      <c r="AD68" s="314"/>
      <c r="AE68" s="313"/>
      <c r="AH68" s="313"/>
    </row>
    <row r="69" spans="1:38" ht="15.75">
      <c r="O69" s="316"/>
      <c r="W69" s="311"/>
      <c r="Y69" s="322"/>
      <c r="Z69" s="321"/>
      <c r="AC69" s="314"/>
      <c r="AD69" s="314"/>
      <c r="AE69" s="313"/>
      <c r="AF69" s="316"/>
      <c r="AH69" s="313"/>
    </row>
    <row r="70" spans="1:38">
      <c r="O70" s="316"/>
      <c r="W70" s="320"/>
      <c r="X70" s="319"/>
      <c r="Y70" s="318"/>
      <c r="Z70" s="317"/>
      <c r="AA70" s="314"/>
      <c r="AC70" s="314"/>
      <c r="AD70" s="314"/>
      <c r="AE70" s="313"/>
      <c r="AF70" s="316"/>
      <c r="AH70" s="313"/>
    </row>
    <row r="71" spans="1:38">
      <c r="X71" s="314"/>
      <c r="Y71" s="315"/>
      <c r="Z71" s="313"/>
      <c r="AA71" s="314"/>
      <c r="AC71" s="314"/>
      <c r="AD71" s="314"/>
      <c r="AE71" s="313"/>
      <c r="AF71" s="316"/>
      <c r="AH71" s="313"/>
    </row>
    <row r="72" spans="1:38">
      <c r="AC72" s="314"/>
      <c r="AF72" s="316"/>
      <c r="AH72" s="313"/>
    </row>
    <row r="73" spans="1:38">
      <c r="Y73" s="310"/>
      <c r="Z73" s="310"/>
      <c r="AA73" s="310"/>
      <c r="AC73" s="314"/>
      <c r="AH73" s="313"/>
    </row>
    <row r="74" spans="1:38">
      <c r="X74" s="314"/>
      <c r="Y74" s="315"/>
      <c r="Z74" s="313"/>
      <c r="AA74" s="314"/>
      <c r="AC74" s="314"/>
      <c r="AD74" s="314"/>
      <c r="AE74" s="313"/>
      <c r="AH74" s="313"/>
    </row>
    <row r="75" spans="1:38">
      <c r="X75" s="314"/>
      <c r="Y75" s="315"/>
      <c r="Z75" s="313"/>
      <c r="AA75" s="314"/>
      <c r="AC75" s="314"/>
      <c r="AD75" s="314"/>
      <c r="AE75" s="313"/>
      <c r="AF75" s="316"/>
      <c r="AH75" s="313"/>
    </row>
    <row r="76" spans="1:38">
      <c r="X76" s="314"/>
      <c r="Y76" s="315"/>
      <c r="Z76" s="313"/>
      <c r="AA76" s="314"/>
      <c r="AC76" s="314"/>
      <c r="AD76" s="314"/>
      <c r="AE76" s="313"/>
      <c r="AF76" s="316"/>
      <c r="AH76" s="313"/>
    </row>
    <row r="77" spans="1:38">
      <c r="X77" s="314"/>
      <c r="Y77" s="315"/>
      <c r="Z77" s="313"/>
      <c r="AA77" s="314"/>
      <c r="AC77" s="314"/>
      <c r="AD77" s="314"/>
      <c r="AE77" s="313"/>
      <c r="AF77" s="316"/>
      <c r="AH77" s="313"/>
    </row>
    <row r="78" spans="1:38">
      <c r="AC78" s="314"/>
      <c r="AF78" s="316"/>
      <c r="AH78" s="313"/>
    </row>
    <row r="80" spans="1:38">
      <c r="X80" s="314"/>
      <c r="Y80" s="315"/>
      <c r="Z80" s="313"/>
      <c r="AA80" s="314"/>
      <c r="AD80" s="314"/>
      <c r="AE80" s="313"/>
    </row>
    <row r="81" spans="24:32">
      <c r="X81" s="314"/>
      <c r="Y81" s="315"/>
      <c r="Z81" s="313"/>
      <c r="AA81" s="314"/>
      <c r="AD81" s="314"/>
      <c r="AE81" s="313"/>
      <c r="AF81" s="316"/>
    </row>
    <row r="82" spans="24:32">
      <c r="X82" s="314"/>
      <c r="Y82" s="315"/>
      <c r="Z82" s="313"/>
      <c r="AA82" s="314"/>
      <c r="AD82" s="314"/>
      <c r="AE82" s="313"/>
      <c r="AF82" s="316"/>
    </row>
    <row r="83" spans="24:32">
      <c r="X83" s="314"/>
      <c r="Y83" s="315"/>
      <c r="Z83" s="313"/>
      <c r="AA83" s="314"/>
      <c r="AD83" s="314"/>
      <c r="AE83" s="313"/>
      <c r="AF83" s="316"/>
    </row>
    <row r="84" spans="24:32">
      <c r="AF84" s="316"/>
    </row>
    <row r="86" spans="24:32">
      <c r="X86" s="314"/>
      <c r="Y86" s="315"/>
      <c r="Z86" s="313"/>
      <c r="AA86" s="314"/>
      <c r="AD86" s="314"/>
      <c r="AE86" s="313"/>
    </row>
    <row r="87" spans="24:32">
      <c r="X87" s="314"/>
      <c r="Y87" s="315"/>
      <c r="Z87" s="313"/>
      <c r="AA87" s="314"/>
      <c r="AD87" s="314"/>
      <c r="AE87" s="313"/>
      <c r="AF87" s="316"/>
    </row>
    <row r="88" spans="24:32">
      <c r="X88" s="314"/>
      <c r="Y88" s="315"/>
      <c r="Z88" s="313"/>
      <c r="AA88" s="314"/>
      <c r="AD88" s="314"/>
      <c r="AE88" s="313"/>
      <c r="AF88" s="316"/>
    </row>
    <row r="89" spans="24:32">
      <c r="X89" s="314"/>
      <c r="Y89" s="315"/>
      <c r="Z89" s="313"/>
      <c r="AA89" s="314"/>
      <c r="AD89" s="314"/>
      <c r="AE89" s="313"/>
      <c r="AF89" s="316"/>
    </row>
    <row r="90" spans="24:32">
      <c r="AF90" s="316"/>
    </row>
    <row r="92" spans="24:32">
      <c r="X92" s="314"/>
      <c r="Y92" s="315"/>
      <c r="Z92" s="313"/>
      <c r="AA92" s="314"/>
      <c r="AD92" s="314"/>
      <c r="AE92" s="313"/>
    </row>
    <row r="93" spans="24:32">
      <c r="X93" s="314"/>
      <c r="Y93" s="315"/>
      <c r="Z93" s="313"/>
      <c r="AA93" s="314"/>
      <c r="AD93" s="314"/>
      <c r="AE93" s="313"/>
      <c r="AF93" s="316"/>
    </row>
    <row r="94" spans="24:32">
      <c r="X94" s="314"/>
      <c r="Y94" s="315"/>
      <c r="Z94" s="313"/>
      <c r="AA94" s="314"/>
      <c r="AD94" s="314"/>
      <c r="AE94" s="313"/>
      <c r="AF94" s="316"/>
    </row>
    <row r="95" spans="24:32">
      <c r="X95" s="314"/>
      <c r="Y95" s="315"/>
      <c r="Z95" s="313"/>
      <c r="AA95" s="314"/>
      <c r="AD95" s="314"/>
      <c r="AE95" s="313"/>
      <c r="AF95" s="316"/>
    </row>
    <row r="96" spans="24:32">
      <c r="AF96" s="316"/>
    </row>
    <row r="98" spans="24:32">
      <c r="X98" s="314"/>
      <c r="Y98" s="315"/>
      <c r="Z98" s="313"/>
      <c r="AA98" s="314"/>
      <c r="AD98" s="314"/>
      <c r="AE98" s="313"/>
    </row>
    <row r="99" spans="24:32">
      <c r="X99" s="314"/>
      <c r="Y99" s="315"/>
      <c r="Z99" s="313"/>
      <c r="AA99" s="314"/>
      <c r="AD99" s="314"/>
      <c r="AE99" s="313"/>
      <c r="AF99" s="316"/>
    </row>
    <row r="100" spans="24:32">
      <c r="X100" s="314"/>
      <c r="Y100" s="315"/>
      <c r="Z100" s="313"/>
      <c r="AA100" s="314"/>
      <c r="AD100" s="314"/>
      <c r="AE100" s="313"/>
      <c r="AF100" s="316"/>
    </row>
    <row r="101" spans="24:32">
      <c r="X101" s="314"/>
      <c r="Y101" s="315"/>
      <c r="Z101" s="313"/>
      <c r="AA101" s="314"/>
      <c r="AD101" s="314"/>
      <c r="AE101" s="313"/>
      <c r="AF101" s="316"/>
    </row>
    <row r="102" spans="24:32">
      <c r="AF102" s="316"/>
    </row>
    <row r="104" spans="24:32">
      <c r="X104" s="314"/>
      <c r="Y104" s="315"/>
      <c r="Z104" s="313"/>
      <c r="AA104" s="314"/>
      <c r="AD104" s="314"/>
      <c r="AE104" s="313"/>
    </row>
    <row r="105" spans="24:32">
      <c r="X105" s="314"/>
      <c r="Y105" s="315"/>
      <c r="Z105" s="313"/>
      <c r="AA105" s="314"/>
      <c r="AD105" s="314"/>
      <c r="AE105" s="313"/>
      <c r="AF105" s="316"/>
    </row>
    <row r="106" spans="24:32">
      <c r="X106" s="314"/>
      <c r="Y106" s="315"/>
      <c r="Z106" s="313"/>
      <c r="AA106" s="314"/>
      <c r="AD106" s="314"/>
      <c r="AE106" s="313"/>
      <c r="AF106" s="316"/>
    </row>
    <row r="107" spans="24:32">
      <c r="X107" s="314"/>
      <c r="Y107" s="315"/>
      <c r="Z107" s="313"/>
      <c r="AA107" s="314"/>
      <c r="AD107" s="314"/>
      <c r="AE107" s="313"/>
      <c r="AF107" s="316"/>
    </row>
    <row r="108" spans="24:32">
      <c r="AF108" s="316"/>
    </row>
    <row r="110" spans="24:32">
      <c r="X110" s="314"/>
      <c r="Y110" s="315"/>
      <c r="Z110" s="313"/>
      <c r="AA110" s="314"/>
      <c r="AD110" s="314"/>
      <c r="AE110" s="313"/>
    </row>
    <row r="111" spans="24:32">
      <c r="X111" s="314"/>
      <c r="Y111" s="315"/>
      <c r="Z111" s="313"/>
      <c r="AA111" s="314"/>
      <c r="AD111" s="314"/>
      <c r="AE111" s="313"/>
    </row>
    <row r="112" spans="24:32">
      <c r="X112" s="314"/>
      <c r="Y112" s="315"/>
      <c r="Z112" s="313"/>
      <c r="AA112" s="314"/>
      <c r="AD112" s="314"/>
      <c r="AE112" s="313"/>
    </row>
    <row r="113" spans="24:31">
      <c r="X113" s="314"/>
      <c r="Y113" s="315"/>
      <c r="Z113" s="313"/>
      <c r="AA113" s="314"/>
      <c r="AD113" s="314"/>
      <c r="AE113" s="313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112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61121" r:id="rId4" name="CheckBox1"/>
      </mc:Fallback>
    </mc:AlternateContent>
  </control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">
    <tabColor theme="5" tint="0.59999389629810485"/>
  </sheetPr>
  <dimension ref="A1:AT113"/>
  <sheetViews>
    <sheetView workbookViewId="0">
      <selection activeCell="I35" sqref="I35"/>
    </sheetView>
  </sheetViews>
  <sheetFormatPr defaultColWidth="16.7109375" defaultRowHeight="15"/>
  <cols>
    <col min="1" max="1" width="4.85546875" style="309" customWidth="1"/>
    <col min="2" max="2" width="33.5703125" style="312" bestFit="1" customWidth="1"/>
    <col min="3" max="3" width="21.28515625" style="312" customWidth="1"/>
    <col min="4" max="4" width="21.28515625" style="312" hidden="1" customWidth="1"/>
    <col min="5" max="5" width="7.28515625" style="312" customWidth="1"/>
    <col min="6" max="6" width="5.7109375" style="309" customWidth="1"/>
    <col min="7" max="7" width="8.5703125" style="309" customWidth="1"/>
    <col min="8" max="8" width="15" style="309" customWidth="1"/>
    <col min="9" max="9" width="17.7109375" style="309" customWidth="1"/>
    <col min="10" max="10" width="13.28515625" style="309" customWidth="1"/>
    <col min="11" max="11" width="15.140625" style="309" bestFit="1" customWidth="1"/>
    <col min="12" max="13" width="18.42578125" style="309" customWidth="1"/>
    <col min="14" max="14" width="6.140625" style="309" customWidth="1"/>
    <col min="15" max="15" width="6.28515625" style="312" customWidth="1"/>
    <col min="16" max="16" width="40.42578125" style="312" customWidth="1"/>
    <col min="17" max="17" width="16.7109375" style="311"/>
    <col min="18" max="18" width="13.85546875" style="310" customWidth="1"/>
    <col min="19" max="19" width="16.7109375" style="309"/>
    <col min="20" max="20" width="13.42578125" style="309" customWidth="1"/>
    <col min="21" max="21" width="15.7109375" style="309" customWidth="1"/>
    <col min="22" max="22" width="16.7109375" style="309"/>
    <col min="23" max="24" width="17.7109375" style="309" customWidth="1"/>
    <col min="25" max="25" width="16" style="309" customWidth="1"/>
    <col min="26" max="26" width="16.7109375" style="309"/>
    <col min="27" max="27" width="15.85546875" style="309" customWidth="1"/>
    <col min="28" max="29" width="16.7109375" style="309"/>
    <col min="30" max="30" width="16.42578125" style="309" customWidth="1"/>
    <col min="31" max="31" width="17.28515625" style="309" customWidth="1"/>
    <col min="32" max="32" width="20.7109375" style="309" customWidth="1"/>
    <col min="33" max="33" width="18.140625" style="309" customWidth="1"/>
    <col min="34" max="34" width="16.42578125" style="309" customWidth="1"/>
    <col min="35" max="35" width="16.7109375" style="309"/>
    <col min="36" max="36" width="13.85546875" style="309" customWidth="1"/>
    <col min="37" max="37" width="16.42578125" style="309" customWidth="1"/>
    <col min="38" max="49" width="15.140625" style="309" customWidth="1"/>
    <col min="50" max="16384" width="16.7109375" style="309"/>
  </cols>
  <sheetData>
    <row r="1" spans="1:35" s="441" customFormat="1" ht="15.75" thickBot="1">
      <c r="A1" s="327"/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4"/>
      <c r="P1" s="444"/>
      <c r="Q1" s="443"/>
      <c r="R1" s="442"/>
    </row>
    <row r="2" spans="1:35" ht="19.5" thickBot="1">
      <c r="A2" s="327"/>
      <c r="B2" s="795" t="s">
        <v>86</v>
      </c>
      <c r="C2" s="795"/>
      <c r="D2" s="327"/>
      <c r="E2" s="327"/>
      <c r="F2" s="438" t="s">
        <v>87</v>
      </c>
      <c r="G2" s="439"/>
      <c r="H2" s="439"/>
      <c r="I2" s="440" t="s">
        <v>88</v>
      </c>
      <c r="J2" s="439"/>
      <c r="K2" s="439"/>
      <c r="L2" s="439"/>
      <c r="M2" s="438" t="s">
        <v>87</v>
      </c>
      <c r="O2" s="327"/>
      <c r="P2" s="327"/>
      <c r="R2" s="690" t="s">
        <v>89</v>
      </c>
      <c r="S2" s="691"/>
      <c r="T2" s="692"/>
      <c r="AF2" s="792" t="s">
        <v>90</v>
      </c>
      <c r="AG2" s="793"/>
      <c r="AH2" s="793"/>
      <c r="AI2" s="794"/>
    </row>
    <row r="3" spans="1:35" ht="15.75">
      <c r="A3" s="327"/>
      <c r="B3" s="327"/>
      <c r="C3" s="327"/>
      <c r="D3" s="327"/>
      <c r="E3" s="327"/>
      <c r="F3" s="437"/>
      <c r="G3" s="359"/>
      <c r="K3" s="436" t="s">
        <v>91</v>
      </c>
      <c r="M3" s="436" t="s">
        <v>92</v>
      </c>
      <c r="O3" s="327"/>
      <c r="P3" s="327"/>
      <c r="R3" s="309"/>
      <c r="T3" s="309" t="s">
        <v>93</v>
      </c>
      <c r="V3" s="310" t="s">
        <v>93</v>
      </c>
      <c r="W3" s="310" t="s">
        <v>93</v>
      </c>
      <c r="X3" s="310" t="s">
        <v>93</v>
      </c>
      <c r="Y3" s="310" t="s">
        <v>94</v>
      </c>
      <c r="Z3" s="310" t="s">
        <v>94</v>
      </c>
      <c r="AA3" s="310" t="s">
        <v>94</v>
      </c>
      <c r="AB3" s="310" t="s">
        <v>94</v>
      </c>
      <c r="AC3" s="310" t="s">
        <v>94</v>
      </c>
      <c r="AD3" s="310" t="s">
        <v>94</v>
      </c>
      <c r="AE3" s="310" t="s">
        <v>95</v>
      </c>
      <c r="AF3" s="310" t="s">
        <v>29</v>
      </c>
      <c r="AG3" s="310" t="s">
        <v>96</v>
      </c>
      <c r="AH3" s="310"/>
    </row>
    <row r="4" spans="1:35" ht="19.5" thickBot="1">
      <c r="A4" s="327"/>
      <c r="B4" s="435" t="s">
        <v>97</v>
      </c>
      <c r="C4" s="693"/>
      <c r="D4" s="423"/>
      <c r="E4" s="327"/>
      <c r="F4" s="362"/>
      <c r="G4" s="359"/>
      <c r="H4" s="432" t="s">
        <v>98</v>
      </c>
      <c r="I4" s="432" t="s">
        <v>99</v>
      </c>
      <c r="J4" s="432" t="s">
        <v>100</v>
      </c>
      <c r="K4" s="432" t="s">
        <v>101</v>
      </c>
      <c r="L4" s="432" t="s">
        <v>102</v>
      </c>
      <c r="M4" s="432" t="s">
        <v>103</v>
      </c>
      <c r="O4" s="434"/>
      <c r="P4" s="327"/>
      <c r="R4" s="309"/>
      <c r="T4" s="310" t="s">
        <v>104</v>
      </c>
      <c r="V4" s="310" t="s">
        <v>105</v>
      </c>
      <c r="W4" s="310" t="s">
        <v>20</v>
      </c>
      <c r="X4" s="310" t="s">
        <v>106</v>
      </c>
      <c r="Y4" s="310" t="s">
        <v>107</v>
      </c>
      <c r="Z4" s="310" t="s">
        <v>107</v>
      </c>
      <c r="AA4" s="310" t="s">
        <v>107</v>
      </c>
      <c r="AB4" s="310" t="s">
        <v>20</v>
      </c>
      <c r="AC4" s="310" t="s">
        <v>104</v>
      </c>
      <c r="AD4" s="310" t="s">
        <v>104</v>
      </c>
      <c r="AE4" s="310" t="s">
        <v>108</v>
      </c>
      <c r="AF4" s="310" t="s">
        <v>109</v>
      </c>
      <c r="AG4" s="310" t="s">
        <v>110</v>
      </c>
      <c r="AH4" s="310" t="s">
        <v>111</v>
      </c>
      <c r="AI4" s="310" t="s">
        <v>112</v>
      </c>
    </row>
    <row r="5" spans="1:35" ht="15.75">
      <c r="A5" s="327"/>
      <c r="B5" s="425" t="s">
        <v>113</v>
      </c>
      <c r="C5" s="25">
        <f>+'Results of Operations Regulated'!J21</f>
        <v>553746.46452220564</v>
      </c>
      <c r="D5" s="423"/>
      <c r="E5" s="327"/>
      <c r="F5" s="433" t="s">
        <v>114</v>
      </c>
      <c r="G5" s="361"/>
      <c r="H5" s="361"/>
      <c r="I5" s="432" t="s">
        <v>115</v>
      </c>
      <c r="J5" s="432" t="s">
        <v>29</v>
      </c>
      <c r="K5" s="431" t="s">
        <v>116</v>
      </c>
      <c r="L5" s="431" t="s">
        <v>117</v>
      </c>
      <c r="M5" s="431" t="s">
        <v>29</v>
      </c>
      <c r="O5" s="419"/>
      <c r="P5" s="327"/>
      <c r="R5" s="324"/>
      <c r="T5" s="310" t="s">
        <v>118</v>
      </c>
      <c r="U5" s="310" t="s">
        <v>119</v>
      </c>
      <c r="V5" s="310" t="s">
        <v>120</v>
      </c>
      <c r="W5" s="310" t="s">
        <v>121</v>
      </c>
      <c r="X5" s="310" t="s">
        <v>122</v>
      </c>
      <c r="Y5" s="310" t="s">
        <v>123</v>
      </c>
      <c r="Z5" s="310" t="s">
        <v>124</v>
      </c>
      <c r="AA5" s="310" t="s">
        <v>125</v>
      </c>
      <c r="AB5" s="310" t="s">
        <v>126</v>
      </c>
      <c r="AC5" s="310" t="s">
        <v>118</v>
      </c>
      <c r="AD5" s="310" t="s">
        <v>127</v>
      </c>
      <c r="AE5" s="310" t="s">
        <v>128</v>
      </c>
      <c r="AF5" s="310" t="s">
        <v>129</v>
      </c>
      <c r="AG5" s="310" t="s">
        <v>129</v>
      </c>
      <c r="AH5" s="310" t="s">
        <v>128</v>
      </c>
      <c r="AI5" s="310" t="s">
        <v>95</v>
      </c>
    </row>
    <row r="6" spans="1:35" ht="15.75">
      <c r="A6" s="327"/>
      <c r="B6" s="425" t="s">
        <v>130</v>
      </c>
      <c r="C6" s="25">
        <f>+'Results of Operations Regulated'!J102</f>
        <v>478112.40365062281</v>
      </c>
      <c r="D6" s="423"/>
      <c r="E6" s="327"/>
      <c r="F6" s="430" t="s">
        <v>131</v>
      </c>
      <c r="G6" s="361"/>
      <c r="H6" s="361"/>
      <c r="I6" s="429"/>
      <c r="J6" s="427" t="s">
        <v>2</v>
      </c>
      <c r="K6" s="428"/>
      <c r="L6" s="427" t="s">
        <v>132</v>
      </c>
      <c r="M6" s="427" t="s">
        <v>133</v>
      </c>
      <c r="O6" s="419"/>
      <c r="P6" s="327"/>
      <c r="R6" s="668">
        <v>1</v>
      </c>
      <c r="S6" s="669">
        <f>Revenue/Investment*100</f>
        <v>257.48128082664346</v>
      </c>
      <c r="T6" s="670">
        <f>EXP(y_inter1-(slope*LN(+S6)))</f>
        <v>6.8728856175594881</v>
      </c>
      <c r="U6" s="671">
        <f>(+S6*T6/100)/100</f>
        <v>0.17696393917842332</v>
      </c>
      <c r="V6" s="671">
        <f>regDebt_weighted</f>
        <v>3.5860000000000003E-2</v>
      </c>
      <c r="W6" s="671">
        <f>+U6-V6</f>
        <v>0.14110393917842332</v>
      </c>
      <c r="X6" s="671">
        <f>+((W6*(1-0.34))-Pfd_weighted)/Equity_percent</f>
        <v>0.25272848795860287</v>
      </c>
      <c r="Y6" s="671">
        <f>X6*equityP</f>
        <v>0.15163709277516171</v>
      </c>
      <c r="Z6" s="671">
        <f>+Y6/(1-taxrate)</f>
        <v>0.19194568705716672</v>
      </c>
      <c r="AA6" s="671">
        <f>debtP*Debt_Rate</f>
        <v>2.0000000000000004E-2</v>
      </c>
      <c r="AB6" s="671">
        <f>AA6+Z6</f>
        <v>0.21194568705716671</v>
      </c>
      <c r="AC6" s="671">
        <f>AB6/(S6/100)</f>
        <v>8.2314988637898351E-2</v>
      </c>
      <c r="AD6" s="671">
        <f>1-AC6</f>
        <v>0.91768501136210168</v>
      </c>
      <c r="AE6" s="672">
        <f>expenses/(AD6)</f>
        <v>520998.37932513474</v>
      </c>
      <c r="AF6" s="673">
        <f>+AE6-Revenue</f>
        <v>-32748.085197070905</v>
      </c>
      <c r="AG6" s="674">
        <f ca="1">+AF6/$J$49</f>
        <v>-36620.333111391003</v>
      </c>
      <c r="AH6" s="674">
        <f ca="1">+AG6*$J$47</f>
        <v>-827.61952831743679</v>
      </c>
      <c r="AI6" s="672">
        <f ca="1">ROUND(+AH6+AE6,5)</f>
        <v>520170.7598</v>
      </c>
    </row>
    <row r="7" spans="1:35" ht="15.75">
      <c r="A7" s="327"/>
      <c r="B7" s="425" t="s">
        <v>3</v>
      </c>
      <c r="C7" s="25">
        <f>+'Results of Operations Regulated'!J108</f>
        <v>215062.80485494056</v>
      </c>
      <c r="D7" s="423"/>
      <c r="E7" s="327"/>
      <c r="F7" s="694">
        <v>1</v>
      </c>
      <c r="G7" s="361"/>
      <c r="H7" s="403" t="s">
        <v>113</v>
      </c>
      <c r="I7" s="364">
        <f>IF(A65=TRUE,C5,0)</f>
        <v>553746.46452220564</v>
      </c>
      <c r="J7" s="364">
        <f ca="1">(+$I8/($R51))-I7</f>
        <v>-32353.206525256042</v>
      </c>
      <c r="K7" s="364">
        <f ca="1">+I7+J7</f>
        <v>521393.2579969496</v>
      </c>
      <c r="L7" s="364">
        <f ca="1">((+J7/J49*K35)-J7)</f>
        <v>-817.64003491672338</v>
      </c>
      <c r="M7" s="364">
        <f ca="1">IFERROR(+K7+L7,0.00001)</f>
        <v>520575.61796203291</v>
      </c>
      <c r="O7" s="419"/>
      <c r="P7" s="327"/>
      <c r="R7" s="393">
        <v>2</v>
      </c>
      <c r="S7" s="390">
        <f>Revenue/Investment*100</f>
        <v>257.48128082664346</v>
      </c>
      <c r="T7" s="313">
        <f>EXP(y_inter1-(slope*LN(+S7)))</f>
        <v>6.8728856175594881</v>
      </c>
      <c r="U7" s="388">
        <f>(+S7*T7/100)/100</f>
        <v>0.17696393917842332</v>
      </c>
      <c r="V7" s="388">
        <f>regDebt_weighted</f>
        <v>3.5860000000000003E-2</v>
      </c>
      <c r="W7" s="388">
        <f>+U7-V7</f>
        <v>0.14110393917842332</v>
      </c>
      <c r="X7" s="388">
        <f>+((W7*(1-0.34))-Pfd_weighted)/Equity_percent</f>
        <v>0.25272848795860287</v>
      </c>
      <c r="Y7" s="388">
        <f>X7*equityP</f>
        <v>0.15163709277516171</v>
      </c>
      <c r="Z7" s="388">
        <f>+Y7/(1-taxrate)</f>
        <v>0.19194568705716672</v>
      </c>
      <c r="AA7" s="388">
        <f>debtP*Debt_Rate</f>
        <v>2.0000000000000004E-2</v>
      </c>
      <c r="AB7" s="388">
        <f>AA7+Z7</f>
        <v>0.21194568705716671</v>
      </c>
      <c r="AC7" s="388">
        <f>AB7/(S7/100)</f>
        <v>8.2314988637898351E-2</v>
      </c>
      <c r="AD7" s="388">
        <f>1-AC7</f>
        <v>0.91768501136210168</v>
      </c>
      <c r="AE7" s="386">
        <f>expenses/(AD7)</f>
        <v>520998.37932513474</v>
      </c>
      <c r="AF7" s="387">
        <f>+AE7-Revenue</f>
        <v>-32748.085197070905</v>
      </c>
      <c r="AG7" s="375">
        <f ca="1">+AF7/$J$49</f>
        <v>-36620.333111391003</v>
      </c>
      <c r="AH7" s="375">
        <f ca="1">+AG7*$J$47</f>
        <v>-827.61952831743679</v>
      </c>
      <c r="AI7" s="386">
        <f ca="1">ROUND(+AH7+AE7,5)</f>
        <v>520170.7598</v>
      </c>
    </row>
    <row r="8" spans="1:35" ht="15.75">
      <c r="A8" s="327"/>
      <c r="B8" s="425" t="s">
        <v>134</v>
      </c>
      <c r="C8" s="695">
        <v>0.4</v>
      </c>
      <c r="D8" s="423"/>
      <c r="E8" s="327"/>
      <c r="F8" s="363">
        <f t="shared" ref="F8:F49" si="0">+F7+1</f>
        <v>2</v>
      </c>
      <c r="G8" s="361"/>
      <c r="H8" s="403" t="s">
        <v>130</v>
      </c>
      <c r="I8" s="364">
        <f>IF(A65=TRUE,C6,0)</f>
        <v>478112.40365062281</v>
      </c>
      <c r="J8" s="359"/>
      <c r="K8" s="364">
        <f>+I8</f>
        <v>478112.40365062281</v>
      </c>
      <c r="L8" s="364">
        <f ca="1">+L7</f>
        <v>-817.64003491672338</v>
      </c>
      <c r="M8" s="364">
        <f ca="1">IFERROR(+K8+L8,0.00001)</f>
        <v>477294.76361570612</v>
      </c>
      <c r="O8" s="419"/>
      <c r="P8" s="327"/>
      <c r="R8" s="357">
        <v>3</v>
      </c>
      <c r="S8" s="390">
        <f>Revenue/Investment*100</f>
        <v>257.48128082664346</v>
      </c>
      <c r="T8" s="313">
        <f>EXP(y_inter1-(slope*LN(+S8)))</f>
        <v>6.8728856175594881</v>
      </c>
      <c r="U8" s="388">
        <f>(+S8*T8/100)/100</f>
        <v>0.17696393917842332</v>
      </c>
      <c r="V8" s="388">
        <f>regDebt_weighted</f>
        <v>3.5860000000000003E-2</v>
      </c>
      <c r="W8" s="388">
        <f>+U8-V8</f>
        <v>0.14110393917842332</v>
      </c>
      <c r="X8" s="388">
        <f>+((W8*(1-0.34))-Pfd_weighted)/Equity_percent</f>
        <v>0.25272848795860287</v>
      </c>
      <c r="Y8" s="388">
        <f>X8*equityP</f>
        <v>0.15163709277516171</v>
      </c>
      <c r="Z8" s="388">
        <f>+Y8/(1-taxrate)</f>
        <v>0.19194568705716672</v>
      </c>
      <c r="AA8" s="388">
        <f>debtP*Debt_Rate</f>
        <v>2.0000000000000004E-2</v>
      </c>
      <c r="AB8" s="388">
        <f>AA8+Z8</f>
        <v>0.21194568705716671</v>
      </c>
      <c r="AC8" s="388">
        <f>AB8/(S8/100)</f>
        <v>8.2314988637898351E-2</v>
      </c>
      <c r="AD8" s="388">
        <f>1-AC8</f>
        <v>0.91768501136210168</v>
      </c>
      <c r="AE8" s="386">
        <f>expenses/(AD8)</f>
        <v>520998.37932513474</v>
      </c>
      <c r="AF8" s="387">
        <f>+AE8-Revenue</f>
        <v>-32748.085197070905</v>
      </c>
      <c r="AG8" s="375">
        <f ca="1">+AF8/$J$49</f>
        <v>-36620.333111391003</v>
      </c>
      <c r="AH8" s="375">
        <f ca="1">+AG8*$J$47</f>
        <v>-827.61952831743679</v>
      </c>
      <c r="AI8" s="386">
        <f ca="1">ROUND(+AH8+AE8,5)</f>
        <v>520170.7598</v>
      </c>
    </row>
    <row r="9" spans="1:35" ht="15.75">
      <c r="A9" s="327"/>
      <c r="B9" s="425" t="s">
        <v>135</v>
      </c>
      <c r="C9" s="695">
        <v>0.05</v>
      </c>
      <c r="D9" s="423"/>
      <c r="E9" s="327"/>
      <c r="F9" s="363">
        <f t="shared" si="0"/>
        <v>3</v>
      </c>
      <c r="G9" s="361"/>
      <c r="H9" s="403" t="s">
        <v>136</v>
      </c>
      <c r="I9" s="696">
        <f>+I7-I8</f>
        <v>75634.060871582828</v>
      </c>
      <c r="J9" s="359"/>
      <c r="K9" s="696">
        <f ca="1">+K7-K8</f>
        <v>43280.854346326785</v>
      </c>
      <c r="L9" s="361"/>
      <c r="M9" s="697">
        <f ca="1">+M7-M8</f>
        <v>43280.854346326785</v>
      </c>
      <c r="O9" s="419"/>
      <c r="P9" s="327"/>
      <c r="R9" s="371">
        <v>4</v>
      </c>
      <c r="S9" s="390">
        <f>Revenue/Investment*100</f>
        <v>257.48128082664346</v>
      </c>
      <c r="T9" s="313">
        <f>EXP(y_inter1-(slope*LN(+S9)))</f>
        <v>6.8728856175594881</v>
      </c>
      <c r="U9" s="388">
        <f>(+S9*T9/100)/100</f>
        <v>0.17696393917842332</v>
      </c>
      <c r="V9" s="388">
        <f>regDebt_weighted</f>
        <v>3.5860000000000003E-2</v>
      </c>
      <c r="W9" s="388">
        <f>+U9-V9</f>
        <v>0.14110393917842332</v>
      </c>
      <c r="X9" s="388">
        <f>+((W9*(1-0.34))-Pfd_weighted)/Equity_percent</f>
        <v>0.25272848795860287</v>
      </c>
      <c r="Y9" s="388">
        <f>X9*equityP</f>
        <v>0.15163709277516171</v>
      </c>
      <c r="Z9" s="388">
        <f>+Y9/(1-taxrate)</f>
        <v>0.19194568705716672</v>
      </c>
      <c r="AA9" s="388">
        <f>debtP*Debt_Rate</f>
        <v>2.0000000000000004E-2</v>
      </c>
      <c r="AB9" s="388">
        <f>AA9+Z9</f>
        <v>0.21194568705716671</v>
      </c>
      <c r="AC9" s="388">
        <f>AB9/(S9/100)</f>
        <v>8.2314988637898351E-2</v>
      </c>
      <c r="AD9" s="388">
        <f>1-AC9</f>
        <v>0.91768501136210168</v>
      </c>
      <c r="AE9" s="386">
        <f>expenses/(AD9)</f>
        <v>520998.37932513474</v>
      </c>
      <c r="AF9" s="387">
        <f>+AE9-Revenue</f>
        <v>-32748.085197070905</v>
      </c>
      <c r="AG9" s="375">
        <f ca="1">+AF9/$J$49</f>
        <v>-36620.333111391003</v>
      </c>
      <c r="AH9" s="375">
        <f ca="1">+AG9*$J$47</f>
        <v>-827.61952831743679</v>
      </c>
      <c r="AI9" s="386">
        <f ca="1">ROUND(+AH9+AE9,5)</f>
        <v>520170.7598</v>
      </c>
    </row>
    <row r="10" spans="1:35" ht="15.75">
      <c r="A10" s="327"/>
      <c r="B10" s="426" t="s">
        <v>137</v>
      </c>
      <c r="C10" s="695">
        <v>0.21</v>
      </c>
      <c r="D10" s="423"/>
      <c r="E10" s="327"/>
      <c r="F10" s="363">
        <f t="shared" si="0"/>
        <v>4</v>
      </c>
      <c r="G10" s="361"/>
      <c r="H10" s="361"/>
      <c r="I10" s="359"/>
      <c r="J10" s="359"/>
      <c r="K10" s="364"/>
      <c r="L10" s="361"/>
      <c r="M10" s="361"/>
      <c r="N10" s="361"/>
      <c r="O10" s="419"/>
      <c r="P10" s="327"/>
      <c r="R10" s="310" t="s">
        <v>138</v>
      </c>
    </row>
    <row r="11" spans="1:35" ht="15.75">
      <c r="A11" s="327"/>
      <c r="B11" s="425" t="s">
        <v>139</v>
      </c>
      <c r="C11" s="698">
        <v>1.7500000000000002E-2</v>
      </c>
      <c r="D11" s="423"/>
      <c r="E11" s="327"/>
      <c r="F11" s="363">
        <f t="shared" si="0"/>
        <v>5</v>
      </c>
      <c r="G11" s="361"/>
      <c r="H11" s="403" t="s">
        <v>140</v>
      </c>
      <c r="I11" s="364">
        <f>+K11</f>
        <v>4301.2560970988116</v>
      </c>
      <c r="J11" s="359"/>
      <c r="K11" s="364">
        <f>+M27</f>
        <v>4301.2560970988116</v>
      </c>
      <c r="L11" s="361"/>
      <c r="M11" s="364">
        <f>+K11</f>
        <v>4301.2560970988116</v>
      </c>
      <c r="O11" s="419"/>
      <c r="P11" s="327"/>
      <c r="R11" s="668">
        <v>1</v>
      </c>
      <c r="S11" s="669">
        <f ca="1">IF((AI6/Investment*100)&gt;0,(AI6/Investment*100),0)</f>
        <v>241.86923450145375</v>
      </c>
      <c r="T11" s="670">
        <f ca="1">EXP(y_inter1-(slope*LN(S11)))</f>
        <v>7.1731685014885862</v>
      </c>
      <c r="U11" s="671">
        <f ca="1">(+S11*T11/100)/100</f>
        <v>0.17349687744049846</v>
      </c>
      <c r="V11" s="671">
        <f>regDebt_weighted</f>
        <v>3.5860000000000003E-2</v>
      </c>
      <c r="W11" s="671">
        <f ca="1">+U11-V11</f>
        <v>0.13763687744049846</v>
      </c>
      <c r="X11" s="671">
        <f ca="1">+((W11*(1-0.34))-Pfd_weighted)/Equity_percent</f>
        <v>0.24607656718235169</v>
      </c>
      <c r="Y11" s="671">
        <f ca="1">+X11*equityP</f>
        <v>0.147645940309411</v>
      </c>
      <c r="Z11" s="671">
        <f ca="1">+Y11/(1-taxrate)</f>
        <v>0.18689359532836836</v>
      </c>
      <c r="AA11" s="671">
        <f>debtP*Debt_Rate</f>
        <v>2.0000000000000004E-2</v>
      </c>
      <c r="AB11" s="671">
        <f ca="1">+AA11+Z11</f>
        <v>0.20689359532836837</v>
      </c>
      <c r="AC11" s="671">
        <f ca="1">+AB11/(S11/100)</f>
        <v>8.5539442730210011E-2</v>
      </c>
      <c r="AD11" s="671">
        <f ca="1">1-AC11</f>
        <v>0.91446055726979003</v>
      </c>
      <c r="AE11" s="672">
        <f ca="1">expenses/(AD11)</f>
        <v>522835.45730837574</v>
      </c>
      <c r="AF11" s="673">
        <f ca="1">+AE11-Revenue</f>
        <v>-30911.0072138299</v>
      </c>
      <c r="AG11" s="674">
        <f ca="1">+AF11/$J$49</f>
        <v>-34566.032614337659</v>
      </c>
      <c r="AH11" s="674">
        <f ca="1">+AG11*$J$47</f>
        <v>-781.19233708403112</v>
      </c>
      <c r="AI11" s="672">
        <f ca="1">ROUND(+AH11+AE11,5)</f>
        <v>522054.26497000002</v>
      </c>
    </row>
    <row r="12" spans="1:35" ht="15.75">
      <c r="A12" s="327"/>
      <c r="B12" s="425" t="s">
        <v>141</v>
      </c>
      <c r="C12" s="698">
        <v>5.1000000000000004E-3</v>
      </c>
      <c r="D12" s="423"/>
      <c r="E12" s="327"/>
      <c r="F12" s="363">
        <f t="shared" si="0"/>
        <v>6</v>
      </c>
      <c r="G12" s="361"/>
      <c r="H12" s="403" t="s">
        <v>142</v>
      </c>
      <c r="I12" s="364" t="e">
        <f ca="1">IF(I14&lt;0,0,+J38*I14)</f>
        <v>#REF!</v>
      </c>
      <c r="J12" s="364" t="e">
        <f ca="1">+K12-I12</f>
        <v>#REF!</v>
      </c>
      <c r="K12" s="364">
        <f ca="1">+(K9-K11)*taxrate</f>
        <v>8185.715632337874</v>
      </c>
      <c r="L12" s="361"/>
      <c r="M12" s="364">
        <f ca="1">+K12</f>
        <v>8185.715632337874</v>
      </c>
      <c r="O12" s="419"/>
      <c r="P12" s="327"/>
      <c r="R12" s="393">
        <v>2</v>
      </c>
      <c r="S12" s="390">
        <f ca="1">IF((AI7/Investment*100)&gt;0,(AI7/Investment*100),0)</f>
        <v>241.86923450145375</v>
      </c>
      <c r="T12" s="392">
        <f ca="1">EXP(y_inter2-(slope*LN(+S12)))</f>
        <v>7.0711099925397738</v>
      </c>
      <c r="U12" s="388">
        <f ca="1">(+S12*T12/100)/100</f>
        <v>0.17102839609711754</v>
      </c>
      <c r="V12" s="388">
        <f>regDebt_weighted</f>
        <v>3.5860000000000003E-2</v>
      </c>
      <c r="W12" s="388">
        <f ca="1">+U12-V12</f>
        <v>0.13516839609711753</v>
      </c>
      <c r="X12" s="388">
        <f ca="1">+((W12*(1-0.34))-Pfd_weighted)/Equity_percent</f>
        <v>0.24134052739563244</v>
      </c>
      <c r="Y12" s="388">
        <f ca="1">+X12*equityP</f>
        <v>0.14480431643737945</v>
      </c>
      <c r="Z12" s="388">
        <f ca="1">+Y12/(1-taxrate)</f>
        <v>0.18329660308529044</v>
      </c>
      <c r="AA12" s="388">
        <f>debtP*Debt_Rate</f>
        <v>2.0000000000000004E-2</v>
      </c>
      <c r="AB12" s="388">
        <f ca="1">+AA12+Z12</f>
        <v>0.20329660308529046</v>
      </c>
      <c r="AC12" s="388">
        <f ca="1">+AB12/(S12/100)</f>
        <v>8.4052278705197853E-2</v>
      </c>
      <c r="AD12" s="388">
        <f ca="1">1-AC12</f>
        <v>0.91594772129480218</v>
      </c>
      <c r="AE12" s="386">
        <f ca="1">expenses/(AD12)</f>
        <v>521986.56379072974</v>
      </c>
      <c r="AF12" s="387">
        <f ca="1">+AE12-Revenue</f>
        <v>-31759.900731475907</v>
      </c>
      <c r="AG12" s="375">
        <f ca="1">+AF12/$J$49</f>
        <v>-35515.302264921011</v>
      </c>
      <c r="AH12" s="375">
        <f ca="1">+AG12*$J$47</f>
        <v>-802.64583118721487</v>
      </c>
      <c r="AI12" s="386">
        <f ca="1">ROUND(+AH12+AE12,5)</f>
        <v>521183.91795999999</v>
      </c>
    </row>
    <row r="13" spans="1:35" ht="15.75">
      <c r="A13" s="327"/>
      <c r="B13" s="425" t="s">
        <v>143</v>
      </c>
      <c r="C13" s="698">
        <v>0</v>
      </c>
      <c r="D13" s="423"/>
      <c r="E13" s="327"/>
      <c r="F13" s="363">
        <f t="shared" si="0"/>
        <v>7</v>
      </c>
      <c r="G13" s="361"/>
      <c r="H13" s="361"/>
      <c r="I13" s="359"/>
      <c r="J13" s="359"/>
      <c r="K13" s="364"/>
      <c r="L13" s="361"/>
      <c r="M13" s="361"/>
      <c r="O13" s="419"/>
      <c r="P13" s="327"/>
      <c r="R13" s="357">
        <v>3</v>
      </c>
      <c r="S13" s="390">
        <f ca="1">IF((AI8/Investment*100)&gt;0,(AI8/Investment*100),0)</f>
        <v>241.86923450145375</v>
      </c>
      <c r="T13" s="313">
        <f ca="1">EXP(y_inter3-(slope*LN(S13)))</f>
        <v>7.002361630512838</v>
      </c>
      <c r="U13" s="388">
        <f ca="1">(+S13*T13/100)/100</f>
        <v>0.16936558472744917</v>
      </c>
      <c r="V13" s="388">
        <f>regDebt_weighted</f>
        <v>3.5860000000000003E-2</v>
      </c>
      <c r="W13" s="388">
        <f ca="1">+U13-V13</f>
        <v>0.13350558472744917</v>
      </c>
      <c r="X13" s="388">
        <f ca="1">+((W13*(1-0.34))-Pfd_weighted)/Equity_percent</f>
        <v>0.23815024976778035</v>
      </c>
      <c r="Y13" s="388">
        <f ca="1">+X13*equityP</f>
        <v>0.1428901498606682</v>
      </c>
      <c r="Z13" s="388">
        <f ca="1">+Y13/(1-taxrate)</f>
        <v>0.18087360741856734</v>
      </c>
      <c r="AA13" s="388">
        <f>debtP*Debt_Rate</f>
        <v>2.0000000000000004E-2</v>
      </c>
      <c r="AB13" s="388">
        <f ca="1">+AA13+Z13</f>
        <v>0.20087360741856736</v>
      </c>
      <c r="AC13" s="388">
        <f ca="1">+AB13/(S13/100)</f>
        <v>8.3050499511693798E-2</v>
      </c>
      <c r="AD13" s="388">
        <f ca="1">1-AC13</f>
        <v>0.91694950048830615</v>
      </c>
      <c r="AE13" s="386">
        <f ca="1">expenses/(AD13)</f>
        <v>521416.28671591188</v>
      </c>
      <c r="AF13" s="387">
        <f ca="1">+AE13-Revenue</f>
        <v>-32330.177806293766</v>
      </c>
      <c r="AG13" s="375">
        <f ca="1">+AF13/$J$49</f>
        <v>-36153.010891851278</v>
      </c>
      <c r="AH13" s="375">
        <f ca="1">+AG13*$J$47</f>
        <v>-817.05804615583895</v>
      </c>
      <c r="AI13" s="386">
        <f ca="1">ROUND(+AH13+AE13,5)</f>
        <v>520599.22866999998</v>
      </c>
    </row>
    <row r="14" spans="1:35" ht="16.5" thickBot="1">
      <c r="A14" s="327"/>
      <c r="B14" s="424" t="s">
        <v>145</v>
      </c>
      <c r="C14" s="698">
        <v>0</v>
      </c>
      <c r="D14" s="423"/>
      <c r="E14" s="327"/>
      <c r="F14" s="363">
        <f t="shared" si="0"/>
        <v>8</v>
      </c>
      <c r="G14" s="361"/>
      <c r="H14" s="361" t="s">
        <v>146</v>
      </c>
      <c r="I14" s="699" t="e">
        <f ca="1">+I9-SUM(I11:I13)</f>
        <v>#REF!</v>
      </c>
      <c r="J14" s="359"/>
      <c r="K14" s="699">
        <f ca="1">+K9-SUM(K11:K13)</f>
        <v>30793.8826168901</v>
      </c>
      <c r="L14" s="361"/>
      <c r="M14" s="699">
        <f ca="1">+M9-SUM(M11:M13)</f>
        <v>30793.8826168901</v>
      </c>
      <c r="O14" s="419"/>
      <c r="P14" s="327"/>
      <c r="R14" s="371">
        <v>4</v>
      </c>
      <c r="S14" s="390">
        <f ca="1">IF((AI9/Investment*100)&gt;0,(AI9/Investment*100),0)</f>
        <v>241.86923450145375</v>
      </c>
      <c r="T14" s="389">
        <f ca="1">EXP(y_inter4-(slope*LN(S14)))</f>
        <v>6.9583854227462805</v>
      </c>
      <c r="U14" s="388">
        <f ca="1">(+S14*T14/100)/100</f>
        <v>0.16830193555657175</v>
      </c>
      <c r="V14" s="388">
        <f>regDebt_weighted</f>
        <v>3.5860000000000003E-2</v>
      </c>
      <c r="W14" s="388">
        <f ca="1">+U14-V14</f>
        <v>0.13244193555657174</v>
      </c>
      <c r="X14" s="388">
        <f ca="1">+((W14*(1-0.34))-Pfd_weighted)/Equity_percent</f>
        <v>0.23610952752132949</v>
      </c>
      <c r="Y14" s="388">
        <f ca="1">+X14*equityP</f>
        <v>0.14166571651279769</v>
      </c>
      <c r="Z14" s="388">
        <f ca="1">+Y14/(1-taxrate)</f>
        <v>0.1793236917883515</v>
      </c>
      <c r="AA14" s="388">
        <f>debtP*Debt_Rate</f>
        <v>2.0000000000000004E-2</v>
      </c>
      <c r="AB14" s="388">
        <f ca="1">+AA14+Z14</f>
        <v>0.19932369178835152</v>
      </c>
      <c r="AC14" s="388">
        <f ca="1">+AB14/(S14/100)</f>
        <v>8.2409692245151378E-2</v>
      </c>
      <c r="AD14" s="388">
        <f ca="1">1-AC14</f>
        <v>0.91759030775484862</v>
      </c>
      <c r="AE14" s="386">
        <f ca="1">expenses/(AD14)</f>
        <v>521052.15106343461</v>
      </c>
      <c r="AF14" s="387">
        <f ca="1">+AE14-Revenue</f>
        <v>-32694.313458771037</v>
      </c>
      <c r="AG14" s="375">
        <f ca="1">+AF14/$J$49</f>
        <v>-36560.20321504226</v>
      </c>
      <c r="AH14" s="375">
        <f ca="1">+AG14*$J$47</f>
        <v>-826.26059265995514</v>
      </c>
      <c r="AI14" s="386">
        <f ca="1">ROUND(+AH14+AE14,5)</f>
        <v>520225.89046999998</v>
      </c>
    </row>
    <row r="15" spans="1:35" ht="16.5" thickTop="1">
      <c r="A15" s="327"/>
      <c r="B15" s="797"/>
      <c r="C15" s="797"/>
      <c r="D15" s="327"/>
      <c r="E15" s="327"/>
      <c r="F15" s="363">
        <f t="shared" si="0"/>
        <v>9</v>
      </c>
      <c r="G15" s="359"/>
      <c r="H15" s="359"/>
      <c r="I15" s="359"/>
      <c r="J15" s="359"/>
      <c r="K15" s="422"/>
      <c r="L15" s="359"/>
      <c r="M15" s="359"/>
      <c r="O15" s="419"/>
      <c r="P15" s="327"/>
      <c r="R15" s="310" t="s">
        <v>147</v>
      </c>
    </row>
    <row r="16" spans="1:35" ht="15.75">
      <c r="A16" s="327"/>
      <c r="B16" s="700" t="s">
        <v>148</v>
      </c>
      <c r="C16" s="797"/>
      <c r="D16" s="797"/>
      <c r="E16" s="327"/>
      <c r="F16" s="363">
        <f t="shared" si="0"/>
        <v>10</v>
      </c>
      <c r="G16" s="359"/>
      <c r="H16" s="403" t="s">
        <v>149</v>
      </c>
      <c r="I16" s="405">
        <f>+I8/I7</f>
        <v>0.86341391644487897</v>
      </c>
      <c r="J16" s="421"/>
      <c r="K16" s="405">
        <f ca="1">+K8/K7</f>
        <v>0.91698999999999997</v>
      </c>
      <c r="L16" s="420"/>
      <c r="M16" s="405">
        <f ca="1">+M8/M7</f>
        <v>0.91685962067189364</v>
      </c>
      <c r="O16" s="419"/>
      <c r="P16" s="327"/>
      <c r="R16" s="701">
        <v>1</v>
      </c>
      <c r="S16" s="702">
        <f ca="1">AI11/Investment*100</f>
        <v>242.74502758490692</v>
      </c>
      <c r="T16" s="703">
        <f ca="1">EXP(y_inter1-(slope*LN(+S16)))</f>
        <v>7.1554650937475222</v>
      </c>
      <c r="U16" s="704">
        <f ca="1">(+S16*T16/100)/100</f>
        <v>0.17369535715645809</v>
      </c>
      <c r="V16" s="704">
        <f>regDebt_weighted</f>
        <v>3.5860000000000003E-2</v>
      </c>
      <c r="W16" s="704">
        <f ca="1">+U16-V16</f>
        <v>0.13783535715645809</v>
      </c>
      <c r="X16" s="704">
        <f ca="1">+((W16*(1-0.34))-Pfd_weighted)/Equity_percent</f>
        <v>0.2464573712885533</v>
      </c>
      <c r="Y16" s="704">
        <f ca="1">+X16*equityP</f>
        <v>0.14787442277313198</v>
      </c>
      <c r="Z16" s="704">
        <f ca="1">+Y16/(1-taxrate)</f>
        <v>0.18718281363687592</v>
      </c>
      <c r="AA16" s="704">
        <f>debtP*Debt_Rate</f>
        <v>2.0000000000000004E-2</v>
      </c>
      <c r="AB16" s="704">
        <f ca="1">+AA16+Z16</f>
        <v>0.20718281363687591</v>
      </c>
      <c r="AC16" s="704">
        <f ca="1">+AB16/(S16/100)</f>
        <v>8.5349972231422072E-2</v>
      </c>
      <c r="AD16" s="704">
        <f ca="1">1-AC16</f>
        <v>0.91465002776857796</v>
      </c>
      <c r="AE16" s="705">
        <f ca="1">expenses/(AD16)</f>
        <v>522727.15151722863</v>
      </c>
      <c r="AF16" s="706">
        <f ca="1">+AE16-Revenue</f>
        <v>-31019.313004977012</v>
      </c>
      <c r="AG16" s="707">
        <f ca="1">+AF16/$J$49</f>
        <v>-34687.144860315777</v>
      </c>
      <c r="AH16" s="707">
        <f ca="1">+AG16*$J$47</f>
        <v>-783.92947384313663</v>
      </c>
      <c r="AI16" s="705">
        <f ca="1">ROUND(+AH16+AE16,5)</f>
        <v>521943.22204000002</v>
      </c>
    </row>
    <row r="17" spans="1:35" ht="15.75">
      <c r="A17" s="327"/>
      <c r="B17" s="812"/>
      <c r="C17" s="797"/>
      <c r="D17" s="327" t="s">
        <v>150</v>
      </c>
      <c r="E17" s="327"/>
      <c r="F17" s="363">
        <f t="shared" si="0"/>
        <v>11</v>
      </c>
      <c r="G17" s="359"/>
      <c r="H17" s="359"/>
      <c r="I17" s="359"/>
      <c r="K17" s="359"/>
      <c r="L17" s="403"/>
      <c r="M17" s="403"/>
      <c r="N17" s="405"/>
      <c r="O17" s="327"/>
      <c r="P17" s="327"/>
      <c r="R17" s="393">
        <v>2</v>
      </c>
      <c r="S17" s="390">
        <f ca="1">AI12/Investment*100</f>
        <v>242.34033323964948</v>
      </c>
      <c r="T17" s="392">
        <f ca="1">EXP(y_inter2-(slope*LN(+S17)))</f>
        <v>7.0617094270280161</v>
      </c>
      <c r="U17" s="388">
        <f ca="1">(+S17*T17/100)/100</f>
        <v>0.17113370157875438</v>
      </c>
      <c r="V17" s="388">
        <f>regDebt_weighted</f>
        <v>3.5860000000000003E-2</v>
      </c>
      <c r="W17" s="388">
        <f ca="1">+U17-V17</f>
        <v>0.13527370157875437</v>
      </c>
      <c r="X17" s="388">
        <f ca="1">+((W17*(1-0.34))-Pfd_weighted)/Equity_percent</f>
        <v>0.24154256698249382</v>
      </c>
      <c r="Y17" s="388">
        <f ca="1">+X17*equityP</f>
        <v>0.1449255401894963</v>
      </c>
      <c r="Z17" s="388">
        <f ca="1">+Y17/(1-taxrate)</f>
        <v>0.18345005087278013</v>
      </c>
      <c r="AA17" s="388">
        <f>debtP*Debt_Rate</f>
        <v>2.0000000000000004E-2</v>
      </c>
      <c r="AB17" s="388">
        <f ca="1">+AA17+Z17</f>
        <v>0.20345005087278012</v>
      </c>
      <c r="AC17" s="388">
        <f ca="1">+AB17/(S17/100)</f>
        <v>8.3952203974065304E-2</v>
      </c>
      <c r="AD17" s="388">
        <f ca="1">1-AC17</f>
        <v>0.91604779602593467</v>
      </c>
      <c r="AE17" s="386">
        <f ca="1">expenses/(AD17)</f>
        <v>521929.53874765587</v>
      </c>
      <c r="AF17" s="387">
        <f ca="1">+AE17-Revenue</f>
        <v>-31816.925774549774</v>
      </c>
      <c r="AG17" s="375">
        <f ca="1">+AF17/$J$49</f>
        <v>-35579.070148157225</v>
      </c>
      <c r="AH17" s="375">
        <f ca="1">+AG17*$J$47</f>
        <v>-804.08698534835332</v>
      </c>
      <c r="AI17" s="386">
        <f ca="1">ROUND(+AH17+AE17,5)</f>
        <v>521125.45176000003</v>
      </c>
    </row>
    <row r="18" spans="1:35" ht="15.75">
      <c r="A18" s="327"/>
      <c r="B18" s="811" t="s">
        <v>151</v>
      </c>
      <c r="C18" s="811"/>
      <c r="D18" s="327"/>
      <c r="E18" s="327"/>
      <c r="F18" s="363">
        <f t="shared" si="0"/>
        <v>12</v>
      </c>
      <c r="G18" s="359"/>
      <c r="H18" s="708" t="s">
        <v>152</v>
      </c>
      <c r="I18" s="709"/>
      <c r="J18" s="709"/>
      <c r="K18" s="709"/>
      <c r="L18" s="709"/>
      <c r="M18" s="710"/>
      <c r="O18" s="327"/>
      <c r="P18" s="327"/>
      <c r="R18" s="357">
        <v>3</v>
      </c>
      <c r="S18" s="390">
        <f ca="1">AI13/Investment*100</f>
        <v>242.06846414987618</v>
      </c>
      <c r="T18" s="313">
        <f ca="1">EXP(y_inter3-(slope*LN(S18)))</f>
        <v>6.9984210213436517</v>
      </c>
      <c r="U18" s="388">
        <f ca="1">(+S18*T18/100)/100</f>
        <v>0.16940970281108655</v>
      </c>
      <c r="V18" s="388">
        <f>regDebt_weighted</f>
        <v>3.5860000000000003E-2</v>
      </c>
      <c r="W18" s="388">
        <f ca="1">+U18-V18</f>
        <v>0.13354970281108655</v>
      </c>
      <c r="X18" s="388">
        <f ca="1">+((W18*(1-0.34))-Pfd_weighted)/Equity_percent</f>
        <v>0.23823489492824745</v>
      </c>
      <c r="Y18" s="388">
        <f ca="1">+X18*equityP</f>
        <v>0.14294093695694846</v>
      </c>
      <c r="Z18" s="388">
        <f ca="1">+Y18/(1-taxrate)</f>
        <v>0.18093789488221323</v>
      </c>
      <c r="AA18" s="388">
        <f>debtP*Debt_Rate</f>
        <v>2.0000000000000004E-2</v>
      </c>
      <c r="AB18" s="388">
        <f ca="1">+AA18+Z18</f>
        <v>0.20093789488221325</v>
      </c>
      <c r="AC18" s="388">
        <f ca="1">+AB18/(S18/100)</f>
        <v>8.3008703999461489E-2</v>
      </c>
      <c r="AD18" s="388">
        <f ca="1">1-AC18</f>
        <v>0.91699129600053852</v>
      </c>
      <c r="AE18" s="386">
        <f ca="1">expenses/(AD18)</f>
        <v>521392.5211023399</v>
      </c>
      <c r="AF18" s="387">
        <f ca="1">+AE18-Revenue</f>
        <v>-32353.94341986574</v>
      </c>
      <c r="AG18" s="375">
        <f ca="1">+AF18/$J$49</f>
        <v>-36179.586634535619</v>
      </c>
      <c r="AH18" s="375">
        <f ca="1">+AG18*$J$47</f>
        <v>-817.65865794050501</v>
      </c>
      <c r="AI18" s="386">
        <f ca="1">ROUND(+AH18+AE18,5)</f>
        <v>520574.86244</v>
      </c>
    </row>
    <row r="19" spans="1:35" ht="15.75">
      <c r="A19" s="327"/>
      <c r="B19" s="327"/>
      <c r="C19" s="327"/>
      <c r="D19" s="327"/>
      <c r="E19" s="327"/>
      <c r="F19" s="363">
        <f t="shared" si="0"/>
        <v>13</v>
      </c>
      <c r="G19" s="359"/>
      <c r="H19" s="362"/>
      <c r="I19" s="403" t="s">
        <v>154</v>
      </c>
      <c r="J19" s="364">
        <f>+Revenue</f>
        <v>553746.46452220564</v>
      </c>
      <c r="K19" s="418"/>
      <c r="L19" s="403" t="s">
        <v>155</v>
      </c>
      <c r="M19" s="417">
        <f ca="1">+J7</f>
        <v>-32353.206525256042</v>
      </c>
      <c r="O19" s="327"/>
      <c r="P19" s="327"/>
      <c r="R19" s="371">
        <v>4</v>
      </c>
      <c r="S19" s="390">
        <f ca="1">AI14/Investment*100</f>
        <v>241.8948691852556</v>
      </c>
      <c r="T19" s="389">
        <f ca="1">EXP(y_inter4-(slope*LN(S19)))</f>
        <v>6.9578812683118132</v>
      </c>
      <c r="U19" s="388">
        <f ca="1">(+S19*T19/100)/100</f>
        <v>0.16830757792048265</v>
      </c>
      <c r="V19" s="388">
        <f>regDebt_weighted</f>
        <v>3.5860000000000003E-2</v>
      </c>
      <c r="W19" s="388">
        <f ca="1">+U19-V19</f>
        <v>0.13244757792048265</v>
      </c>
      <c r="X19" s="388">
        <f ca="1">+((W19*(1-0.34))-Pfd_weighted)/Equity_percent</f>
        <v>0.23612035298697251</v>
      </c>
      <c r="Y19" s="388">
        <f ca="1">+X19*equityP</f>
        <v>0.14167221179218351</v>
      </c>
      <c r="Z19" s="388">
        <f ca="1">+Y19/(1-taxrate)</f>
        <v>0.17933191366099177</v>
      </c>
      <c r="AA19" s="388">
        <f>debtP*Debt_Rate</f>
        <v>2.0000000000000004E-2</v>
      </c>
      <c r="AB19" s="388">
        <f ca="1">+AA19+Z19</f>
        <v>0.19933191366099179</v>
      </c>
      <c r="AC19" s="388">
        <f ca="1">+AB19/(S19/100)</f>
        <v>8.2404357865206765E-2</v>
      </c>
      <c r="AD19" s="388">
        <f ca="1">1-AC19</f>
        <v>0.91759564213479328</v>
      </c>
      <c r="AE19" s="386">
        <f ca="1">expenses/(AD19)</f>
        <v>521049.12196214299</v>
      </c>
      <c r="AF19" s="387">
        <f ca="1">+AE19-Revenue</f>
        <v>-32697.342560062651</v>
      </c>
      <c r="AG19" s="375">
        <f ca="1">+AF19/$J$49</f>
        <v>-36563.590487844915</v>
      </c>
      <c r="AH19" s="375">
        <f ca="1">+AG19*$J$47</f>
        <v>-826.33714502529517</v>
      </c>
      <c r="AI19" s="386">
        <f ca="1">ROUND(+AH19+AE19,5)</f>
        <v>520222.78482</v>
      </c>
    </row>
    <row r="20" spans="1:35" ht="15.75">
      <c r="A20" s="327"/>
      <c r="B20" s="416"/>
      <c r="C20" s="327"/>
      <c r="D20" s="327"/>
      <c r="E20" s="327"/>
      <c r="F20" s="363">
        <f t="shared" si="0"/>
        <v>14</v>
      </c>
      <c r="G20" s="359"/>
      <c r="H20" s="362"/>
      <c r="I20" s="403" t="s">
        <v>157</v>
      </c>
      <c r="J20" s="364">
        <f ca="1">+J21-J19</f>
        <v>-33170.846560172737</v>
      </c>
      <c r="K20" s="418"/>
      <c r="L20" s="403" t="s">
        <v>158</v>
      </c>
      <c r="M20" s="417">
        <f ca="1">+L8</f>
        <v>-817.64003491672338</v>
      </c>
      <c r="O20" s="327"/>
      <c r="P20" s="327"/>
      <c r="R20" s="310" t="s">
        <v>160</v>
      </c>
    </row>
    <row r="21" spans="1:35" ht="16.5" thickBot="1">
      <c r="A21" s="327"/>
      <c r="B21" s="416" t="s">
        <v>161</v>
      </c>
      <c r="C21" s="327"/>
      <c r="D21" s="327"/>
      <c r="E21" s="327"/>
      <c r="F21" s="363">
        <f t="shared" si="0"/>
        <v>15</v>
      </c>
      <c r="G21" s="359"/>
      <c r="H21" s="362"/>
      <c r="I21" s="414" t="s">
        <v>152</v>
      </c>
      <c r="J21" s="415">
        <f ca="1">+M7</f>
        <v>520575.61796203291</v>
      </c>
      <c r="L21" s="414" t="s">
        <v>157</v>
      </c>
      <c r="M21" s="413">
        <f ca="1">+M19+M20</f>
        <v>-33170.846560172766</v>
      </c>
      <c r="O21" s="327"/>
      <c r="P21" s="327"/>
      <c r="R21" s="701">
        <v>1</v>
      </c>
      <c r="S21" s="702">
        <f ca="1">AI16/Investment*100</f>
        <v>242.69339479323247</v>
      </c>
      <c r="T21" s="703">
        <f ca="1">EXP(y_inter1-(slope*LN(+S21)))</f>
        <v>7.1565058222010904</v>
      </c>
      <c r="U21" s="704">
        <f ca="1">(+S21*T21/100)/100</f>
        <v>0.17368366928475157</v>
      </c>
      <c r="V21" s="704">
        <f>regDebt_weighted</f>
        <v>3.5860000000000003E-2</v>
      </c>
      <c r="W21" s="704">
        <f ca="1">+U21-V21</f>
        <v>0.13782366928475157</v>
      </c>
      <c r="X21" s="704">
        <f ca="1">+((W21*(1-0.34))-Pfd_weighted)/Equity_percent</f>
        <v>0.24643494688353498</v>
      </c>
      <c r="Y21" s="704">
        <f ca="1">+X21*equityP</f>
        <v>0.14786096813012098</v>
      </c>
      <c r="Z21" s="704">
        <f ca="1">+Y21/(1-taxrate)</f>
        <v>0.1871657824431911</v>
      </c>
      <c r="AA21" s="704">
        <f>debtP*Debt_Rate</f>
        <v>2.0000000000000004E-2</v>
      </c>
      <c r="AB21" s="704">
        <f ca="1">+AA21+Z21</f>
        <v>0.20716578244319112</v>
      </c>
      <c r="AC21" s="704">
        <f ca="1">+AB21/(S21/100)</f>
        <v>8.5361112781701443E-2</v>
      </c>
      <c r="AD21" s="704">
        <f ca="1">1-AC21</f>
        <v>0.91463888721829856</v>
      </c>
      <c r="AE21" s="705">
        <f ca="1">expenses/(AD21)</f>
        <v>522733.51847603091</v>
      </c>
      <c r="AF21" s="706">
        <f ca="1">+AE21-Revenue</f>
        <v>-31012.946046174737</v>
      </c>
      <c r="AG21" s="707">
        <f ca="1">+AF21/$J$49</f>
        <v>-34680.025050078242</v>
      </c>
      <c r="AH21" s="707">
        <f ca="1">+AG21*$J$47</f>
        <v>-783.76856613176835</v>
      </c>
      <c r="AI21" s="705">
        <f ca="1">ROUND(+AH21+AE21,5)</f>
        <v>521949.74991000001</v>
      </c>
    </row>
    <row r="22" spans="1:35" ht="16.5" thickTop="1">
      <c r="A22" s="327"/>
      <c r="B22" s="327" t="s">
        <v>163</v>
      </c>
      <c r="C22" s="327"/>
      <c r="D22" s="327"/>
      <c r="E22" s="327"/>
      <c r="F22" s="363">
        <f t="shared" si="0"/>
        <v>16</v>
      </c>
      <c r="G22" s="359"/>
      <c r="H22" s="320"/>
      <c r="I22" s="352"/>
      <c r="J22" s="511" t="s">
        <v>164</v>
      </c>
      <c r="K22" s="510">
        <f ca="1">+(J21/J19)-1</f>
        <v>-5.990258843240448E-2</v>
      </c>
      <c r="L22" s="352"/>
      <c r="M22" s="369"/>
      <c r="O22" s="327"/>
      <c r="P22" s="327"/>
      <c r="R22" s="393">
        <v>2</v>
      </c>
      <c r="S22" s="390">
        <f ca="1">AI17/Investment*100</f>
        <v>242.31314759960378</v>
      </c>
      <c r="T22" s="392">
        <f ca="1">EXP(y_inter2-(slope*LN(+S22)))</f>
        <v>7.0622510676692318</v>
      </c>
      <c r="U22" s="388">
        <f ca="1">(+S22*T22/100)/100</f>
        <v>0.1711276285345594</v>
      </c>
      <c r="V22" s="388">
        <f>regDebt_weighted</f>
        <v>3.5860000000000003E-2</v>
      </c>
      <c r="W22" s="388">
        <f ca="1">+U22-V22</f>
        <v>0.1352676285345594</v>
      </c>
      <c r="X22" s="388">
        <f ca="1">+((W22*(1-0.34))-Pfd_weighted)/Equity_percent</f>
        <v>0.24153091521165465</v>
      </c>
      <c r="Y22" s="388">
        <f ca="1">+X22*equityP</f>
        <v>0.14491854912699279</v>
      </c>
      <c r="Z22" s="388">
        <f ca="1">+Y22/(1-taxrate)</f>
        <v>0.18344120142657314</v>
      </c>
      <c r="AA22" s="388">
        <f>debtP*Debt_Rate</f>
        <v>2.0000000000000004E-2</v>
      </c>
      <c r="AB22" s="388">
        <f ca="1">+AA22+Z22</f>
        <v>0.20344120142657313</v>
      </c>
      <c r="AC22" s="388">
        <f ca="1">+AB22/(S22/100)</f>
        <v>8.3957970684586075E-2</v>
      </c>
      <c r="AD22" s="388">
        <f ca="1">1-AC22</f>
        <v>0.9160420293154139</v>
      </c>
      <c r="AE22" s="386">
        <f ca="1">expenses/(AD22)</f>
        <v>521932.82442283875</v>
      </c>
      <c r="AF22" s="387">
        <f ca="1">+AE22-Revenue</f>
        <v>-31813.640099366894</v>
      </c>
      <c r="AG22" s="375">
        <f ca="1">+AF22/$J$49</f>
        <v>-35575.395963270719</v>
      </c>
      <c r="AH22" s="375">
        <f ca="1">+AG22*$J$47</f>
        <v>-804.00394876991834</v>
      </c>
      <c r="AI22" s="386">
        <f ca="1">ROUND(+AH22+AE22,5)</f>
        <v>521128.82046999998</v>
      </c>
    </row>
    <row r="23" spans="1:35" ht="15.75">
      <c r="A23" s="327"/>
      <c r="B23" s="327" t="s">
        <v>166</v>
      </c>
      <c r="C23" s="327"/>
      <c r="D23" s="327"/>
      <c r="E23" s="327"/>
      <c r="F23" s="363">
        <f t="shared" si="0"/>
        <v>17</v>
      </c>
      <c r="H23" s="359"/>
      <c r="I23" s="359"/>
      <c r="J23" s="359"/>
      <c r="K23" s="359"/>
      <c r="L23" s="359"/>
      <c r="M23" s="359"/>
      <c r="N23" s="359"/>
      <c r="O23" s="327"/>
      <c r="P23" s="327"/>
      <c r="R23" s="357">
        <v>3</v>
      </c>
      <c r="S23" s="390">
        <f ca="1">AI18/Investment*100</f>
        <v>242.057134329261</v>
      </c>
      <c r="T23" s="313">
        <f ca="1">EXP(y_inter3-(slope*LN(S23)))</f>
        <v>6.9986449700304707</v>
      </c>
      <c r="U23" s="388">
        <f ca="1">(+S23*T23/100)/100</f>
        <v>0.16940719456334727</v>
      </c>
      <c r="V23" s="388">
        <f>regDebt_weighted</f>
        <v>3.5860000000000003E-2</v>
      </c>
      <c r="W23" s="388">
        <f ca="1">+U23-V23</f>
        <v>0.13354719456334727</v>
      </c>
      <c r="X23" s="388">
        <f ca="1">+((W23*(1-0.34))-Pfd_weighted)/Equity_percent</f>
        <v>0.23823008259246858</v>
      </c>
      <c r="Y23" s="388">
        <f ca="1">+X23*equityP</f>
        <v>0.14293804955548114</v>
      </c>
      <c r="Z23" s="388">
        <f ca="1">+Y23/(1-taxrate)</f>
        <v>0.18093423994364702</v>
      </c>
      <c r="AA23" s="388">
        <f>debtP*Debt_Rate</f>
        <v>2.0000000000000004E-2</v>
      </c>
      <c r="AB23" s="388">
        <f ca="1">+AA23+Z23</f>
        <v>0.20093423994364701</v>
      </c>
      <c r="AC23" s="388">
        <f ca="1">+AB23/(S23/100)</f>
        <v>8.301107938852316E-2</v>
      </c>
      <c r="AD23" s="388">
        <f ca="1">1-AC23</f>
        <v>0.91698892061147685</v>
      </c>
      <c r="AE23" s="386">
        <f ca="1">expenses/(AD23)</f>
        <v>521393.87172944524</v>
      </c>
      <c r="AF23" s="387">
        <f ca="1">+AE23-Revenue</f>
        <v>-32352.592792760406</v>
      </c>
      <c r="AG23" s="375">
        <f ca="1">+AF23/$J$49</f>
        <v>-36178.076304566435</v>
      </c>
      <c r="AH23" s="375">
        <f ca="1">+AG23*$J$47</f>
        <v>-817.62452448320153</v>
      </c>
      <c r="AI23" s="386">
        <f ca="1">ROUND(+AH23+AE23,5)</f>
        <v>520576.24719999998</v>
      </c>
    </row>
    <row r="24" spans="1:35" ht="15.75">
      <c r="A24" s="327"/>
      <c r="B24" s="327" t="s">
        <v>168</v>
      </c>
      <c r="C24" s="327"/>
      <c r="D24" s="327"/>
      <c r="E24" s="327"/>
      <c r="F24" s="363">
        <f t="shared" si="0"/>
        <v>18</v>
      </c>
      <c r="H24" s="359"/>
      <c r="J24" s="412" t="s">
        <v>169</v>
      </c>
      <c r="K24" s="411" t="s">
        <v>170</v>
      </c>
      <c r="L24" s="411"/>
      <c r="M24" s="411"/>
      <c r="N24" s="411"/>
      <c r="O24" s="327"/>
      <c r="P24" s="327"/>
      <c r="R24" s="371">
        <v>4</v>
      </c>
      <c r="S24" s="390">
        <f ca="1">AI19/Investment*100</f>
        <v>241.89342511871789</v>
      </c>
      <c r="T24" s="389">
        <f ca="1">EXP(y_inter4-(slope*LN(S24)))</f>
        <v>6.9579096662145314</v>
      </c>
      <c r="U24" s="388">
        <f ca="1">(+S24*T24/100)/100</f>
        <v>0.16830726008272681</v>
      </c>
      <c r="V24" s="388">
        <f>regDebt_weighted</f>
        <v>3.5860000000000003E-2</v>
      </c>
      <c r="W24" s="388">
        <f ca="1">+U24-V24</f>
        <v>0.13244726008272681</v>
      </c>
      <c r="X24" s="388">
        <f ca="1">+((W24*(1-0.34))-Pfd_weighted)/Equity_percent</f>
        <v>0.23611974318197584</v>
      </c>
      <c r="Y24" s="388">
        <f ca="1">+X24*equityP</f>
        <v>0.1416718459091855</v>
      </c>
      <c r="Z24" s="388">
        <f ca="1">+Y24/(1-taxrate)</f>
        <v>0.17933145051795632</v>
      </c>
      <c r="AA24" s="388">
        <f>debtP*Debt_Rate</f>
        <v>2.0000000000000004E-2</v>
      </c>
      <c r="AB24" s="388">
        <f ca="1">+AA24+Z24</f>
        <v>0.19933145051795631</v>
      </c>
      <c r="AC24" s="388">
        <f ca="1">+AB24/(S24/100)</f>
        <v>8.240465834080743E-2</v>
      </c>
      <c r="AD24" s="388">
        <f ca="1">1-AC24</f>
        <v>0.91759534165919254</v>
      </c>
      <c r="AE24" s="386">
        <f ca="1">expenses/(AD24)</f>
        <v>521049.29258479201</v>
      </c>
      <c r="AF24" s="387">
        <f ca="1">+AE24-Revenue</f>
        <v>-32697.17193741363</v>
      </c>
      <c r="AG24" s="375">
        <f ca="1">+AF24/$J$49</f>
        <v>-36563.399690178245</v>
      </c>
      <c r="AH24" s="375">
        <f ca="1">+AG24*$J$47</f>
        <v>-826.33283299802838</v>
      </c>
      <c r="AI24" s="386">
        <f ca="1">ROUND(+AH24+AE24,5)</f>
        <v>520222.95974999998</v>
      </c>
    </row>
    <row r="25" spans="1:35" ht="15.75">
      <c r="A25" s="327"/>
      <c r="B25" s="327" t="s">
        <v>172</v>
      </c>
      <c r="C25" s="327"/>
      <c r="D25" s="327"/>
      <c r="E25" s="327"/>
      <c r="F25" s="363">
        <f t="shared" si="0"/>
        <v>19</v>
      </c>
      <c r="H25" s="409" t="s">
        <v>173</v>
      </c>
      <c r="I25" s="410" t="s">
        <v>23</v>
      </c>
      <c r="J25" s="408" t="s">
        <v>174</v>
      </c>
      <c r="K25" s="409" t="s">
        <v>175</v>
      </c>
      <c r="L25" s="408" t="s">
        <v>176</v>
      </c>
      <c r="M25" s="408" t="s">
        <v>174</v>
      </c>
      <c r="O25" s="327"/>
      <c r="P25" s="327"/>
      <c r="R25" s="310" t="s">
        <v>177</v>
      </c>
      <c r="W25" s="316"/>
      <c r="X25" s="314"/>
      <c r="Y25" s="313"/>
      <c r="Z25" s="313"/>
      <c r="AA25" s="314"/>
      <c r="AC25" s="314"/>
      <c r="AD25" s="314"/>
      <c r="AE25" s="313"/>
      <c r="AF25" s="316"/>
    </row>
    <row r="26" spans="1:35" ht="15.75">
      <c r="A26" s="327"/>
      <c r="B26" s="327"/>
      <c r="C26" s="327"/>
      <c r="D26" s="327"/>
      <c r="E26" s="327"/>
      <c r="F26" s="363">
        <f t="shared" si="0"/>
        <v>20</v>
      </c>
      <c r="H26" s="403" t="s">
        <v>123</v>
      </c>
      <c r="I26" s="404">
        <f>1-I27</f>
        <v>0.6</v>
      </c>
      <c r="J26" s="407">
        <f>+I26*J28</f>
        <v>129037.68291296433</v>
      </c>
      <c r="K26" s="405">
        <f ca="1">+K34</f>
        <v>0.23864255713317881</v>
      </c>
      <c r="L26" s="404">
        <f ca="1">+K26*I26</f>
        <v>0.14318553427990727</v>
      </c>
      <c r="M26" s="364">
        <f ca="1">+J26*K26</f>
        <v>30793.8826168901</v>
      </c>
      <c r="O26" s="327"/>
      <c r="P26" s="327"/>
      <c r="R26" s="701">
        <v>1</v>
      </c>
      <c r="S26" s="702">
        <f ca="1">AI21/Investment*100</f>
        <v>242.69643012516929</v>
      </c>
      <c r="T26" s="703">
        <f ca="1">EXP(y_inter1-(slope*LN(+S26)))</f>
        <v>7.156444630684879</v>
      </c>
      <c r="U26" s="704">
        <f ca="1">(+S26*T26/100)/100</f>
        <v>0.17368435642556557</v>
      </c>
      <c r="V26" s="704">
        <f>regDebt_weighted</f>
        <v>3.5860000000000003E-2</v>
      </c>
      <c r="W26" s="704">
        <f ca="1">+U26-V26</f>
        <v>0.13782435642556556</v>
      </c>
      <c r="X26" s="704">
        <f ca="1">+((W26*(1-0.34))-Pfd_weighted)/Equity_percent</f>
        <v>0.24643626523509671</v>
      </c>
      <c r="Y26" s="704">
        <f ca="1">+X26*equityP</f>
        <v>0.14786175914105801</v>
      </c>
      <c r="Z26" s="704">
        <f ca="1">+Y26/(1-taxrate)</f>
        <v>0.18716678372285822</v>
      </c>
      <c r="AA26" s="704">
        <f>debtP*Debt_Rate</f>
        <v>2.0000000000000004E-2</v>
      </c>
      <c r="AB26" s="704">
        <f ca="1">+AA26+Z26</f>
        <v>0.20716678372285824</v>
      </c>
      <c r="AC26" s="704">
        <f ca="1">+AB26/(S26/100)</f>
        <v>8.5360457760344136E-2</v>
      </c>
      <c r="AD26" s="704">
        <f ca="1">1-AC26</f>
        <v>0.91463954223965582</v>
      </c>
      <c r="AE26" s="705">
        <f ca="1">expenses/(AD26)</f>
        <v>522733.14411913627</v>
      </c>
      <c r="AF26" s="706">
        <f ca="1">+AE26-Revenue</f>
        <v>-31013.320403069374</v>
      </c>
      <c r="AG26" s="707">
        <f ca="1">+AF26/$J$49</f>
        <v>-34680.443672238944</v>
      </c>
      <c r="AH26" s="707">
        <f ca="1">+AG26*$J$47</f>
        <v>-783.77802699260019</v>
      </c>
      <c r="AI26" s="705">
        <f ca="1">ROUND(+AH26+AE26,5)</f>
        <v>521949.36609000002</v>
      </c>
    </row>
    <row r="27" spans="1:35" ht="15.75">
      <c r="A27" s="327"/>
      <c r="B27" s="327"/>
      <c r="C27" s="327"/>
      <c r="D27" s="327"/>
      <c r="E27" s="327"/>
      <c r="F27" s="363">
        <f t="shared" si="0"/>
        <v>21</v>
      </c>
      <c r="H27" s="403" t="s">
        <v>125</v>
      </c>
      <c r="I27" s="404">
        <f>IF(A65=TRUE,C8,0)</f>
        <v>0.4</v>
      </c>
      <c r="J27" s="406">
        <f>+I27*J28</f>
        <v>86025.121941976235</v>
      </c>
      <c r="K27" s="405">
        <f>IF(A65=TRUE,C9,0)</f>
        <v>0.05</v>
      </c>
      <c r="L27" s="404">
        <f>+K27*I27</f>
        <v>2.0000000000000004E-2</v>
      </c>
      <c r="M27" s="364">
        <f>+K27*J27</f>
        <v>4301.2560970988116</v>
      </c>
      <c r="O27" s="327"/>
      <c r="P27" s="327"/>
      <c r="R27" s="393">
        <v>2</v>
      </c>
      <c r="S27" s="390">
        <f ca="1">AI22/Investment*100</f>
        <v>242.31471398389894</v>
      </c>
      <c r="T27" s="392">
        <f ca="1">EXP(y_inter2-(slope*LN(+S27)))</f>
        <v>7.0622198565995102</v>
      </c>
      <c r="U27" s="388">
        <f ca="1">(+S27*T27/100)/100</f>
        <v>0.1711279784643322</v>
      </c>
      <c r="V27" s="388">
        <f>regDebt_weighted</f>
        <v>3.5860000000000003E-2</v>
      </c>
      <c r="W27" s="388">
        <f ca="1">+U27-V27</f>
        <v>0.13526797846433219</v>
      </c>
      <c r="X27" s="388">
        <f ca="1">+((W27*(1-0.34))-Pfd_weighted)/Equity_percent</f>
        <v>0.24153158658854432</v>
      </c>
      <c r="Y27" s="388">
        <f ca="1">+X27*equityP</f>
        <v>0.1449189519531266</v>
      </c>
      <c r="Z27" s="388">
        <f ca="1">+Y27/(1-taxrate)</f>
        <v>0.18344171133307163</v>
      </c>
      <c r="AA27" s="388">
        <f>debtP*Debt_Rate</f>
        <v>2.0000000000000004E-2</v>
      </c>
      <c r="AB27" s="388">
        <f ca="1">+AA27+Z27</f>
        <v>0.20344171133307165</v>
      </c>
      <c r="AC27" s="388">
        <f ca="1">+AB27/(S27/100)</f>
        <v>8.3957638390291772E-2</v>
      </c>
      <c r="AD27" s="388">
        <f ca="1">1-AC27</f>
        <v>0.9160423616097082</v>
      </c>
      <c r="AE27" s="386">
        <f ca="1">expenses/(AD27)</f>
        <v>521932.63509174791</v>
      </c>
      <c r="AF27" s="387">
        <f ca="1">+AE27-Revenue</f>
        <v>-31813.829430457728</v>
      </c>
      <c r="AG27" s="375">
        <f ca="1">+AF27/$J$49</f>
        <v>-35575.607681530673</v>
      </c>
      <c r="AH27" s="375">
        <f ca="1">+AG27*$J$47</f>
        <v>-804.00873360259334</v>
      </c>
      <c r="AI27" s="386">
        <f ca="1">ROUND(+AH27+AE27,5)</f>
        <v>521128.62635999999</v>
      </c>
    </row>
    <row r="28" spans="1:35" ht="16.5" thickBot="1">
      <c r="A28" s="327"/>
      <c r="B28" s="327"/>
      <c r="C28" s="327"/>
      <c r="D28" s="327"/>
      <c r="E28" s="327"/>
      <c r="F28" s="363">
        <f t="shared" si="0"/>
        <v>22</v>
      </c>
      <c r="H28" s="403" t="s">
        <v>27</v>
      </c>
      <c r="I28" s="402">
        <f>SUM(I26:I27)</f>
        <v>1</v>
      </c>
      <c r="J28" s="367">
        <f>IF(A65=TRUE,C7,0)</f>
        <v>215062.80485494056</v>
      </c>
      <c r="K28" s="401"/>
      <c r="L28" s="400">
        <f ca="1">SUM(L26:L27)</f>
        <v>0.16318553427990728</v>
      </c>
      <c r="M28" s="367">
        <f ca="1">SUM(M26:M27)</f>
        <v>35095.138713988912</v>
      </c>
      <c r="O28" s="327"/>
      <c r="P28" s="327"/>
      <c r="R28" s="357">
        <v>3</v>
      </c>
      <c r="S28" s="390">
        <f ca="1">AI23/Investment*100</f>
        <v>242.05777821559039</v>
      </c>
      <c r="T28" s="313">
        <f ca="1">EXP(y_inter3-(slope*LN(S28)))</f>
        <v>6.9986322423040832</v>
      </c>
      <c r="U28" s="388">
        <f ca="1">(+S28*T28/100)/100</f>
        <v>0.1694073371120122</v>
      </c>
      <c r="V28" s="388">
        <f>regDebt_weighted</f>
        <v>3.5860000000000003E-2</v>
      </c>
      <c r="W28" s="388">
        <f ca="1">+U28-V28</f>
        <v>0.13354733711201219</v>
      </c>
      <c r="X28" s="388">
        <f ca="1">+((W28*(1-0.34))-Pfd_weighted)/Equity_percent</f>
        <v>0.23823035608700011</v>
      </c>
      <c r="Y28" s="388">
        <f ca="1">+X28*equityP</f>
        <v>0.14293821365220005</v>
      </c>
      <c r="Z28" s="388">
        <f ca="1">+Y28/(1-taxrate)</f>
        <v>0.18093444766101272</v>
      </c>
      <c r="AA28" s="388">
        <f>debtP*Debt_Rate</f>
        <v>2.0000000000000004E-2</v>
      </c>
      <c r="AB28" s="388">
        <f ca="1">+AA28+Z28</f>
        <v>0.20093444766101271</v>
      </c>
      <c r="AC28" s="388">
        <f ca="1">+AB28/(S28/100)</f>
        <v>8.3010944387851518E-2</v>
      </c>
      <c r="AD28" s="388">
        <f ca="1">1-AC28</f>
        <v>0.9169890556121485</v>
      </c>
      <c r="AE28" s="386">
        <f ca="1">expenses/(AD28)</f>
        <v>521393.7949689622</v>
      </c>
      <c r="AF28" s="387">
        <f ca="1">+AE28-Revenue</f>
        <v>-32352.669553243439</v>
      </c>
      <c r="AG28" s="375">
        <f ca="1">+AF28/$J$49</f>
        <v>-36178.162141476947</v>
      </c>
      <c r="AH28" s="375">
        <f ca="1">+AG28*$J$47</f>
        <v>-817.6264643973791</v>
      </c>
      <c r="AI28" s="386">
        <f ca="1">ROUND(+AH28+AE28,5)</f>
        <v>520576.16850000003</v>
      </c>
    </row>
    <row r="29" spans="1:35" ht="16.5" thickTop="1">
      <c r="A29" s="327"/>
      <c r="B29" s="327"/>
      <c r="C29" s="327"/>
      <c r="D29" s="327"/>
      <c r="E29" s="327"/>
      <c r="F29" s="363">
        <f t="shared" si="0"/>
        <v>23</v>
      </c>
      <c r="G29" s="359"/>
      <c r="H29" s="359"/>
      <c r="I29" s="359"/>
      <c r="J29" s="359"/>
      <c r="K29" s="359"/>
      <c r="L29" s="359"/>
      <c r="M29" s="359"/>
      <c r="N29" s="359"/>
      <c r="O29" s="327"/>
      <c r="P29" s="327"/>
      <c r="R29" s="371">
        <v>4</v>
      </c>
      <c r="S29" s="390">
        <f ca="1">AI24/Investment*100</f>
        <v>241.89350645774815</v>
      </c>
      <c r="T29" s="389">
        <f ca="1">EXP(y_inter4-(slope*LN(S29)))</f>
        <v>6.9579080666560893</v>
      </c>
      <c r="U29" s="388">
        <f ca="1">(+S29*T29/100)/100</f>
        <v>0.16830727798540926</v>
      </c>
      <c r="V29" s="388">
        <f>regDebt_weighted</f>
        <v>3.5860000000000003E-2</v>
      </c>
      <c r="W29" s="388">
        <f ca="1">+U29-V29</f>
        <v>0.13244727798540926</v>
      </c>
      <c r="X29" s="388">
        <f ca="1">+((W29*(1-0.34))-Pfd_weighted)/Equity_percent</f>
        <v>0.23611977753014565</v>
      </c>
      <c r="Y29" s="388">
        <f ca="1">+X29*equityP</f>
        <v>0.14167186651808739</v>
      </c>
      <c r="Z29" s="388">
        <f ca="1">+Y29/(1-taxrate)</f>
        <v>0.1793314766051739</v>
      </c>
      <c r="AA29" s="388">
        <f>debtP*Debt_Rate</f>
        <v>2.0000000000000004E-2</v>
      </c>
      <c r="AB29" s="388">
        <f ca="1">+AA29+Z29</f>
        <v>0.19933147660517392</v>
      </c>
      <c r="AC29" s="388">
        <f ca="1">+AB29/(S29/100)</f>
        <v>8.240464141603214E-2</v>
      </c>
      <c r="AD29" s="388">
        <f ca="1">1-AC29</f>
        <v>0.9175953585839679</v>
      </c>
      <c r="AE29" s="386">
        <f ca="1">expenses/(AD29)</f>
        <v>521049.28297419171</v>
      </c>
      <c r="AF29" s="387">
        <f ca="1">+AE29-Revenue</f>
        <v>-32697.181548013934</v>
      </c>
      <c r="AG29" s="375">
        <f ca="1">+AF29/$J$49</f>
        <v>-36563.410437169478</v>
      </c>
      <c r="AH29" s="375">
        <f ca="1">+AG29*$J$47</f>
        <v>-826.33307588003026</v>
      </c>
      <c r="AI29" s="386">
        <f ca="1">ROUND(+AH29+AE29,5)</f>
        <v>520222.94990000001</v>
      </c>
    </row>
    <row r="30" spans="1:35" ht="15.75">
      <c r="A30" s="327"/>
      <c r="B30" s="327"/>
      <c r="C30" s="327"/>
      <c r="D30" s="327"/>
      <c r="E30" s="327"/>
      <c r="F30" s="363">
        <f t="shared" si="0"/>
        <v>24</v>
      </c>
      <c r="G30" s="359"/>
      <c r="H30" s="359"/>
      <c r="I30" s="359"/>
      <c r="J30" s="399" t="s">
        <v>178</v>
      </c>
      <c r="K30" s="399" t="s">
        <v>179</v>
      </c>
      <c r="L30" s="359"/>
      <c r="M30" s="359"/>
      <c r="N30" s="359"/>
      <c r="O30" s="327"/>
      <c r="P30" s="327"/>
      <c r="R30" s="310" t="s">
        <v>180</v>
      </c>
      <c r="W30" s="316"/>
      <c r="X30" s="314"/>
      <c r="Y30" s="313"/>
      <c r="Z30" s="313"/>
      <c r="AA30" s="314"/>
      <c r="AC30" s="314"/>
      <c r="AD30" s="314"/>
      <c r="AE30" s="313"/>
      <c r="AF30" s="316"/>
      <c r="AH30" s="313"/>
    </row>
    <row r="31" spans="1:35" ht="15.75">
      <c r="A31" s="327"/>
      <c r="B31" s="327"/>
      <c r="C31" s="327"/>
      <c r="D31" s="327"/>
      <c r="E31" s="327"/>
      <c r="F31" s="363">
        <f t="shared" si="0"/>
        <v>25</v>
      </c>
      <c r="G31" s="359"/>
      <c r="H31" s="385" t="s">
        <v>181</v>
      </c>
      <c r="I31" s="398"/>
      <c r="J31" s="397" t="s">
        <v>182</v>
      </c>
      <c r="K31" s="397" t="s">
        <v>182</v>
      </c>
      <c r="L31" s="359"/>
      <c r="M31" s="359"/>
      <c r="N31" s="359"/>
      <c r="O31" s="327"/>
      <c r="P31" s="327"/>
      <c r="R31" s="701">
        <v>1</v>
      </c>
      <c r="S31" s="702">
        <f ca="1">AI26/Investment*100</f>
        <v>242.69625165637257</v>
      </c>
      <c r="T31" s="703">
        <f ca="1">EXP(y_inter1-(slope*LN(+S31)))</f>
        <v>7.1564482285345603</v>
      </c>
      <c r="U31" s="704">
        <f ca="1">(+S31*T31/100)/100</f>
        <v>0.1736843160238225</v>
      </c>
      <c r="V31" s="704">
        <f>regDebt_weighted</f>
        <v>3.5860000000000003E-2</v>
      </c>
      <c r="W31" s="704">
        <f ca="1">+U31-V31</f>
        <v>0.1378243160238225</v>
      </c>
      <c r="X31" s="704">
        <f ca="1">+((W31*(1-0.34))-Pfd_weighted)/Equity_percent</f>
        <v>0.24643618772012454</v>
      </c>
      <c r="Y31" s="704">
        <f ca="1">+X31*equityP</f>
        <v>0.14786171263207473</v>
      </c>
      <c r="Z31" s="704">
        <f ca="1">+Y31/(1-taxrate)</f>
        <v>0.18716672485072749</v>
      </c>
      <c r="AA31" s="704">
        <f>debtP*Debt_Rate</f>
        <v>2.0000000000000004E-2</v>
      </c>
      <c r="AB31" s="704">
        <f ca="1">+AA31+Z31</f>
        <v>0.20716672485072751</v>
      </c>
      <c r="AC31" s="704">
        <f ca="1">+AB31/(S31/100)</f>
        <v>8.5360496273362146E-2</v>
      </c>
      <c r="AD31" s="704">
        <f ca="1">1-AC31</f>
        <v>0.91463950372663783</v>
      </c>
      <c r="AE31" s="705">
        <f ca="1">expenses/(AD31)</f>
        <v>522733.16613002785</v>
      </c>
      <c r="AF31" s="706">
        <f ca="1">+AE31-Revenue</f>
        <v>-31013.298392177792</v>
      </c>
      <c r="AG31" s="707">
        <f ca="1">+AF31/$J$49</f>
        <v>-34680.419058702704</v>
      </c>
      <c r="AH31" s="707">
        <f ca="1">+AG31*$J$47</f>
        <v>-783.77747072668114</v>
      </c>
      <c r="AI31" s="705">
        <f ca="1">ROUND(+AH31+AE31,5)</f>
        <v>521949.38866</v>
      </c>
    </row>
    <row r="32" spans="1:35" ht="15.75">
      <c r="A32" s="327"/>
      <c r="B32" s="327"/>
      <c r="C32" s="327"/>
      <c r="D32" s="327"/>
      <c r="E32" s="327"/>
      <c r="F32" s="363">
        <f t="shared" si="0"/>
        <v>26</v>
      </c>
      <c r="G32" s="359"/>
      <c r="H32" s="361"/>
      <c r="I32" s="361"/>
      <c r="J32" s="361"/>
      <c r="K32" s="361"/>
      <c r="L32" s="359"/>
      <c r="M32" s="359"/>
      <c r="N32" s="359"/>
      <c r="O32" s="327"/>
      <c r="P32" s="327"/>
      <c r="R32" s="393">
        <v>2</v>
      </c>
      <c r="S32" s="390">
        <f ca="1">AI27/Investment*100</f>
        <v>242.31462372654363</v>
      </c>
      <c r="T32" s="392">
        <f ca="1">EXP(y_inter2-(slope*LN(+S32)))</f>
        <v>7.0622216550178001</v>
      </c>
      <c r="U32" s="388">
        <f ca="1">(+S32*T32/100)/100</f>
        <v>0.17112795830090863</v>
      </c>
      <c r="V32" s="388">
        <f>regDebt_weighted</f>
        <v>3.5860000000000003E-2</v>
      </c>
      <c r="W32" s="388">
        <f ca="1">+U32-V32</f>
        <v>0.13526795830090863</v>
      </c>
      <c r="X32" s="388">
        <f ca="1">+((W32*(1-0.34))-Pfd_weighted)/Equity_percent</f>
        <v>0.24153154790290607</v>
      </c>
      <c r="Y32" s="388">
        <f ca="1">+X32*equityP</f>
        <v>0.14491892874174364</v>
      </c>
      <c r="Z32" s="388">
        <f ca="1">+Y32/(1-taxrate)</f>
        <v>0.18344168195157423</v>
      </c>
      <c r="AA32" s="388">
        <f>debtP*Debt_Rate</f>
        <v>2.0000000000000004E-2</v>
      </c>
      <c r="AB32" s="388">
        <f ca="1">+AA32+Z32</f>
        <v>0.20344168195157425</v>
      </c>
      <c r="AC32" s="388">
        <f ca="1">+AB32/(S32/100)</f>
        <v>8.3957657537483923E-2</v>
      </c>
      <c r="AD32" s="388">
        <f ca="1">1-AC32</f>
        <v>0.91604234246251603</v>
      </c>
      <c r="AE32" s="386">
        <f ca="1">expenses/(AD32)</f>
        <v>521932.64600122668</v>
      </c>
      <c r="AF32" s="387">
        <f ca="1">+AE32-Revenue</f>
        <v>-31813.818520978966</v>
      </c>
      <c r="AG32" s="375">
        <f ca="1">+AF32/$J$49</f>
        <v>-35575.595482077057</v>
      </c>
      <c r="AH32" s="375">
        <f ca="1">+AG32*$J$47</f>
        <v>-804.00845789494156</v>
      </c>
      <c r="AI32" s="386">
        <f ca="1">ROUND(+AH32+AE32,5)</f>
        <v>521128.63754000003</v>
      </c>
    </row>
    <row r="33" spans="1:46" ht="15.75">
      <c r="A33" s="327"/>
      <c r="B33" s="327"/>
      <c r="C33" s="327"/>
      <c r="D33" s="327"/>
      <c r="E33" s="327"/>
      <c r="F33" s="363">
        <f t="shared" si="0"/>
        <v>27</v>
      </c>
      <c r="G33" s="359"/>
      <c r="H33" s="361" t="s">
        <v>183</v>
      </c>
      <c r="I33" s="361"/>
      <c r="J33" s="360">
        <f ca="1">+K9/J28</f>
        <v>0.20124751174671807</v>
      </c>
      <c r="K33" s="360">
        <f ca="1">+(M14+M11)/J28</f>
        <v>0.16318553427990728</v>
      </c>
      <c r="L33" s="359"/>
      <c r="M33" s="359"/>
      <c r="N33" s="359"/>
      <c r="O33" s="327"/>
      <c r="P33" s="327"/>
      <c r="R33" s="357">
        <v>3</v>
      </c>
      <c r="S33" s="390">
        <f ca="1">AI28/Investment*100</f>
        <v>242.05774162162891</v>
      </c>
      <c r="T33" s="313">
        <f ca="1">EXP(y_inter3-(slope*LN(S33)))</f>
        <v>6.9986329656568262</v>
      </c>
      <c r="U33" s="388">
        <f ca="1">(+S33*T33/100)/100</f>
        <v>0.16940732901055744</v>
      </c>
      <c r="V33" s="388">
        <f>regDebt_weighted</f>
        <v>3.5860000000000003E-2</v>
      </c>
      <c r="W33" s="388">
        <f ca="1">+U33-V33</f>
        <v>0.13354732901055744</v>
      </c>
      <c r="X33" s="388">
        <f ca="1">+((W33*(1-0.34))-Pfd_weighted)/Equity_percent</f>
        <v>0.23823034054351133</v>
      </c>
      <c r="Y33" s="388">
        <f ca="1">+X33*equityP</f>
        <v>0.14293820432610679</v>
      </c>
      <c r="Z33" s="388">
        <f ca="1">+Y33/(1-taxrate)</f>
        <v>0.18093443585583138</v>
      </c>
      <c r="AA33" s="388">
        <f>debtP*Debt_Rate</f>
        <v>2.0000000000000004E-2</v>
      </c>
      <c r="AB33" s="388">
        <f ca="1">+AA33+Z33</f>
        <v>0.20093443585583137</v>
      </c>
      <c r="AC33" s="388">
        <f ca="1">+AB33/(S33/100)</f>
        <v>8.3010952060323204E-2</v>
      </c>
      <c r="AD33" s="388">
        <f ca="1">1-AC33</f>
        <v>0.91698904793967684</v>
      </c>
      <c r="AE33" s="386">
        <f ca="1">expenses/(AD33)</f>
        <v>521393.7993314779</v>
      </c>
      <c r="AF33" s="387">
        <f ca="1">+AE33-Revenue</f>
        <v>-32352.665190727741</v>
      </c>
      <c r="AG33" s="375">
        <f ca="1">+AF33/$J$49</f>
        <v>-36178.157263122164</v>
      </c>
      <c r="AH33" s="375">
        <f ca="1">+AG33*$J$47</f>
        <v>-817.62635414656097</v>
      </c>
      <c r="AI33" s="386">
        <f ca="1">ROUND(+AH33+AE33,5)</f>
        <v>520576.17297999997</v>
      </c>
    </row>
    <row r="34" spans="1:46" ht="15.75">
      <c r="A34" s="327"/>
      <c r="B34" s="327"/>
      <c r="C34" s="327"/>
      <c r="D34" s="327"/>
      <c r="E34" s="327"/>
      <c r="F34" s="363">
        <f t="shared" si="0"/>
        <v>28</v>
      </c>
      <c r="G34" s="359"/>
      <c r="H34" s="361" t="s">
        <v>184</v>
      </c>
      <c r="I34" s="361"/>
      <c r="J34" s="360">
        <f ca="1">+(M9-M11)/J26</f>
        <v>0.30207918624453012</v>
      </c>
      <c r="K34" s="360">
        <f ca="1">+M14/J26</f>
        <v>0.23864255713317881</v>
      </c>
      <c r="L34" s="359"/>
      <c r="M34" s="359"/>
      <c r="N34" s="359"/>
      <c r="O34" s="396"/>
      <c r="P34" s="327"/>
      <c r="R34" s="371">
        <v>4</v>
      </c>
      <c r="S34" s="390">
        <f ca="1">AI29/Investment*100</f>
        <v>241.89350187769074</v>
      </c>
      <c r="T34" s="389">
        <f ca="1">EXP(y_inter4-(slope*LN(S34)))</f>
        <v>6.9579081567243817</v>
      </c>
      <c r="U34" s="388">
        <f ca="1">(+S34*T34/100)/100</f>
        <v>0.16830727697734091</v>
      </c>
      <c r="V34" s="388">
        <f>regDebt_weighted</f>
        <v>3.5860000000000003E-2</v>
      </c>
      <c r="W34" s="388">
        <f ca="1">+U34-V34</f>
        <v>0.13244727697734091</v>
      </c>
      <c r="X34" s="388">
        <f ca="1">+((W34*(1-0.34))-Pfd_weighted)/Equity_percent</f>
        <v>0.23611977559606101</v>
      </c>
      <c r="Y34" s="388">
        <f ca="1">+X34*equityP</f>
        <v>0.14167186535763659</v>
      </c>
      <c r="Z34" s="388">
        <f ca="1">+Y34/(1-taxrate)</f>
        <v>0.17933147513624884</v>
      </c>
      <c r="AA34" s="388">
        <f>debtP*Debt_Rate</f>
        <v>2.0000000000000004E-2</v>
      </c>
      <c r="AB34" s="388">
        <f ca="1">+AA34+Z34</f>
        <v>0.19933147513624883</v>
      </c>
      <c r="AC34" s="388">
        <f ca="1">+AB34/(S34/100)</f>
        <v>8.2404642369036163E-2</v>
      </c>
      <c r="AD34" s="388">
        <f ca="1">1-AC34</f>
        <v>0.91759535763096389</v>
      </c>
      <c r="AE34" s="386">
        <f ca="1">expenses/(AD34)</f>
        <v>521049.28351534752</v>
      </c>
      <c r="AF34" s="387">
        <f ca="1">+AE34-Revenue</f>
        <v>-32697.181006858125</v>
      </c>
      <c r="AG34" s="375">
        <f ca="1">+AF34/$J$49</f>
        <v>-36563.409832025514</v>
      </c>
      <c r="AH34" s="375">
        <f ca="1">+AG34*$J$47</f>
        <v>-826.33306220377665</v>
      </c>
      <c r="AI34" s="386">
        <f ca="1">ROUND(+AH34+AE34,5)</f>
        <v>520222.95045</v>
      </c>
    </row>
    <row r="35" spans="1:46" ht="15.75">
      <c r="A35" s="327"/>
      <c r="B35" s="327"/>
      <c r="C35" s="327"/>
      <c r="D35" s="327"/>
      <c r="E35" s="327"/>
      <c r="F35" s="363">
        <f t="shared" si="0"/>
        <v>29</v>
      </c>
      <c r="G35" s="359"/>
      <c r="H35" s="395" t="s">
        <v>127</v>
      </c>
      <c r="I35" s="361"/>
      <c r="J35" s="360">
        <f ca="1">+K8/K7</f>
        <v>0.91698999999999997</v>
      </c>
      <c r="K35" s="360">
        <f ca="1">+M8/M7</f>
        <v>0.91685962067189364</v>
      </c>
      <c r="L35" s="359"/>
      <c r="M35" s="359"/>
      <c r="N35" s="359"/>
      <c r="O35" s="327"/>
      <c r="P35" s="327"/>
      <c r="R35" s="310" t="s">
        <v>185</v>
      </c>
      <c r="X35" s="314"/>
      <c r="Y35" s="315"/>
      <c r="Z35" s="313"/>
      <c r="AA35" s="314"/>
      <c r="AC35" s="314"/>
      <c r="AD35" s="314"/>
      <c r="AE35" s="313"/>
      <c r="AF35" s="316"/>
      <c r="AH35" s="313"/>
    </row>
    <row r="36" spans="1:46" ht="15.75">
      <c r="A36" s="327"/>
      <c r="B36" s="327"/>
      <c r="C36" s="327"/>
      <c r="D36" s="327"/>
      <c r="E36" s="327"/>
      <c r="F36" s="363">
        <f t="shared" si="0"/>
        <v>30</v>
      </c>
      <c r="G36" s="359"/>
      <c r="H36" s="361" t="s">
        <v>186</v>
      </c>
      <c r="I36" s="361"/>
      <c r="J36" s="360">
        <f ca="1">+K9/K7</f>
        <v>8.301E-2</v>
      </c>
      <c r="K36" s="360">
        <f ca="1">+J36</f>
        <v>8.301E-2</v>
      </c>
      <c r="L36" s="359"/>
      <c r="M36" s="359"/>
      <c r="N36" s="359"/>
      <c r="O36" s="327"/>
      <c r="P36" s="327"/>
      <c r="R36" s="701">
        <v>1</v>
      </c>
      <c r="S36" s="702">
        <f ca="1">AI31/Investment*100</f>
        <v>242.69626215098134</v>
      </c>
      <c r="T36" s="703">
        <f ca="1">EXP(y_inter1-(slope*LN(+S36)))</f>
        <v>7.1564480169679054</v>
      </c>
      <c r="U36" s="704">
        <f ca="1">(+S36*T36/100)/100</f>
        <v>0.17368431839959134</v>
      </c>
      <c r="V36" s="704">
        <f>regDebt_weighted</f>
        <v>3.5860000000000003E-2</v>
      </c>
      <c r="W36" s="704">
        <f ca="1">+U36-V36</f>
        <v>0.13782431839959133</v>
      </c>
      <c r="X36" s="704">
        <f ca="1">+((W36*(1-0.34))-Pfd_weighted)/Equity_percent</f>
        <v>0.24643619227828567</v>
      </c>
      <c r="Y36" s="704">
        <f ca="1">+X36*equityP</f>
        <v>0.1478617153669714</v>
      </c>
      <c r="Z36" s="704">
        <f ca="1">+Y36/(1-taxrate)</f>
        <v>0.18716672831262202</v>
      </c>
      <c r="AA36" s="704">
        <f>debtP*Debt_Rate</f>
        <v>2.0000000000000004E-2</v>
      </c>
      <c r="AB36" s="704">
        <f ca="1">+AA36+Z36</f>
        <v>0.20716672831262201</v>
      </c>
      <c r="AC36" s="704">
        <f ca="1">+AB36/(S36/100)</f>
        <v>8.5360494008656626E-2</v>
      </c>
      <c r="AD36" s="704">
        <f ca="1">1-AC36</f>
        <v>0.91463950599134336</v>
      </c>
      <c r="AE36" s="705">
        <f ca="1">expenses/(AD36)</f>
        <v>522733.16483570734</v>
      </c>
      <c r="AF36" s="706">
        <f ca="1">+AE36-Revenue</f>
        <v>-31013.2996864983</v>
      </c>
      <c r="AG36" s="707">
        <f ca="1">+AF36/$J$49</f>
        <v>-34680.420506068185</v>
      </c>
      <c r="AH36" s="707">
        <f ca="1">+AG36*$J$47</f>
        <v>-783.77750343714104</v>
      </c>
      <c r="AI36" s="705">
        <f ca="1">ROUND(+AH36+AE36,5)</f>
        <v>521949.38733</v>
      </c>
    </row>
    <row r="37" spans="1:46" ht="15.75">
      <c r="A37" s="327"/>
      <c r="B37" s="327"/>
      <c r="C37" s="327"/>
      <c r="D37" s="327"/>
      <c r="E37" s="327"/>
      <c r="F37" s="363">
        <f t="shared" si="0"/>
        <v>31</v>
      </c>
      <c r="G37" s="359"/>
      <c r="H37" s="361" t="s">
        <v>187</v>
      </c>
      <c r="I37" s="366"/>
      <c r="J37" s="394">
        <f ca="1">+S39/100</f>
        <v>2.4189350213342999</v>
      </c>
      <c r="K37" s="394">
        <f ca="1">+J37</f>
        <v>2.4189350213342999</v>
      </c>
      <c r="L37" s="359"/>
      <c r="M37" s="359"/>
      <c r="N37" s="359"/>
      <c r="O37" s="327"/>
      <c r="P37" s="327"/>
      <c r="R37" s="393">
        <v>2</v>
      </c>
      <c r="S37" s="390">
        <f ca="1">AI32/Investment*100</f>
        <v>242.31462892502509</v>
      </c>
      <c r="T37" s="392">
        <f ca="1">EXP(y_inter2-(slope*LN(+S37)))</f>
        <v>7.0622215514356936</v>
      </c>
      <c r="U37" s="388">
        <f ca="1">(+S37*T37/100)/100</f>
        <v>0.17112795946224552</v>
      </c>
      <c r="V37" s="388">
        <f>regDebt_weighted</f>
        <v>3.5860000000000003E-2</v>
      </c>
      <c r="W37" s="388">
        <f ca="1">+U37-V37</f>
        <v>0.13526795946224551</v>
      </c>
      <c r="X37" s="388">
        <f ca="1">+((W37*(1-0.34))-Pfd_weighted)/Equity_percent</f>
        <v>0.24153155013105243</v>
      </c>
      <c r="Y37" s="388">
        <f ca="1">+X37*equityP</f>
        <v>0.14491893007863146</v>
      </c>
      <c r="Z37" s="388">
        <f ca="1">+Y37/(1-taxrate)</f>
        <v>0.18344168364383728</v>
      </c>
      <c r="AA37" s="388">
        <f>debtP*Debt_Rate</f>
        <v>2.0000000000000004E-2</v>
      </c>
      <c r="AB37" s="388">
        <f ca="1">+AA37+Z37</f>
        <v>0.2034416836438373</v>
      </c>
      <c r="AC37" s="388">
        <f ca="1">+AB37/(S37/100)</f>
        <v>8.3957656434677938E-2</v>
      </c>
      <c r="AD37" s="388">
        <f ca="1">1-AC37</f>
        <v>0.9160423435653221</v>
      </c>
      <c r="AE37" s="386">
        <f ca="1">expenses/(AD37)</f>
        <v>521932.64537288179</v>
      </c>
      <c r="AF37" s="387">
        <f ca="1">+AE37-Revenue</f>
        <v>-31813.819149323856</v>
      </c>
      <c r="AG37" s="375">
        <f ca="1">+AF37/$J$49</f>
        <v>-35575.596184719645</v>
      </c>
      <c r="AH37" s="375">
        <f ca="1">+AG37*$J$47</f>
        <v>-804.00847377466403</v>
      </c>
      <c r="AI37" s="386">
        <f ca="1">ROUND(+AH37+AE37,5)</f>
        <v>521128.63689999998</v>
      </c>
    </row>
    <row r="38" spans="1:46" ht="15.75">
      <c r="A38" s="327"/>
      <c r="B38" s="327"/>
      <c r="C38" s="327"/>
      <c r="D38" s="327"/>
      <c r="E38" s="327"/>
      <c r="F38" s="363">
        <f t="shared" si="0"/>
        <v>32</v>
      </c>
      <c r="G38" s="359"/>
      <c r="H38" s="361" t="s">
        <v>188</v>
      </c>
      <c r="I38" s="359"/>
      <c r="J38" s="360">
        <f>+C10</f>
        <v>0.21</v>
      </c>
      <c r="K38" s="360">
        <f>+J38</f>
        <v>0.21</v>
      </c>
      <c r="L38" s="359"/>
      <c r="M38" s="359"/>
      <c r="N38" s="359"/>
      <c r="O38" s="327"/>
      <c r="P38" s="327"/>
      <c r="Q38" s="391"/>
      <c r="R38" s="357">
        <v>3</v>
      </c>
      <c r="S38" s="390">
        <f ca="1">AI33/Investment*100</f>
        <v>242.05774370474131</v>
      </c>
      <c r="T38" s="313">
        <f ca="1">EXP(y_inter3-(slope*LN(S38)))</f>
        <v>6.9986329244799466</v>
      </c>
      <c r="U38" s="388">
        <f ca="1">(+S38*T38/100)/100</f>
        <v>0.16940732947173309</v>
      </c>
      <c r="V38" s="388">
        <f>regDebt_weighted</f>
        <v>3.5860000000000003E-2</v>
      </c>
      <c r="W38" s="388">
        <f ca="1">+U38-V38</f>
        <v>0.13354732947173309</v>
      </c>
      <c r="X38" s="388">
        <f ca="1">+((W38*(1-0.34))-Pfd_weighted)/Equity_percent</f>
        <v>0.23823034142832511</v>
      </c>
      <c r="Y38" s="388">
        <f ca="1">+X38*equityP</f>
        <v>0.14293820485699507</v>
      </c>
      <c r="Z38" s="388">
        <f ca="1">+Y38/(1-taxrate)</f>
        <v>0.18093443652784186</v>
      </c>
      <c r="AA38" s="388">
        <f>debtP*Debt_Rate</f>
        <v>2.0000000000000004E-2</v>
      </c>
      <c r="AB38" s="388">
        <f ca="1">+AA38+Z38</f>
        <v>0.20093443652784188</v>
      </c>
      <c r="AC38" s="388">
        <f ca="1">+AB38/(S38/100)</f>
        <v>8.301095162356753E-2</v>
      </c>
      <c r="AD38" s="388">
        <f ca="1">1-AC38</f>
        <v>0.91698904837643247</v>
      </c>
      <c r="AE38" s="386">
        <f ca="1">expenses/(AD38)</f>
        <v>521393.79908314155</v>
      </c>
      <c r="AF38" s="387">
        <f ca="1">+AE38-Revenue</f>
        <v>-32352.665439064091</v>
      </c>
      <c r="AG38" s="375">
        <f ca="1">+AF38/$J$49</f>
        <v>-36178.157540822671</v>
      </c>
      <c r="AH38" s="375">
        <f ca="1">+AG38*$J$47</f>
        <v>-817.62636042259248</v>
      </c>
      <c r="AI38" s="386">
        <f ca="1">ROUND(+AH38+AE38,5)</f>
        <v>520576.17271999997</v>
      </c>
    </row>
    <row r="39" spans="1:46" ht="15.75">
      <c r="A39" s="327"/>
      <c r="B39" s="327"/>
      <c r="C39" s="327"/>
      <c r="D39" s="327"/>
      <c r="E39" s="327"/>
      <c r="F39" s="363">
        <f t="shared" si="0"/>
        <v>33</v>
      </c>
      <c r="G39" s="359"/>
      <c r="H39" s="359"/>
      <c r="I39" s="359"/>
      <c r="J39" s="359"/>
      <c r="K39" s="359"/>
      <c r="L39" s="359"/>
      <c r="M39" s="359"/>
      <c r="N39" s="359"/>
      <c r="O39" s="327"/>
      <c r="P39" s="327"/>
      <c r="R39" s="371">
        <v>4</v>
      </c>
      <c r="S39" s="390">
        <f ca="1">AI34/Investment*100</f>
        <v>241.89350213342999</v>
      </c>
      <c r="T39" s="389">
        <f ca="1">EXP(y_inter4-(slope*LN(S39)))</f>
        <v>6.9579081516951868</v>
      </c>
      <c r="U39" s="388">
        <f ca="1">(+S39*T39/100)/100</f>
        <v>0.16830727703362897</v>
      </c>
      <c r="V39" s="388">
        <f>regDebt_weighted</f>
        <v>3.5860000000000003E-2</v>
      </c>
      <c r="W39" s="388">
        <f ca="1">+U39-V39</f>
        <v>0.13244727703362896</v>
      </c>
      <c r="X39" s="388">
        <f ca="1">+((W39*(1-0.34))-Pfd_weighted)/Equity_percent</f>
        <v>0.23611977570405554</v>
      </c>
      <c r="Y39" s="388">
        <f ca="1">+X39*equityP</f>
        <v>0.14167186542243332</v>
      </c>
      <c r="Z39" s="388">
        <f ca="1">+Y39/(1-taxrate)</f>
        <v>0.17933147521827</v>
      </c>
      <c r="AA39" s="388">
        <f>debtP*Debt_Rate</f>
        <v>2.0000000000000004E-2</v>
      </c>
      <c r="AB39" s="388">
        <f ca="1">+AA39+Z39</f>
        <v>0.19933147521826999</v>
      </c>
      <c r="AC39" s="388">
        <f ca="1">+AB39/(S39/100)</f>
        <v>8.2404642315822729E-2</v>
      </c>
      <c r="AD39" s="388">
        <f ca="1">1-AC39</f>
        <v>0.91759535768417733</v>
      </c>
      <c r="AE39" s="386">
        <f ca="1">expenses/(AD39)</f>
        <v>521049.2834851307</v>
      </c>
      <c r="AF39" s="387">
        <f ca="1">+AE39-Revenue</f>
        <v>-32697.181037074944</v>
      </c>
      <c r="AG39" s="375">
        <f ca="1">+AF39/$J$49</f>
        <v>-36563.40986581528</v>
      </c>
      <c r="AH39" s="375">
        <f ca="1">+AG39*$J$47</f>
        <v>-826.33306296742535</v>
      </c>
      <c r="AI39" s="386">
        <f ca="1">ROUND(+AH39+AE39,5)</f>
        <v>520222.95042000001</v>
      </c>
    </row>
    <row r="40" spans="1:46" ht="15.75">
      <c r="A40" s="327"/>
      <c r="B40" s="327"/>
      <c r="C40" s="327"/>
      <c r="D40" s="327"/>
      <c r="E40" s="327"/>
      <c r="F40" s="363">
        <f t="shared" si="0"/>
        <v>34</v>
      </c>
      <c r="G40" s="366"/>
      <c r="H40" s="359"/>
      <c r="I40" s="359"/>
      <c r="J40" s="359"/>
      <c r="K40" s="359"/>
      <c r="L40" s="359"/>
      <c r="M40" s="359"/>
      <c r="N40" s="359"/>
      <c r="O40" s="327"/>
      <c r="P40" s="327"/>
      <c r="X40" s="314"/>
      <c r="Y40" s="315"/>
      <c r="Z40" s="313"/>
      <c r="AA40" s="314"/>
      <c r="AC40" s="314"/>
      <c r="AD40" s="314"/>
      <c r="AE40" s="313"/>
      <c r="AF40" s="316"/>
      <c r="AH40" s="313"/>
    </row>
    <row r="41" spans="1:46" ht="15.75">
      <c r="A41" s="327"/>
      <c r="B41" s="327"/>
      <c r="C41" s="327"/>
      <c r="D41" s="327"/>
      <c r="E41" s="327"/>
      <c r="F41" s="363">
        <f t="shared" si="0"/>
        <v>35</v>
      </c>
      <c r="G41" s="359"/>
      <c r="H41" s="385" t="s">
        <v>189</v>
      </c>
      <c r="I41" s="384"/>
      <c r="J41" s="359"/>
      <c r="K41" s="359"/>
      <c r="L41" s="359"/>
      <c r="M41" s="359"/>
      <c r="N41" s="359"/>
      <c r="O41" s="327"/>
      <c r="P41" s="327"/>
      <c r="R41" s="711" t="s">
        <v>190</v>
      </c>
      <c r="S41" s="712"/>
      <c r="T41" s="709"/>
      <c r="U41" s="709"/>
      <c r="V41" s="710"/>
      <c r="X41" s="383"/>
      <c r="Y41" s="315"/>
      <c r="Z41" s="313"/>
      <c r="AA41" s="314"/>
      <c r="AC41" s="314"/>
      <c r="AD41" s="314"/>
      <c r="AE41" s="313"/>
      <c r="AF41" s="316"/>
      <c r="AH41" s="313"/>
    </row>
    <row r="42" spans="1:46" ht="15.75">
      <c r="A42" s="327"/>
      <c r="B42" s="327"/>
      <c r="C42" s="327"/>
      <c r="D42" s="327"/>
      <c r="E42" s="327"/>
      <c r="F42" s="363">
        <f t="shared" si="0"/>
        <v>36</v>
      </c>
      <c r="G42" s="359"/>
      <c r="H42" s="359"/>
      <c r="I42" s="359"/>
      <c r="J42" s="382" t="s">
        <v>28</v>
      </c>
      <c r="K42" s="381" t="s">
        <v>128</v>
      </c>
      <c r="L42" s="359"/>
      <c r="M42" s="359"/>
      <c r="N42" s="359"/>
      <c r="O42" s="327"/>
      <c r="P42" s="327"/>
      <c r="R42" s="380" t="s">
        <v>191</v>
      </c>
      <c r="S42" s="379"/>
      <c r="V42" s="356"/>
      <c r="X42" s="314"/>
      <c r="Y42" s="315"/>
      <c r="Z42" s="313"/>
      <c r="AA42" s="314"/>
      <c r="AC42" s="314"/>
      <c r="AD42" s="314"/>
      <c r="AE42" s="313"/>
      <c r="AH42" s="313"/>
    </row>
    <row r="43" spans="1:46" ht="15.75">
      <c r="A43" s="327"/>
      <c r="B43" s="327"/>
      <c r="C43" s="327"/>
      <c r="D43" s="327"/>
      <c r="E43" s="327"/>
      <c r="F43" s="363">
        <f t="shared" si="0"/>
        <v>37</v>
      </c>
      <c r="G43" s="359"/>
      <c r="H43" s="361" t="s">
        <v>192</v>
      </c>
      <c r="I43" s="373"/>
      <c r="J43" s="365">
        <f>IF($A$65=TRUE,C11,0)</f>
        <v>1.7500000000000002E-2</v>
      </c>
      <c r="K43" s="372">
        <f ca="1">+J43*($J$7/$J$49)</f>
        <v>-633.12834562135981</v>
      </c>
      <c r="L43" s="359"/>
      <c r="M43" s="359"/>
      <c r="N43" s="359"/>
      <c r="O43" s="327"/>
      <c r="P43" s="327"/>
      <c r="R43" s="357">
        <v>0</v>
      </c>
      <c r="S43" s="377">
        <v>1</v>
      </c>
      <c r="U43" s="378" t="s">
        <v>186</v>
      </c>
      <c r="V43" s="323">
        <f ca="1">VLOOKUP(R49,R36:AE39,12)</f>
        <v>8.301095162356753E-2</v>
      </c>
      <c r="AA43" s="314"/>
      <c r="AC43" s="314"/>
      <c r="AH43" s="313"/>
      <c r="AL43" s="314"/>
      <c r="AM43" s="314"/>
      <c r="AN43" s="314"/>
      <c r="AO43" s="314"/>
      <c r="AP43" s="314"/>
      <c r="AQ43" s="314"/>
      <c r="AR43" s="314"/>
      <c r="AS43" s="314"/>
      <c r="AT43" s="314"/>
    </row>
    <row r="44" spans="1:46" ht="15.75">
      <c r="A44" s="327"/>
      <c r="B44" s="327"/>
      <c r="C44" s="327"/>
      <c r="D44" s="327"/>
      <c r="E44" s="327"/>
      <c r="F44" s="363">
        <f t="shared" si="0"/>
        <v>38</v>
      </c>
      <c r="G44" s="359"/>
      <c r="H44" s="361" t="s">
        <v>193</v>
      </c>
      <c r="I44" s="373"/>
      <c r="J44" s="365">
        <f>IF($A$65=TRUE,C12,0)</f>
        <v>5.1000000000000004E-3</v>
      </c>
      <c r="K44" s="372">
        <f ca="1">+J44*($J$7/$J$49)</f>
        <v>-184.51168929536769</v>
      </c>
      <c r="L44" s="359"/>
      <c r="M44" s="359"/>
      <c r="N44" s="359"/>
      <c r="O44" s="327"/>
      <c r="P44" s="327"/>
      <c r="R44" s="357">
        <v>50</v>
      </c>
      <c r="S44" s="377">
        <v>2</v>
      </c>
      <c r="U44" s="378" t="s">
        <v>127</v>
      </c>
      <c r="V44" s="323">
        <f ca="1">ROUND(1-V43,5)</f>
        <v>0.91698999999999997</v>
      </c>
      <c r="Y44" s="374"/>
      <c r="Z44" s="310"/>
      <c r="AA44" s="310"/>
      <c r="AC44" s="314"/>
      <c r="AF44" s="316"/>
      <c r="AH44" s="313"/>
      <c r="AL44" s="314"/>
      <c r="AM44" s="314"/>
      <c r="AN44" s="314"/>
      <c r="AO44" s="314"/>
      <c r="AP44" s="314"/>
      <c r="AQ44" s="314"/>
      <c r="AR44" s="314"/>
      <c r="AS44" s="314"/>
      <c r="AT44" s="314"/>
    </row>
    <row r="45" spans="1:46" ht="15.75">
      <c r="A45" s="327"/>
      <c r="B45" s="327"/>
      <c r="C45" s="327"/>
      <c r="D45" s="327"/>
      <c r="E45" s="327"/>
      <c r="F45" s="363">
        <f t="shared" si="0"/>
        <v>39</v>
      </c>
      <c r="G45" s="359"/>
      <c r="H45" s="361" t="s">
        <v>194</v>
      </c>
      <c r="I45" s="373"/>
      <c r="J45" s="365">
        <f>IF($A$65=TRUE,C13,0)</f>
        <v>0</v>
      </c>
      <c r="K45" s="372">
        <f ca="1">+J45*($J$7/$J$49)</f>
        <v>0</v>
      </c>
      <c r="L45" s="359"/>
      <c r="M45" s="359"/>
      <c r="N45" s="359"/>
      <c r="O45" s="327"/>
      <c r="P45" s="327"/>
      <c r="R45" s="357">
        <v>125</v>
      </c>
      <c r="S45" s="377">
        <v>3</v>
      </c>
      <c r="U45" s="309" t="s">
        <v>195</v>
      </c>
      <c r="V45" s="376">
        <f ca="1">+M7/Revenue-1</f>
        <v>-5.990258843240448E-2</v>
      </c>
      <c r="W45" s="375"/>
      <c r="X45" s="314"/>
      <c r="Y45" s="374"/>
      <c r="Z45" s="313"/>
      <c r="AA45" s="314"/>
      <c r="AC45" s="314"/>
      <c r="AD45" s="314"/>
      <c r="AE45" s="313"/>
      <c r="AF45" s="316"/>
      <c r="AH45" s="313"/>
      <c r="AL45" s="314"/>
      <c r="AM45" s="314"/>
      <c r="AN45" s="314"/>
      <c r="AO45" s="314"/>
      <c r="AP45" s="314"/>
      <c r="AQ45" s="314"/>
      <c r="AR45" s="314"/>
      <c r="AS45" s="314"/>
      <c r="AT45" s="314"/>
    </row>
    <row r="46" spans="1:46" ht="15.75">
      <c r="A46" s="327"/>
      <c r="B46" s="327"/>
      <c r="C46" s="327"/>
      <c r="D46" s="327"/>
      <c r="E46" s="327"/>
      <c r="F46" s="363">
        <f t="shared" si="0"/>
        <v>40</v>
      </c>
      <c r="G46" s="359"/>
      <c r="H46" s="361" t="s">
        <v>196</v>
      </c>
      <c r="I46" s="373"/>
      <c r="J46" s="365">
        <f>IF($A$65=TRUE,C14,0)</f>
        <v>0</v>
      </c>
      <c r="K46" s="372">
        <f ca="1">+J46*($J$7/$J$49)</f>
        <v>0</v>
      </c>
      <c r="L46" s="359"/>
      <c r="M46" s="359"/>
      <c r="N46" s="359"/>
      <c r="O46" s="327"/>
      <c r="P46" s="327"/>
      <c r="R46" s="371">
        <v>401</v>
      </c>
      <c r="S46" s="370">
        <v>4</v>
      </c>
      <c r="T46" s="352"/>
      <c r="U46" s="352"/>
      <c r="V46" s="369"/>
      <c r="X46" s="314"/>
      <c r="Y46" s="315"/>
      <c r="Z46" s="313"/>
      <c r="AA46" s="314"/>
      <c r="AC46" s="314"/>
      <c r="AD46" s="314"/>
      <c r="AE46" s="313"/>
      <c r="AF46" s="316"/>
      <c r="AH46" s="313"/>
      <c r="AL46" s="314"/>
      <c r="AM46" s="314"/>
      <c r="AN46" s="314"/>
      <c r="AO46" s="314"/>
      <c r="AP46" s="314"/>
      <c r="AQ46" s="314"/>
      <c r="AR46" s="314"/>
      <c r="AS46" s="314"/>
      <c r="AT46" s="314"/>
    </row>
    <row r="47" spans="1:46" ht="16.5" thickBot="1">
      <c r="A47" s="327"/>
      <c r="B47" s="327"/>
      <c r="C47" s="327"/>
      <c r="D47" s="327"/>
      <c r="E47" s="327"/>
      <c r="F47" s="363">
        <f t="shared" si="0"/>
        <v>41</v>
      </c>
      <c r="G47" s="359"/>
      <c r="H47" s="361" t="s">
        <v>197</v>
      </c>
      <c r="I47" s="366"/>
      <c r="J47" s="368">
        <f>SUM(J43:J46)</f>
        <v>2.2600000000000002E-2</v>
      </c>
      <c r="K47" s="367">
        <f ca="1">+K43+K44+K45+K46</f>
        <v>-817.64003491672747</v>
      </c>
      <c r="L47" s="359"/>
      <c r="M47" s="359"/>
      <c r="N47" s="359"/>
      <c r="O47" s="327"/>
      <c r="P47" s="327"/>
      <c r="R47" s="357"/>
      <c r="S47" s="310"/>
      <c r="X47" s="314"/>
      <c r="Y47" s="315"/>
      <c r="Z47" s="313"/>
      <c r="AA47" s="314"/>
      <c r="AC47" s="314"/>
      <c r="AD47" s="314"/>
      <c r="AE47" s="313"/>
      <c r="AF47" s="316"/>
      <c r="AH47" s="313"/>
      <c r="AL47" s="314"/>
      <c r="AM47" s="314"/>
      <c r="AN47" s="314"/>
      <c r="AO47" s="314"/>
      <c r="AP47" s="314"/>
      <c r="AQ47" s="314"/>
      <c r="AR47" s="314"/>
      <c r="AS47" s="314"/>
      <c r="AT47" s="314"/>
    </row>
    <row r="48" spans="1:46" ht="16.5" thickTop="1">
      <c r="A48" s="327"/>
      <c r="B48" s="327"/>
      <c r="C48" s="327"/>
      <c r="D48" s="327"/>
      <c r="E48" s="327"/>
      <c r="F48" s="363">
        <f t="shared" si="0"/>
        <v>42</v>
      </c>
      <c r="G48" s="359"/>
      <c r="H48" s="361"/>
      <c r="I48" s="366"/>
      <c r="J48" s="365"/>
      <c r="K48" s="364"/>
      <c r="L48" s="359"/>
      <c r="M48" s="359"/>
      <c r="N48" s="359"/>
      <c r="O48" s="327"/>
      <c r="P48" s="327"/>
      <c r="R48" s="713">
        <f ca="1">VLOOKUP(R49,R36:S39,2)</f>
        <v>242.05774370474131</v>
      </c>
      <c r="S48" s="714" t="s">
        <v>198</v>
      </c>
      <c r="T48" s="710"/>
      <c r="V48" s="709"/>
      <c r="X48" s="309" t="s">
        <v>199</v>
      </c>
      <c r="AC48" s="314"/>
      <c r="AF48" s="316"/>
      <c r="AH48" s="313"/>
    </row>
    <row r="49" spans="1:46" ht="15.75">
      <c r="A49" s="327"/>
      <c r="B49" s="327"/>
      <c r="C49" s="327"/>
      <c r="D49" s="327"/>
      <c r="E49" s="327"/>
      <c r="F49" s="363">
        <f t="shared" si="0"/>
        <v>43</v>
      </c>
      <c r="G49" s="362"/>
      <c r="H49" s="361" t="s">
        <v>200</v>
      </c>
      <c r="I49" s="359"/>
      <c r="J49" s="360">
        <f ca="1">((K35)-J47)</f>
        <v>0.89425962067189368</v>
      </c>
      <c r="K49" s="359"/>
      <c r="L49" s="359"/>
      <c r="M49" s="359"/>
      <c r="N49" s="359"/>
      <c r="O49" s="327"/>
      <c r="P49" s="327"/>
      <c r="R49" s="357">
        <f ca="1">VLOOKUP(S36,R43:S46,2)</f>
        <v>3</v>
      </c>
      <c r="S49" s="358" t="s">
        <v>201</v>
      </c>
      <c r="T49" s="356"/>
      <c r="X49" s="309" t="s">
        <v>202</v>
      </c>
      <c r="AA49" s="310"/>
      <c r="AC49" s="314"/>
      <c r="AH49" s="313"/>
    </row>
    <row r="50" spans="1:46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55"/>
      <c r="L50" s="327"/>
      <c r="M50" s="327"/>
      <c r="N50" s="354"/>
      <c r="O50" s="327"/>
      <c r="P50" s="327"/>
      <c r="R50" s="357"/>
      <c r="T50" s="356"/>
      <c r="X50" s="309" t="s">
        <v>203</v>
      </c>
      <c r="AA50" s="314"/>
      <c r="AC50" s="314"/>
      <c r="AD50" s="314"/>
      <c r="AE50" s="313"/>
      <c r="AH50" s="313"/>
    </row>
    <row r="51" spans="1:46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55"/>
      <c r="L51" s="327"/>
      <c r="M51" s="327"/>
      <c r="N51" s="354"/>
      <c r="O51" s="327"/>
      <c r="P51" s="327"/>
      <c r="R51" s="353">
        <f ca="1">+V44</f>
        <v>0.91698999999999997</v>
      </c>
      <c r="S51" s="352" t="s">
        <v>127</v>
      </c>
      <c r="T51" s="351"/>
      <c r="X51" s="309" t="s">
        <v>204</v>
      </c>
      <c r="AA51" s="314"/>
      <c r="AC51" s="314"/>
      <c r="AD51" s="314"/>
      <c r="AE51" s="313"/>
      <c r="AF51" s="314"/>
      <c r="AH51" s="313"/>
      <c r="AL51" s="314"/>
      <c r="AM51" s="314"/>
      <c r="AN51" s="314"/>
      <c r="AO51" s="314"/>
      <c r="AP51" s="314"/>
      <c r="AQ51" s="314"/>
      <c r="AR51" s="314"/>
      <c r="AS51" s="314"/>
      <c r="AT51" s="314"/>
    </row>
    <row r="52" spans="1:46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Z52" s="313"/>
      <c r="AA52" s="314"/>
      <c r="AC52" s="314"/>
      <c r="AD52" s="314"/>
      <c r="AE52" s="313"/>
      <c r="AF52" s="316"/>
      <c r="AH52" s="313"/>
      <c r="AL52" s="314"/>
      <c r="AM52" s="314"/>
      <c r="AN52" s="314"/>
      <c r="AO52" s="314"/>
      <c r="AP52" s="314"/>
      <c r="AQ52" s="314"/>
      <c r="AR52" s="314"/>
      <c r="AS52" s="314"/>
      <c r="AT52" s="314"/>
    </row>
    <row r="53" spans="1:46">
      <c r="A53" s="327"/>
      <c r="B53" s="327"/>
      <c r="C53" s="327"/>
      <c r="D53" s="327"/>
      <c r="E53" s="327"/>
      <c r="F53" s="327"/>
      <c r="G53" s="327"/>
      <c r="H53" s="327"/>
      <c r="I53" s="327"/>
      <c r="J53" s="330"/>
      <c r="K53" s="330"/>
      <c r="L53" s="330"/>
      <c r="M53" s="330"/>
      <c r="N53" s="327"/>
      <c r="O53" s="327"/>
      <c r="P53" s="327"/>
      <c r="R53" s="309"/>
      <c r="Z53" s="313"/>
      <c r="AA53" s="314"/>
      <c r="AC53" s="314"/>
      <c r="AD53" s="314"/>
      <c r="AE53" s="313"/>
      <c r="AF53" s="316"/>
      <c r="AH53" s="313"/>
      <c r="AL53" s="314"/>
      <c r="AM53" s="314"/>
      <c r="AN53" s="314"/>
      <c r="AO53" s="314"/>
      <c r="AP53" s="314"/>
      <c r="AQ53" s="314"/>
      <c r="AR53" s="314"/>
      <c r="AS53" s="314"/>
      <c r="AT53" s="314"/>
    </row>
    <row r="54" spans="1:46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30"/>
      <c r="L54" s="330"/>
      <c r="M54" s="330"/>
      <c r="N54" s="327"/>
      <c r="O54" s="327"/>
      <c r="P54" s="327"/>
      <c r="R54" s="309"/>
      <c r="S54" s="309" t="s">
        <v>205</v>
      </c>
      <c r="T54" s="314"/>
      <c r="U54" s="350"/>
      <c r="W54" s="349" t="s">
        <v>206</v>
      </c>
      <c r="X54" s="348"/>
      <c r="Y54" s="348"/>
      <c r="Z54" s="348"/>
      <c r="AC54" s="314"/>
      <c r="AF54" s="316"/>
      <c r="AH54" s="313"/>
      <c r="AL54" s="314"/>
      <c r="AM54" s="314"/>
      <c r="AN54" s="314"/>
      <c r="AO54" s="314"/>
      <c r="AP54" s="314"/>
      <c r="AQ54" s="314"/>
      <c r="AR54" s="314"/>
      <c r="AS54" s="314"/>
      <c r="AT54" s="314"/>
    </row>
    <row r="55" spans="1:46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39"/>
      <c r="M55" s="339"/>
      <c r="N55" s="327"/>
      <c r="O55" s="327"/>
      <c r="P55" s="327"/>
      <c r="R55" s="715"/>
      <c r="S55" s="716" t="s">
        <v>23</v>
      </c>
      <c r="T55" s="716" t="s">
        <v>207</v>
      </c>
      <c r="U55" s="717" t="s">
        <v>176</v>
      </c>
      <c r="W55" s="718" t="s">
        <v>208</v>
      </c>
      <c r="X55" s="719">
        <v>5.7225999999999999</v>
      </c>
      <c r="Y55" s="720" t="s">
        <v>209</v>
      </c>
      <c r="Z55" s="721">
        <v>5.6985000000000001</v>
      </c>
      <c r="AA55" s="310"/>
      <c r="AC55" s="314"/>
      <c r="AH55" s="313"/>
    </row>
    <row r="56" spans="1:46">
      <c r="A56" s="327"/>
      <c r="B56" s="327"/>
      <c r="C56" s="327"/>
      <c r="D56" s="327"/>
      <c r="E56" s="327"/>
      <c r="F56" s="327"/>
      <c r="G56" s="327"/>
      <c r="H56" s="327"/>
      <c r="I56" s="327"/>
      <c r="J56" s="339"/>
      <c r="K56" s="327"/>
      <c r="L56" s="339"/>
      <c r="M56" s="339"/>
      <c r="N56" s="327"/>
      <c r="O56" s="327"/>
      <c r="P56" s="327"/>
      <c r="R56" s="311" t="s">
        <v>125</v>
      </c>
      <c r="S56" s="343">
        <v>0.56200000000000006</v>
      </c>
      <c r="T56" s="343">
        <v>6.3799999999999996E-2</v>
      </c>
      <c r="U56" s="323">
        <f>ROUND(+S56*T56,5)</f>
        <v>3.5860000000000003E-2</v>
      </c>
      <c r="W56" s="347" t="s">
        <v>210</v>
      </c>
      <c r="X56" s="346">
        <v>5.7082699999999997</v>
      </c>
      <c r="Y56" s="345" t="s">
        <v>211</v>
      </c>
      <c r="Z56" s="344">
        <v>5.6921999999999997</v>
      </c>
      <c r="AA56" s="314"/>
      <c r="AC56" s="314"/>
      <c r="AD56" s="314"/>
      <c r="AE56" s="313"/>
      <c r="AH56" s="313"/>
    </row>
    <row r="57" spans="1:46">
      <c r="A57" s="327"/>
      <c r="B57" s="327"/>
      <c r="C57" s="327"/>
      <c r="D57" s="327"/>
      <c r="E57" s="330"/>
      <c r="F57" s="327"/>
      <c r="G57" s="327"/>
      <c r="H57" s="327"/>
      <c r="I57" s="327"/>
      <c r="J57" s="339"/>
      <c r="K57" s="327"/>
      <c r="L57" s="339"/>
      <c r="M57" s="339"/>
      <c r="N57" s="327"/>
      <c r="O57" s="327"/>
      <c r="P57" s="327"/>
      <c r="R57" s="311" t="s">
        <v>212</v>
      </c>
      <c r="S57" s="343">
        <v>9.4E-2</v>
      </c>
      <c r="T57" s="343">
        <v>6.59E-2</v>
      </c>
      <c r="U57" s="323">
        <f>ROUND(+S57*T57,5)</f>
        <v>6.1900000000000002E-3</v>
      </c>
      <c r="W57" s="311"/>
      <c r="Y57" s="342"/>
      <c r="Z57" s="341"/>
      <c r="AA57" s="314"/>
      <c r="AC57" s="314"/>
      <c r="AD57" s="314"/>
      <c r="AE57" s="313"/>
      <c r="AF57" s="316"/>
      <c r="AH57" s="313"/>
      <c r="AL57" s="314"/>
    </row>
    <row r="58" spans="1:46" ht="15.75">
      <c r="A58" s="327"/>
      <c r="B58" s="327"/>
      <c r="C58" s="327"/>
      <c r="D58" s="327"/>
      <c r="E58" s="330"/>
      <c r="F58" s="330"/>
      <c r="G58" s="330"/>
      <c r="H58" s="340"/>
      <c r="I58" s="330"/>
      <c r="J58" s="339"/>
      <c r="K58" s="327"/>
      <c r="L58" s="327"/>
      <c r="M58" s="327"/>
      <c r="N58" s="327"/>
      <c r="O58" s="327"/>
      <c r="P58" s="327"/>
      <c r="R58" s="311" t="s">
        <v>123</v>
      </c>
      <c r="S58" s="334">
        <v>0.34399999999999997</v>
      </c>
      <c r="T58" s="322"/>
      <c r="U58" s="338"/>
      <c r="W58" s="320"/>
      <c r="X58" s="337" t="s">
        <v>213</v>
      </c>
      <c r="Y58" s="336">
        <v>0.68367</v>
      </c>
      <c r="Z58" s="335"/>
      <c r="AA58" s="314"/>
      <c r="AC58" s="314"/>
      <c r="AD58" s="314"/>
      <c r="AE58" s="313"/>
      <c r="AF58" s="316"/>
      <c r="AH58" s="313"/>
    </row>
    <row r="59" spans="1:46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R59" s="320"/>
      <c r="S59" s="334">
        <f>SUM(S56:S58)</f>
        <v>1</v>
      </c>
      <c r="T59" s="333"/>
      <c r="U59" s="332"/>
      <c r="X59" s="314"/>
      <c r="Y59" s="315"/>
      <c r="Z59" s="313"/>
      <c r="AA59" s="314"/>
      <c r="AC59" s="314"/>
      <c r="AD59" s="314"/>
      <c r="AE59" s="313"/>
      <c r="AF59" s="316"/>
      <c r="AH59" s="313"/>
    </row>
    <row r="60" spans="1:46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X60" s="331"/>
      <c r="AC60" s="314"/>
      <c r="AF60" s="316"/>
      <c r="AH60" s="313"/>
      <c r="AL60" s="316"/>
      <c r="AM60" s="316"/>
      <c r="AN60" s="316"/>
      <c r="AO60" s="316"/>
      <c r="AP60" s="316"/>
      <c r="AQ60" s="316"/>
      <c r="AR60" s="316"/>
      <c r="AS60" s="316"/>
      <c r="AT60" s="316"/>
    </row>
    <row r="61" spans="1:46">
      <c r="A61" s="327"/>
      <c r="B61" s="327"/>
      <c r="C61" s="327"/>
      <c r="D61" s="327"/>
      <c r="E61" s="330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W61" s="715" t="s">
        <v>181</v>
      </c>
      <c r="X61" s="722"/>
      <c r="Y61" s="709" t="s">
        <v>214</v>
      </c>
      <c r="Z61" s="710" t="s">
        <v>106</v>
      </c>
      <c r="AC61" s="314"/>
      <c r="AH61" s="313"/>
      <c r="AL61" s="316"/>
      <c r="AM61" s="316"/>
      <c r="AN61" s="316"/>
      <c r="AO61" s="316"/>
      <c r="AP61" s="316"/>
      <c r="AQ61" s="316"/>
      <c r="AR61" s="316"/>
      <c r="AS61" s="316"/>
      <c r="AT61" s="316"/>
    </row>
    <row r="62" spans="1:46">
      <c r="A62" s="327"/>
      <c r="B62" s="327"/>
      <c r="C62" s="327"/>
      <c r="D62" s="327"/>
      <c r="E62" s="327"/>
      <c r="F62" s="330"/>
      <c r="G62" s="330"/>
      <c r="H62" s="330"/>
      <c r="I62" s="330"/>
      <c r="J62" s="330"/>
      <c r="K62" s="330"/>
      <c r="L62" s="330"/>
      <c r="M62" s="330"/>
      <c r="N62" s="330"/>
      <c r="O62" s="327"/>
      <c r="P62" s="327"/>
      <c r="W62" s="329"/>
      <c r="X62" s="326"/>
      <c r="Y62" s="326"/>
      <c r="Z62" s="328"/>
      <c r="AC62" s="314"/>
      <c r="AD62" s="314"/>
      <c r="AE62" s="313"/>
      <c r="AH62" s="313"/>
      <c r="AL62" s="316"/>
      <c r="AM62" s="316"/>
      <c r="AN62" s="316"/>
      <c r="AO62" s="316"/>
      <c r="AP62" s="316"/>
      <c r="AQ62" s="316"/>
      <c r="AR62" s="316"/>
      <c r="AS62" s="316"/>
      <c r="AT62" s="316"/>
    </row>
    <row r="63" spans="1:46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W63" s="311" t="s">
        <v>183</v>
      </c>
      <c r="X63" s="326"/>
      <c r="Y63" s="323">
        <f t="shared" ref="Y63:Z68" ca="1" si="1">+J33</f>
        <v>0.20124751174671807</v>
      </c>
      <c r="Z63" s="323">
        <f t="shared" ca="1" si="1"/>
        <v>0.16318553427990728</v>
      </c>
      <c r="AC63" s="314"/>
      <c r="AD63" s="314"/>
      <c r="AE63" s="313"/>
      <c r="AF63" s="316"/>
      <c r="AH63" s="313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4" spans="1:46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W64" s="311" t="s">
        <v>184</v>
      </c>
      <c r="X64" s="326"/>
      <c r="Y64" s="323">
        <f t="shared" ca="1" si="1"/>
        <v>0.30207918624453012</v>
      </c>
      <c r="Z64" s="323">
        <f t="shared" ca="1" si="1"/>
        <v>0.23864255713317881</v>
      </c>
      <c r="AC64" s="314"/>
      <c r="AD64" s="314"/>
      <c r="AE64" s="313"/>
      <c r="AF64" s="316"/>
      <c r="AH64" s="313"/>
    </row>
    <row r="65" spans="1:38">
      <c r="A65" s="309" t="b">
        <v>1</v>
      </c>
      <c r="F65" s="327"/>
      <c r="G65" s="327"/>
      <c r="H65" s="327"/>
      <c r="I65" s="327"/>
      <c r="J65" s="327"/>
      <c r="K65" s="327"/>
      <c r="L65" s="327"/>
      <c r="M65" s="327"/>
      <c r="N65" s="327"/>
      <c r="W65" s="311" t="s">
        <v>127</v>
      </c>
      <c r="X65" s="326"/>
      <c r="Y65" s="323">
        <f t="shared" ca="1" si="1"/>
        <v>0.91698999999999997</v>
      </c>
      <c r="Z65" s="323">
        <f t="shared" ca="1" si="1"/>
        <v>0.91685962067189364</v>
      </c>
      <c r="AC65" s="314"/>
      <c r="AD65" s="314"/>
      <c r="AE65" s="313"/>
      <c r="AF65" s="316"/>
      <c r="AH65" s="313"/>
    </row>
    <row r="66" spans="1:38">
      <c r="H66" s="316"/>
      <c r="I66" s="316"/>
      <c r="J66" s="316"/>
      <c r="K66" s="316"/>
      <c r="L66" s="316"/>
      <c r="M66" s="316"/>
      <c r="N66" s="316"/>
      <c r="O66" s="316"/>
      <c r="W66" s="311" t="s">
        <v>186</v>
      </c>
      <c r="X66" s="326"/>
      <c r="Y66" s="323">
        <f t="shared" ca="1" si="1"/>
        <v>8.301E-2</v>
      </c>
      <c r="Z66" s="323">
        <f t="shared" ca="1" si="1"/>
        <v>8.301E-2</v>
      </c>
      <c r="AC66" s="314"/>
      <c r="AF66" s="316"/>
      <c r="AH66" s="313"/>
      <c r="AL66" s="316"/>
    </row>
    <row r="67" spans="1:38">
      <c r="H67" s="316"/>
      <c r="I67" s="316"/>
      <c r="J67" s="316"/>
      <c r="K67" s="316"/>
      <c r="L67" s="316"/>
      <c r="M67" s="316"/>
      <c r="N67" s="316"/>
      <c r="O67" s="316"/>
      <c r="W67" s="311" t="s">
        <v>187</v>
      </c>
      <c r="X67" s="325"/>
      <c r="Y67" s="323">
        <f t="shared" ca="1" si="1"/>
        <v>2.4189350213342999</v>
      </c>
      <c r="Z67" s="323">
        <f t="shared" ca="1" si="1"/>
        <v>2.4189350213342999</v>
      </c>
      <c r="AC67" s="314"/>
      <c r="AH67" s="313"/>
    </row>
    <row r="68" spans="1:38">
      <c r="O68" s="316"/>
      <c r="W68" s="311" t="s">
        <v>188</v>
      </c>
      <c r="X68" s="324"/>
      <c r="Y68" s="323">
        <f t="shared" si="1"/>
        <v>0.21</v>
      </c>
      <c r="Z68" s="323">
        <f t="shared" si="1"/>
        <v>0.21</v>
      </c>
      <c r="AC68" s="314"/>
      <c r="AD68" s="314"/>
      <c r="AE68" s="313"/>
      <c r="AH68" s="313"/>
    </row>
    <row r="69" spans="1:38" ht="15.75">
      <c r="O69" s="316"/>
      <c r="W69" s="311"/>
      <c r="Y69" s="322"/>
      <c r="Z69" s="321"/>
      <c r="AC69" s="314"/>
      <c r="AD69" s="314"/>
      <c r="AE69" s="313"/>
      <c r="AF69" s="316"/>
      <c r="AH69" s="313"/>
    </row>
    <row r="70" spans="1:38">
      <c r="O70" s="316"/>
      <c r="W70" s="320"/>
      <c r="X70" s="319"/>
      <c r="Y70" s="318"/>
      <c r="Z70" s="317"/>
      <c r="AA70" s="314"/>
      <c r="AC70" s="314"/>
      <c r="AD70" s="314"/>
      <c r="AE70" s="313"/>
      <c r="AF70" s="316"/>
      <c r="AH70" s="313"/>
    </row>
    <row r="71" spans="1:38">
      <c r="X71" s="314"/>
      <c r="Y71" s="315"/>
      <c r="Z71" s="313"/>
      <c r="AA71" s="314"/>
      <c r="AC71" s="314"/>
      <c r="AD71" s="314"/>
      <c r="AE71" s="313"/>
      <c r="AF71" s="316"/>
      <c r="AH71" s="313"/>
    </row>
    <row r="72" spans="1:38">
      <c r="AC72" s="314"/>
      <c r="AF72" s="316"/>
      <c r="AH72" s="313"/>
    </row>
    <row r="73" spans="1:38">
      <c r="Y73" s="310"/>
      <c r="Z73" s="310"/>
      <c r="AA73" s="310"/>
      <c r="AC73" s="314"/>
      <c r="AH73" s="313"/>
    </row>
    <row r="74" spans="1:38">
      <c r="X74" s="314"/>
      <c r="Y74" s="315"/>
      <c r="Z74" s="313"/>
      <c r="AA74" s="314"/>
      <c r="AC74" s="314"/>
      <c r="AD74" s="314"/>
      <c r="AE74" s="313"/>
      <c r="AH74" s="313"/>
    </row>
    <row r="75" spans="1:38">
      <c r="X75" s="314"/>
      <c r="Y75" s="315"/>
      <c r="Z75" s="313"/>
      <c r="AA75" s="314"/>
      <c r="AC75" s="314"/>
      <c r="AD75" s="314"/>
      <c r="AE75" s="313"/>
      <c r="AF75" s="316"/>
      <c r="AH75" s="313"/>
    </row>
    <row r="76" spans="1:38">
      <c r="X76" s="314"/>
      <c r="Y76" s="315"/>
      <c r="Z76" s="313"/>
      <c r="AA76" s="314"/>
      <c r="AC76" s="314"/>
      <c r="AD76" s="314"/>
      <c r="AE76" s="313"/>
      <c r="AF76" s="316"/>
      <c r="AH76" s="313"/>
    </row>
    <row r="77" spans="1:38">
      <c r="X77" s="314"/>
      <c r="Y77" s="315"/>
      <c r="Z77" s="313"/>
      <c r="AA77" s="314"/>
      <c r="AC77" s="314"/>
      <c r="AD77" s="314"/>
      <c r="AE77" s="313"/>
      <c r="AF77" s="316"/>
      <c r="AH77" s="313"/>
    </row>
    <row r="78" spans="1:38">
      <c r="AC78" s="314"/>
      <c r="AF78" s="316"/>
      <c r="AH78" s="313"/>
    </row>
    <row r="80" spans="1:38">
      <c r="X80" s="314"/>
      <c r="Y80" s="315"/>
      <c r="Z80" s="313"/>
      <c r="AA80" s="314"/>
      <c r="AD80" s="314"/>
      <c r="AE80" s="313"/>
    </row>
    <row r="81" spans="24:32">
      <c r="X81" s="314"/>
      <c r="Y81" s="315"/>
      <c r="Z81" s="313"/>
      <c r="AA81" s="314"/>
      <c r="AD81" s="314"/>
      <c r="AE81" s="313"/>
      <c r="AF81" s="316"/>
    </row>
    <row r="82" spans="24:32">
      <c r="X82" s="314"/>
      <c r="Y82" s="315"/>
      <c r="Z82" s="313"/>
      <c r="AA82" s="314"/>
      <c r="AD82" s="314"/>
      <c r="AE82" s="313"/>
      <c r="AF82" s="316"/>
    </row>
    <row r="83" spans="24:32">
      <c r="X83" s="314"/>
      <c r="Y83" s="315"/>
      <c r="Z83" s="313"/>
      <c r="AA83" s="314"/>
      <c r="AD83" s="314"/>
      <c r="AE83" s="313"/>
      <c r="AF83" s="316"/>
    </row>
    <row r="84" spans="24:32">
      <c r="AF84" s="316"/>
    </row>
    <row r="86" spans="24:32">
      <c r="X86" s="314"/>
      <c r="Y86" s="315"/>
      <c r="Z86" s="313"/>
      <c r="AA86" s="314"/>
      <c r="AD86" s="314"/>
      <c r="AE86" s="313"/>
    </row>
    <row r="87" spans="24:32">
      <c r="X87" s="314"/>
      <c r="Y87" s="315"/>
      <c r="Z87" s="313"/>
      <c r="AA87" s="314"/>
      <c r="AD87" s="314"/>
      <c r="AE87" s="313"/>
      <c r="AF87" s="316"/>
    </row>
    <row r="88" spans="24:32">
      <c r="X88" s="314"/>
      <c r="Y88" s="315"/>
      <c r="Z88" s="313"/>
      <c r="AA88" s="314"/>
      <c r="AD88" s="314"/>
      <c r="AE88" s="313"/>
      <c r="AF88" s="316"/>
    </row>
    <row r="89" spans="24:32">
      <c r="X89" s="314"/>
      <c r="Y89" s="315"/>
      <c r="Z89" s="313"/>
      <c r="AA89" s="314"/>
      <c r="AD89" s="314"/>
      <c r="AE89" s="313"/>
      <c r="AF89" s="316"/>
    </row>
    <row r="90" spans="24:32">
      <c r="AF90" s="316"/>
    </row>
    <row r="92" spans="24:32">
      <c r="X92" s="314"/>
      <c r="Y92" s="315"/>
      <c r="Z92" s="313"/>
      <c r="AA92" s="314"/>
      <c r="AD92" s="314"/>
      <c r="AE92" s="313"/>
    </row>
    <row r="93" spans="24:32">
      <c r="X93" s="314"/>
      <c r="Y93" s="315"/>
      <c r="Z93" s="313"/>
      <c r="AA93" s="314"/>
      <c r="AD93" s="314"/>
      <c r="AE93" s="313"/>
      <c r="AF93" s="316"/>
    </row>
    <row r="94" spans="24:32">
      <c r="X94" s="314"/>
      <c r="Y94" s="315"/>
      <c r="Z94" s="313"/>
      <c r="AA94" s="314"/>
      <c r="AD94" s="314"/>
      <c r="AE94" s="313"/>
      <c r="AF94" s="316"/>
    </row>
    <row r="95" spans="24:32">
      <c r="X95" s="314"/>
      <c r="Y95" s="315"/>
      <c r="Z95" s="313"/>
      <c r="AA95" s="314"/>
      <c r="AD95" s="314"/>
      <c r="AE95" s="313"/>
      <c r="AF95" s="316"/>
    </row>
    <row r="96" spans="24:32">
      <c r="AF96" s="316"/>
    </row>
    <row r="98" spans="24:32">
      <c r="X98" s="314"/>
      <c r="Y98" s="315"/>
      <c r="Z98" s="313"/>
      <c r="AA98" s="314"/>
      <c r="AD98" s="314"/>
      <c r="AE98" s="313"/>
    </row>
    <row r="99" spans="24:32">
      <c r="X99" s="314"/>
      <c r="Y99" s="315"/>
      <c r="Z99" s="313"/>
      <c r="AA99" s="314"/>
      <c r="AD99" s="314"/>
      <c r="AE99" s="313"/>
      <c r="AF99" s="316"/>
    </row>
    <row r="100" spans="24:32">
      <c r="X100" s="314"/>
      <c r="Y100" s="315"/>
      <c r="Z100" s="313"/>
      <c r="AA100" s="314"/>
      <c r="AD100" s="314"/>
      <c r="AE100" s="313"/>
      <c r="AF100" s="316"/>
    </row>
    <row r="101" spans="24:32">
      <c r="X101" s="314"/>
      <c r="Y101" s="315"/>
      <c r="Z101" s="313"/>
      <c r="AA101" s="314"/>
      <c r="AD101" s="314"/>
      <c r="AE101" s="313"/>
      <c r="AF101" s="316"/>
    </row>
    <row r="102" spans="24:32">
      <c r="AF102" s="316"/>
    </row>
    <row r="104" spans="24:32">
      <c r="X104" s="314"/>
      <c r="Y104" s="315"/>
      <c r="Z104" s="313"/>
      <c r="AA104" s="314"/>
      <c r="AD104" s="314"/>
      <c r="AE104" s="313"/>
    </row>
    <row r="105" spans="24:32">
      <c r="X105" s="314"/>
      <c r="Y105" s="315"/>
      <c r="Z105" s="313"/>
      <c r="AA105" s="314"/>
      <c r="AD105" s="314"/>
      <c r="AE105" s="313"/>
      <c r="AF105" s="316"/>
    </row>
    <row r="106" spans="24:32">
      <c r="X106" s="314"/>
      <c r="Y106" s="315"/>
      <c r="Z106" s="313"/>
      <c r="AA106" s="314"/>
      <c r="AD106" s="314"/>
      <c r="AE106" s="313"/>
      <c r="AF106" s="316"/>
    </row>
    <row r="107" spans="24:32">
      <c r="X107" s="314"/>
      <c r="Y107" s="315"/>
      <c r="Z107" s="313"/>
      <c r="AA107" s="314"/>
      <c r="AD107" s="314"/>
      <c r="AE107" s="313"/>
      <c r="AF107" s="316"/>
    </row>
    <row r="108" spans="24:32">
      <c r="AF108" s="316"/>
    </row>
    <row r="110" spans="24:32">
      <c r="X110" s="314"/>
      <c r="Y110" s="315"/>
      <c r="Z110" s="313"/>
      <c r="AA110" s="314"/>
      <c r="AD110" s="314"/>
      <c r="AE110" s="313"/>
    </row>
    <row r="111" spans="24:32">
      <c r="X111" s="314"/>
      <c r="Y111" s="315"/>
      <c r="Z111" s="313"/>
      <c r="AA111" s="314"/>
      <c r="AD111" s="314"/>
      <c r="AE111" s="313"/>
    </row>
    <row r="112" spans="24:32">
      <c r="X112" s="314"/>
      <c r="Y112" s="315"/>
      <c r="Z112" s="313"/>
      <c r="AA112" s="314"/>
      <c r="AD112" s="314"/>
      <c r="AE112" s="313"/>
    </row>
    <row r="113" spans="24:31">
      <c r="X113" s="314"/>
      <c r="Y113" s="315"/>
      <c r="Z113" s="313"/>
      <c r="AA113" s="314"/>
      <c r="AD113" s="314"/>
      <c r="AE113" s="313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419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64193" r:id="rId4" name="CheckBox1"/>
      </mc:Fallback>
    </mc:AlternateContent>
  </control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AP96"/>
  <sheetViews>
    <sheetView workbookViewId="0">
      <selection activeCell="E14" sqref="E14"/>
    </sheetView>
  </sheetViews>
  <sheetFormatPr defaultRowHeight="12.75"/>
  <cols>
    <col min="1" max="1" width="9.42578125" bestFit="1" customWidth="1"/>
    <col min="3" max="3" width="9.28515625" customWidth="1"/>
    <col min="4" max="5" width="12.7109375" customWidth="1"/>
    <col min="20" max="20" width="11.28515625" customWidth="1"/>
    <col min="29" max="29" width="11" customWidth="1"/>
    <col min="35" max="35" width="9.7109375" customWidth="1"/>
  </cols>
  <sheetData>
    <row r="1" spans="1:35">
      <c r="A1" t="s">
        <v>4</v>
      </c>
    </row>
    <row r="3" spans="1:35">
      <c r="A3" t="s">
        <v>588</v>
      </c>
      <c r="E3" s="459" t="s">
        <v>11</v>
      </c>
      <c r="F3" s="459" t="s">
        <v>12</v>
      </c>
    </row>
    <row r="5" spans="1:35">
      <c r="A5" s="466" t="s">
        <v>1457</v>
      </c>
    </row>
    <row r="7" spans="1:35">
      <c r="B7" s="15" t="s">
        <v>589</v>
      </c>
      <c r="AD7" s="530" t="s">
        <v>590</v>
      </c>
      <c r="AE7" s="530" t="s">
        <v>591</v>
      </c>
      <c r="AH7" s="15" t="s">
        <v>592</v>
      </c>
    </row>
    <row r="8" spans="1:35">
      <c r="E8" s="25"/>
      <c r="M8" s="15" t="s">
        <v>593</v>
      </c>
      <c r="T8" s="530" t="s">
        <v>594</v>
      </c>
      <c r="U8" s="530" t="s">
        <v>595</v>
      </c>
      <c r="V8" s="530" t="s">
        <v>596</v>
      </c>
      <c r="W8" s="530" t="s">
        <v>597</v>
      </c>
      <c r="X8" s="530" t="s">
        <v>122</v>
      </c>
      <c r="Z8" s="530" t="s">
        <v>598</v>
      </c>
      <c r="AA8" s="15" t="s">
        <v>599</v>
      </c>
      <c r="AB8" s="530" t="s">
        <v>600</v>
      </c>
      <c r="AC8" s="530" t="s">
        <v>601</v>
      </c>
      <c r="AD8" s="530" t="s">
        <v>602</v>
      </c>
      <c r="AH8" s="15" t="s">
        <v>603</v>
      </c>
    </row>
    <row r="9" spans="1:35">
      <c r="B9" s="15" t="s">
        <v>604</v>
      </c>
      <c r="C9" s="15" t="s">
        <v>152</v>
      </c>
      <c r="E9" s="25">
        <f>E11+E10</f>
        <v>3041603.8045762843</v>
      </c>
      <c r="F9" s="15" t="s">
        <v>605</v>
      </c>
      <c r="K9" s="9"/>
      <c r="M9" s="15" t="s">
        <v>606</v>
      </c>
      <c r="P9" s="15" t="s">
        <v>199</v>
      </c>
      <c r="T9" s="26">
        <f>$E$12*1.25</f>
        <v>3390740.8925817464</v>
      </c>
      <c r="U9" s="5">
        <f>100*(+T9/$E$13)</f>
        <v>240.86228240374311</v>
      </c>
      <c r="V9" s="27">
        <f>EXP(5.7226-(0.68367*LN(+U9)))</f>
        <v>7.1936570330551435</v>
      </c>
      <c r="W9" s="27">
        <f>(+V9*U9)/100</f>
        <v>17.326806518114008</v>
      </c>
      <c r="X9" s="5">
        <f>100*((((W9/100)-((W9/100)-0.03574)*$E$25)-0.03574-0.00619)/0.344)</f>
        <v>29.78406148055252</v>
      </c>
      <c r="Y9">
        <v>0</v>
      </c>
      <c r="Z9" s="5">
        <f>X9+Y9</f>
        <v>29.78406148055252</v>
      </c>
      <c r="AA9" s="5">
        <f>100*($E$21*$E$23+($E$22*(Z9/100))/(1-$E$25))</f>
        <v>24.620806187761406</v>
      </c>
      <c r="AB9" s="27">
        <f>AA9/U9</f>
        <v>0.10221943403530077</v>
      </c>
      <c r="AC9" s="26">
        <f>$E$12/(1-AB9)</f>
        <v>3021442.8969629272</v>
      </c>
      <c r="AD9" t="str">
        <f>IF(AC9=$T$9,"yes","not yet")</f>
        <v>not yet</v>
      </c>
      <c r="AE9" s="5">
        <f>100*(1-AB9)</f>
        <v>89.778056596469924</v>
      </c>
      <c r="AH9">
        <v>0</v>
      </c>
      <c r="AI9">
        <v>1</v>
      </c>
    </row>
    <row r="10" spans="1:35">
      <c r="B10" s="15" t="s">
        <v>604</v>
      </c>
      <c r="C10" s="15" t="s">
        <v>607</v>
      </c>
      <c r="E10" s="25">
        <f>(+E12-((H19/100)*E11))/H29</f>
        <v>177277.22457628485</v>
      </c>
      <c r="F10" s="28" t="s">
        <v>605</v>
      </c>
      <c r="K10" s="9"/>
      <c r="M10" s="15" t="s">
        <v>608</v>
      </c>
      <c r="P10" s="15" t="s">
        <v>202</v>
      </c>
      <c r="T10" s="26">
        <f>$E$12*1.25</f>
        <v>3390740.8925817464</v>
      </c>
      <c r="U10" s="5">
        <f>100*(+T10/$E$13)</f>
        <v>240.86228240374311</v>
      </c>
      <c r="V10" s="27">
        <f>EXP(5.70827-(0.68367*LN(+U10)))</f>
        <v>7.0913070170851586</v>
      </c>
      <c r="W10" s="27">
        <f>(+V10*U10)/100</f>
        <v>17.080283933608108</v>
      </c>
      <c r="X10" s="5">
        <f>100*((((W10/100)-((W10/100)-0.03574)*$E$25)-0.03574-0.00619)/0.344)</f>
        <v>29.217919498693039</v>
      </c>
      <c r="Y10">
        <v>0</v>
      </c>
      <c r="Z10" s="5">
        <f>X10+Y10</f>
        <v>29.217919498693039</v>
      </c>
      <c r="AA10" s="5">
        <f>100*($E$21*$E$23+($E$22*(Z10/100))/(1-$E$25))</f>
        <v>24.190824935716233</v>
      </c>
      <c r="AB10" s="27">
        <f>AA10/U10</f>
        <v>0.10043425933814989</v>
      </c>
      <c r="AC10" s="26">
        <f>$E$12/(1-AB10)</f>
        <v>3015446.8889284548</v>
      </c>
      <c r="AD10" t="str">
        <f>IF(AC10=$T$10,"yes","not yet")</f>
        <v>not yet</v>
      </c>
      <c r="AE10" s="5">
        <f>100*(1-AB10)</f>
        <v>89.956574066185013</v>
      </c>
      <c r="AH10">
        <v>50</v>
      </c>
      <c r="AI10">
        <v>2</v>
      </c>
    </row>
    <row r="11" spans="1:35">
      <c r="B11" s="29" t="s">
        <v>609</v>
      </c>
      <c r="C11" s="15" t="s">
        <v>29</v>
      </c>
      <c r="D11" s="29" t="s">
        <v>610</v>
      </c>
      <c r="E11" s="25">
        <f>+'Results of Operations Regulated'!C21</f>
        <v>2864326.5799999996</v>
      </c>
      <c r="F11" s="15" t="s">
        <v>611</v>
      </c>
      <c r="K11" s="9"/>
      <c r="M11" s="15" t="s">
        <v>612</v>
      </c>
      <c r="P11" s="15" t="s">
        <v>203</v>
      </c>
      <c r="T11" s="26">
        <f>$E$12*1.25</f>
        <v>3390740.8925817464</v>
      </c>
      <c r="U11" s="5">
        <f>100*(+T11/$E$13)</f>
        <v>240.86228240374311</v>
      </c>
      <c r="V11" s="27">
        <f>EXP(5.6985-(0.68367*LN(U11)))</f>
        <v>7.0223622909291432</v>
      </c>
      <c r="W11" s="27">
        <f>(+V11*U11)/100</f>
        <v>16.914222092591718</v>
      </c>
      <c r="X11" s="5">
        <f>100*((((W11/100)-((W11/100)-0.03574)*$E$25)-0.03574-0.00619)/0.344)</f>
        <v>28.836556549847263</v>
      </c>
      <c r="Y11">
        <v>0</v>
      </c>
      <c r="Z11" s="5">
        <f>X11+Y11</f>
        <v>28.836556549847263</v>
      </c>
      <c r="AA11" s="5">
        <f>100*($E$21*$E$23+($E$22*(Z11/100))/(1-$E$25))</f>
        <v>23.901182189757414</v>
      </c>
      <c r="AB11" s="27">
        <f>AA11/U11</f>
        <v>9.9231735044731012E-2</v>
      </c>
      <c r="AC11" s="26">
        <f>$E$12/(1-AB11)</f>
        <v>3011421.2718185638</v>
      </c>
      <c r="AD11" t="str">
        <f>IF(AC11=$T$11,"yes","not yet")</f>
        <v>not yet</v>
      </c>
      <c r="AE11" s="5">
        <f>100*(1-AB11)</f>
        <v>90.076826495526902</v>
      </c>
      <c r="AH11">
        <v>125</v>
      </c>
      <c r="AI11">
        <v>3</v>
      </c>
    </row>
    <row r="12" spans="1:35">
      <c r="B12" s="29" t="s">
        <v>609</v>
      </c>
      <c r="C12" s="15" t="s">
        <v>613</v>
      </c>
      <c r="D12" s="29" t="s">
        <v>610</v>
      </c>
      <c r="E12" s="25">
        <f>+'Results of Operations Regulated'!C102</f>
        <v>2712592.7140653972</v>
      </c>
      <c r="F12" s="15" t="s">
        <v>611</v>
      </c>
      <c r="K12" s="9"/>
      <c r="M12" s="15" t="s">
        <v>614</v>
      </c>
      <c r="P12" s="15" t="s">
        <v>204</v>
      </c>
      <c r="T12" s="26">
        <f>$E$12*1.25</f>
        <v>3390740.8925817464</v>
      </c>
      <c r="U12" s="5">
        <f>100*(+T12/$E$13)</f>
        <v>240.86228240374311</v>
      </c>
      <c r="V12" s="27">
        <f>EXP(5.6922-(0.68367*LN(U12)))</f>
        <v>6.9782604750828625</v>
      </c>
      <c r="W12" s="27">
        <f>(+V12*U12)/100</f>
        <v>16.807997452362869</v>
      </c>
      <c r="X12" s="5">
        <f>100*((((W12/100)-((W12/100)-0.03574)*$E$25)-0.03574-0.00619)/0.344)</f>
        <v>28.592610428391474</v>
      </c>
      <c r="Y12">
        <v>0</v>
      </c>
      <c r="Z12" s="5">
        <f>X12+Y12</f>
        <v>28.592610428391474</v>
      </c>
      <c r="AA12" s="5">
        <f>100*($E$21*$E$23+($E$22*(Z12/100))/(1-$E$25))</f>
        <v>23.715906654474537</v>
      </c>
      <c r="AB12" s="27">
        <f>AA12/U12</f>
        <v>9.8462517326481924E-2</v>
      </c>
      <c r="AC12" s="26">
        <f>$E$12/(1-AB12)</f>
        <v>3008851.8405481903</v>
      </c>
      <c r="AD12" t="str">
        <f>IF(AC12=$T$12,"yes","not yet")</f>
        <v>not yet</v>
      </c>
      <c r="AE12" s="5">
        <f>100*(1-AB12)</f>
        <v>90.153748267351801</v>
      </c>
      <c r="AH12">
        <v>401</v>
      </c>
      <c r="AI12">
        <v>4</v>
      </c>
    </row>
    <row r="13" spans="1:35">
      <c r="B13" s="29" t="s">
        <v>609</v>
      </c>
      <c r="C13" s="15" t="s">
        <v>615</v>
      </c>
      <c r="E13" s="25">
        <f>+'Results of Operations Regulated'!C108</f>
        <v>1407750.8768674913</v>
      </c>
      <c r="F13" s="15" t="s">
        <v>611</v>
      </c>
      <c r="K13" s="9"/>
      <c r="Z13" s="5"/>
    </row>
    <row r="14" spans="1:35">
      <c r="C14" s="15" t="s">
        <v>616</v>
      </c>
      <c r="E14" s="5">
        <f>U9</f>
        <v>240.86228240374311</v>
      </c>
      <c r="F14" s="15" t="s">
        <v>617</v>
      </c>
      <c r="H14" s="5"/>
      <c r="U14" s="530" t="s">
        <v>618</v>
      </c>
      <c r="V14" s="530" t="s">
        <v>596</v>
      </c>
      <c r="W14" s="530" t="s">
        <v>597</v>
      </c>
      <c r="X14" s="530" t="s">
        <v>122</v>
      </c>
      <c r="Z14" s="5"/>
      <c r="AH14" s="15" t="s">
        <v>619</v>
      </c>
    </row>
    <row r="15" spans="1:35">
      <c r="C15" s="15" t="s">
        <v>620</v>
      </c>
      <c r="E15" s="5">
        <f>HLOOKUP($AI$38,$AI$32:$AQ$36,$E$16+1)</f>
        <v>215.57443142051676</v>
      </c>
      <c r="F15" s="15" t="s">
        <v>617</v>
      </c>
      <c r="U15" s="5">
        <f>100*(+AC9/$E$13)</f>
        <v>214.62909003375668</v>
      </c>
      <c r="V15" s="30">
        <f>EXP(5.7226-(0.68367*LN(+U15)))</f>
        <v>7.7837354644783723</v>
      </c>
      <c r="W15" s="27">
        <f>(+V15*U15)/100</f>
        <v>16.706160598044736</v>
      </c>
      <c r="X15" s="5">
        <f>100*((((W15/100)-((W15/100)-0.03574)*$E$25)-0.03574-0.00619)/0.344)</f>
        <v>28.358740908300412</v>
      </c>
      <c r="Y15">
        <v>0</v>
      </c>
      <c r="Z15" s="5">
        <f>X15+Y15</f>
        <v>28.358740908300412</v>
      </c>
      <c r="AA15" s="5">
        <f>100*($E$21*$E$23+($E$22*(Z15/100))/(1-$E$25))</f>
        <v>23.538284234152208</v>
      </c>
      <c r="AB15" s="27">
        <f>AA15/U15</f>
        <v>0.10966958966489643</v>
      </c>
      <c r="AC15" s="26">
        <f>$E$12/(1-AB15)</f>
        <v>3046725.8925194172</v>
      </c>
      <c r="AD15" t="str">
        <f>IF(OR(OR(AC15=AC9,AC15=(AC9+1)),AC15=(AC8193-1)),"yes","not yet")</f>
        <v>not yet</v>
      </c>
      <c r="AE15" s="5">
        <f>100*(1-AB15)</f>
        <v>89.033041033510358</v>
      </c>
    </row>
    <row r="16" spans="1:35">
      <c r="C16" s="15" t="s">
        <v>621</v>
      </c>
      <c r="E16">
        <f>VLOOKUP(E14,AH9:AI12,2)</f>
        <v>3</v>
      </c>
      <c r="F16" s="15" t="s">
        <v>617</v>
      </c>
      <c r="U16" s="5">
        <f>100*(+AC10/$E$13)</f>
        <v>214.20316182920004</v>
      </c>
      <c r="V16" s="30">
        <f>EXP(5.70827-(0.68367*LN(+U16)))</f>
        <v>7.6834175419330766</v>
      </c>
      <c r="W16" s="27">
        <f>(+V16*U16)/100</f>
        <v>16.458123311360051</v>
      </c>
      <c r="X16" s="5">
        <f>100*((((W16/100)-((W16/100)-0.03574)*$E$25)-0.03574-0.00619)/0.344)</f>
        <v>27.789120395274537</v>
      </c>
      <c r="Y16">
        <v>0</v>
      </c>
      <c r="Z16" s="5">
        <f>X16+Y16</f>
        <v>27.789120395274537</v>
      </c>
      <c r="AA16" s="5">
        <f>100*($E$21*$E$23+($E$22*(Z16/100))/(1-$E$25))</f>
        <v>23.105661059702175</v>
      </c>
      <c r="AB16" s="27">
        <f>AA16/U16</f>
        <v>0.10786797385430763</v>
      </c>
      <c r="AC16" s="26">
        <f>$E$12/(1-AB16)</f>
        <v>3040573.1826316128</v>
      </c>
      <c r="AD16" t="str">
        <f>IF(OR(OR(AC16=AC10,AC16=(AC10+1)),AC16=(AC10-1)),"yes","not yet")</f>
        <v>not yet</v>
      </c>
      <c r="AE16" s="5">
        <f>100*(1-AB16)</f>
        <v>89.213202614569241</v>
      </c>
    </row>
    <row r="17" spans="2:42">
      <c r="U17" s="5">
        <f>100*(+AC11/$E$13)</f>
        <v>213.91720092688124</v>
      </c>
      <c r="V17" s="30">
        <f>EXP(5.6985-(0.68367*LN(U17)))</f>
        <v>7.6156683405583063</v>
      </c>
      <c r="W17" s="27">
        <f>(+V17*U17)/100</f>
        <v>16.291224545996997</v>
      </c>
      <c r="X17" s="5">
        <f>100*((((W17/100)-((W17/100)-0.03574)*$E$25)-0.03574-0.00619)/0.344)</f>
        <v>27.405835439934968</v>
      </c>
      <c r="Y17">
        <v>0</v>
      </c>
      <c r="Z17" s="5">
        <f>X17+Y17</f>
        <v>27.405835439934968</v>
      </c>
      <c r="AA17" s="5">
        <f>100*($E$21*$E$23+($E$22*(Z17/100))/(1-$E$25))</f>
        <v>22.814558561975922</v>
      </c>
      <c r="AB17" s="27">
        <f>AA17/U17</f>
        <v>0.10665135137858379</v>
      </c>
      <c r="AC17" s="26">
        <f>$E$12/(1-AB17)</f>
        <v>3036432.3248838778</v>
      </c>
      <c r="AD17" t="str">
        <f>IF(OR(OR(AC17=AC11,AC17=(AC11+1)),AC17=(AC11-1)),"yes","not yet")</f>
        <v>not yet</v>
      </c>
      <c r="AE17" s="5">
        <f>100*(1-AB17)</f>
        <v>89.334864862141615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5" t="s">
        <v>622</v>
      </c>
      <c r="U18" s="5">
        <f>100*(+AC12/$E$13)</f>
        <v>213.73468061646301</v>
      </c>
      <c r="V18" s="30">
        <f>EXP(5.6922-(0.68367*LN(U18)))</f>
        <v>7.5722581443601422</v>
      </c>
      <c r="W18" s="27">
        <f>(+V18*U18)/100</f>
        <v>16.18454176030226</v>
      </c>
      <c r="X18" s="5">
        <f>100*((((W18/100)-((W18/100)-0.03574)*$E$25)-0.03574-0.00619)/0.344)</f>
        <v>27.160837182089498</v>
      </c>
      <c r="Y18">
        <v>0</v>
      </c>
      <c r="Z18" s="5">
        <f>X18+Y18</f>
        <v>27.160837182089498</v>
      </c>
      <c r="AA18" s="5">
        <f>100*($E$21*$E$23+($E$22*(Z18/100))/(1-$E$25))</f>
        <v>22.628483935764176</v>
      </c>
      <c r="AB18" s="27">
        <f>AA18/U18</f>
        <v>0.10587184012673144</v>
      </c>
      <c r="AC18" s="26">
        <f>$E$12/(1-AB18)</f>
        <v>3033785.1281295884</v>
      </c>
      <c r="AD18" t="str">
        <f>IF(OR(OR(AC18=AC12,AC18=(AC12+1)),AC18=(AC12-1)),"yes","not yet")</f>
        <v>not yet</v>
      </c>
      <c r="AE18" s="5">
        <f>100*(1-AB18)</f>
        <v>89.412815987326852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3044960</v>
      </c>
      <c r="AO18">
        <f>AC51</f>
        <v>3044960</v>
      </c>
      <c r="AP18">
        <f>AC57</f>
        <v>3044960</v>
      </c>
    </row>
    <row r="19" spans="2:42">
      <c r="C19" s="15" t="s">
        <v>623</v>
      </c>
      <c r="E19" s="29" t="s">
        <v>604</v>
      </c>
      <c r="F19" s="15" t="s">
        <v>624</v>
      </c>
      <c r="H19" s="5">
        <f>HLOOKUP($AI$29,$AI$23:$AQ$27,$E$16+1)</f>
        <v>89.384636550797353</v>
      </c>
      <c r="I19" s="15" t="s">
        <v>605</v>
      </c>
      <c r="J19" s="31"/>
      <c r="Z19" s="5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3038852</v>
      </c>
      <c r="AO19">
        <f>AC52</f>
        <v>3038852</v>
      </c>
      <c r="AP19">
        <f>AC58</f>
        <v>3038852</v>
      </c>
    </row>
    <row r="20" spans="2:42">
      <c r="C20" s="32" t="s">
        <v>610</v>
      </c>
      <c r="D20" s="32" t="s">
        <v>610</v>
      </c>
      <c r="E20" s="33"/>
      <c r="H20" s="32" t="s">
        <v>625</v>
      </c>
      <c r="U20" s="15" t="s">
        <v>626</v>
      </c>
      <c r="V20" s="530" t="s">
        <v>596</v>
      </c>
      <c r="W20" s="530" t="s">
        <v>597</v>
      </c>
      <c r="X20" s="530" t="s">
        <v>122</v>
      </c>
      <c r="Z20" s="5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3034742</v>
      </c>
      <c r="AO20">
        <f>AC53</f>
        <v>3034742</v>
      </c>
      <c r="AP20">
        <f>AC59</f>
        <v>3034742</v>
      </c>
    </row>
    <row r="21" spans="2:42">
      <c r="B21" s="29" t="s">
        <v>609</v>
      </c>
      <c r="C21" s="15" t="s">
        <v>627</v>
      </c>
      <c r="E21" s="35">
        <v>0.4</v>
      </c>
      <c r="F21" s="15" t="s">
        <v>628</v>
      </c>
      <c r="U21" s="5">
        <f>100*(+AC15/$E$13)</f>
        <v>216.42507510270224</v>
      </c>
      <c r="V21" s="30">
        <f>EXP(5.7226-(0.68367*LN(+U21)))</f>
        <v>7.7395172232629132</v>
      </c>
      <c r="W21" s="27">
        <f>(+V21*U21)/100</f>
        <v>16.750255963033336</v>
      </c>
      <c r="X21" s="5">
        <f>100*((((W21/100)-((W21/100)-0.03574)*$E$25)-0.03574-0.00619)/0.344)</f>
        <v>28.460006426733543</v>
      </c>
      <c r="Y21">
        <v>0</v>
      </c>
      <c r="Z21" s="5">
        <f>X21+Y21</f>
        <v>28.460006426733543</v>
      </c>
      <c r="AA21" s="5">
        <f>100*($E$21*$E$23+($E$22*(Z21/100))/(1-$E$25))</f>
        <v>23.615194754481173</v>
      </c>
      <c r="AB21" s="27">
        <f>AA21/U21</f>
        <v>0.1091148737884223</v>
      </c>
      <c r="AC21" s="26">
        <f>$E$12/(1-AB21)</f>
        <v>3044828.8272591266</v>
      </c>
      <c r="AD21" t="str">
        <f>IF(OR(OR(AC21=AC15,AC21=(AC15+1)),AC21=(AC7-1)),"yes","not yet")</f>
        <v>not yet</v>
      </c>
      <c r="AE21" s="5">
        <f>100*(1-AB21)</f>
        <v>89.088512621157761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3032115</v>
      </c>
      <c r="AO21">
        <f>AC54</f>
        <v>3032115</v>
      </c>
      <c r="AP21">
        <f>AC60</f>
        <v>3032115</v>
      </c>
    </row>
    <row r="22" spans="2:42">
      <c r="B22" s="29" t="s">
        <v>609</v>
      </c>
      <c r="C22" s="15" t="s">
        <v>629</v>
      </c>
      <c r="E22" s="35">
        <v>0.6</v>
      </c>
      <c r="F22" s="15" t="s">
        <v>192</v>
      </c>
      <c r="H22" s="483">
        <v>1.7500000000000002E-2</v>
      </c>
      <c r="I22" s="15" t="s">
        <v>609</v>
      </c>
      <c r="U22" s="5">
        <f>100*(+AC16/$E$13)</f>
        <v>215.98801553563626</v>
      </c>
      <c r="V22" s="30">
        <f>EXP(5.70827-(0.68367*LN(+U22)))</f>
        <v>7.6399521843441178</v>
      </c>
      <c r="W22" s="27">
        <f>(+V22*U22)/100</f>
        <v>16.501381110836356</v>
      </c>
      <c r="X22" s="5">
        <f>100*((((W22/100)-((W22/100)-0.03574)*$E$25)-0.03574-0.00619)/0.344)</f>
        <v>27.88846243476954</v>
      </c>
      <c r="Y22">
        <v>0</v>
      </c>
      <c r="Z22" s="5">
        <f>X22+Y22</f>
        <v>27.88846243476954</v>
      </c>
      <c r="AA22" s="5">
        <f>100*($E$21*$E$23+($E$22*(Z22/100))/(1-$E$25))</f>
        <v>23.181110709951547</v>
      </c>
      <c r="AB22" s="27">
        <f>AA22/U22</f>
        <v>0.10732591182183834</v>
      </c>
      <c r="AC22" s="26">
        <f>$E$12/(1-AB22)</f>
        <v>3038726.8433000743</v>
      </c>
      <c r="AD22" t="str">
        <f>IF(OR(OR(AC22=AC16,AC22=(AC16+1)),AC22=(AC16-1)),"yes","not yet")</f>
        <v>not yet</v>
      </c>
      <c r="AE22" s="5">
        <f>100*(1-AB22)</f>
        <v>89.267408817816161</v>
      </c>
    </row>
    <row r="23" spans="2:42">
      <c r="B23" s="29" t="s">
        <v>609</v>
      </c>
      <c r="C23" s="15" t="s">
        <v>630</v>
      </c>
      <c r="E23" s="36">
        <v>0.05</v>
      </c>
      <c r="F23" s="15" t="s">
        <v>193</v>
      </c>
      <c r="H23" s="66">
        <v>5.1000000000000004E-3</v>
      </c>
      <c r="I23" s="15" t="s">
        <v>609</v>
      </c>
      <c r="U23" s="5">
        <f>100*(+AC17/$E$13)</f>
        <v>215.69386848051604</v>
      </c>
      <c r="V23" s="30">
        <f>EXP(5.6985-(0.68367*LN(U23)))</f>
        <v>7.5727255363369856</v>
      </c>
      <c r="W23" s="27">
        <f>(+V23*U23)/100</f>
        <v>16.333904658737151</v>
      </c>
      <c r="X23" s="5">
        <f>100*((((W23/100)-((W23/100)-0.03574)*$E$25)-0.03574-0.00619)/0.344)</f>
        <v>27.503850815123108</v>
      </c>
      <c r="Y23">
        <v>0</v>
      </c>
      <c r="Z23" s="5">
        <f>X23+Y23</f>
        <v>27.503850815123108</v>
      </c>
      <c r="AA23" s="5">
        <f>100*($E$21*$E$23+($E$22*(Z23/100))/(1-$E$25))</f>
        <v>22.889000619080839</v>
      </c>
      <c r="AB23" s="27">
        <f>AA23/U23</f>
        <v>0.10611799389720918</v>
      </c>
      <c r="AC23" s="26">
        <f>$E$12/(1-AB23)</f>
        <v>3034620.5601474722</v>
      </c>
      <c r="AD23" t="str">
        <f>IF(OR(OR(AC23=AC17,AC23=(AC17+1)),AC23=(AC17-1)),"yes","not yet")</f>
        <v>not yet</v>
      </c>
      <c r="AE23" s="5">
        <f>100*(1-AB23)</f>
        <v>89.388200610279085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3034742</v>
      </c>
      <c r="AO23">
        <f>HLOOKUP(8,$AI$17:$AQ$21,$E$16+1)</f>
        <v>3034742</v>
      </c>
      <c r="AP23">
        <f>HLOOKUP(9,$AI$17:$AQ$21,$E$16+1)</f>
        <v>3034742</v>
      </c>
    </row>
    <row r="24" spans="2:42">
      <c r="E24" s="34"/>
      <c r="F24" s="15" t="s">
        <v>194</v>
      </c>
      <c r="H24" s="41">
        <v>0</v>
      </c>
      <c r="I24" s="15" t="s">
        <v>609</v>
      </c>
      <c r="U24" s="5">
        <f>100*(+AC18/$E$13)</f>
        <v>215.50582407594212</v>
      </c>
      <c r="V24" s="30">
        <f>EXP(5.6922-(0.68367*LN(U24)))</f>
        <v>7.5296558614917046</v>
      </c>
      <c r="W24" s="27">
        <f>(+V24*U24)/100</f>
        <v>16.226846914390176</v>
      </c>
      <c r="X24" s="5">
        <f>100*((((W24/100)-((W24/100)-0.03574)*$E$25)-0.03574-0.00619)/0.344)</f>
        <v>27.257991460372789</v>
      </c>
      <c r="Y24">
        <v>0</v>
      </c>
      <c r="Z24" s="5">
        <f>X24+Y24</f>
        <v>27.257991460372789</v>
      </c>
      <c r="AA24" s="5">
        <f>100*($E$21*$E$23+($E$22*(Z24/100))/(1-$E$25))</f>
        <v>22.702271995219835</v>
      </c>
      <c r="AB24" s="27">
        <f>AA24/U24</f>
        <v>0.10534412279836938</v>
      </c>
      <c r="AC24" s="26">
        <f>$E$12/(1-AB24)</f>
        <v>3031995.6345114959</v>
      </c>
      <c r="AD24" t="str">
        <f>IF(OR(OR(AC24=AC18,AC24=(AC18+1)),AC24=(AC18-1)),"yes","not yet")</f>
        <v>not yet</v>
      </c>
      <c r="AE24" s="5">
        <f>100*(1-AB24)</f>
        <v>89.465587720163057</v>
      </c>
      <c r="AH24">
        <v>1</v>
      </c>
      <c r="AI24" s="5">
        <f>AE9</f>
        <v>89.778056596469924</v>
      </c>
      <c r="AJ24" s="5">
        <f>AE15</f>
        <v>89.033041033510358</v>
      </c>
      <c r="AK24" s="5">
        <f>AE21</f>
        <v>89.088512621157761</v>
      </c>
      <c r="AL24" s="5">
        <f>AE27</f>
        <v>89.084375359913679</v>
      </c>
      <c r="AM24" s="5">
        <f>AE33</f>
        <v>89.084683891956914</v>
      </c>
      <c r="AN24" s="5" t="str">
        <f>AD45</f>
        <v>yes</v>
      </c>
      <c r="AO24" s="5" t="str">
        <f>AD51</f>
        <v>yes</v>
      </c>
      <c r="AP24" s="5" t="str">
        <f>AD57</f>
        <v>yes</v>
      </c>
    </row>
    <row r="25" spans="2:42">
      <c r="B25" s="29" t="s">
        <v>609</v>
      </c>
      <c r="C25" s="15" t="s">
        <v>188</v>
      </c>
      <c r="E25" s="35">
        <v>0.21</v>
      </c>
      <c r="F25" s="15" t="s">
        <v>196</v>
      </c>
      <c r="H25" s="41">
        <v>1.2E-2</v>
      </c>
      <c r="I25" s="15" t="s">
        <v>609</v>
      </c>
      <c r="Z25" s="5"/>
      <c r="AH25">
        <v>2</v>
      </c>
      <c r="AI25" s="5">
        <f>AE10</f>
        <v>89.956574066185013</v>
      </c>
      <c r="AJ25" s="5">
        <f>AE16</f>
        <v>89.213202614569241</v>
      </c>
      <c r="AK25" s="5">
        <f>AE22</f>
        <v>89.267408817816161</v>
      </c>
      <c r="AL25" s="5">
        <f>AE28</f>
        <v>89.26344939694674</v>
      </c>
      <c r="AM25" s="5">
        <f>AE34</f>
        <v>89.263738571640303</v>
      </c>
      <c r="AN25" s="5" t="str">
        <f>AD46</f>
        <v>yes</v>
      </c>
      <c r="AO25" s="5" t="str">
        <f>AD52</f>
        <v>yes</v>
      </c>
      <c r="AP25" s="5" t="str">
        <f>AD58</f>
        <v>yes</v>
      </c>
    </row>
    <row r="26" spans="2:42">
      <c r="H26" s="32" t="s">
        <v>610</v>
      </c>
      <c r="U26" s="15" t="s">
        <v>631</v>
      </c>
      <c r="V26" s="530" t="s">
        <v>596</v>
      </c>
      <c r="W26" s="530" t="s">
        <v>597</v>
      </c>
      <c r="X26" s="530" t="s">
        <v>122</v>
      </c>
      <c r="Z26" s="5"/>
      <c r="AH26">
        <v>3</v>
      </c>
      <c r="AI26" s="5">
        <f>AE11</f>
        <v>90.076826495526902</v>
      </c>
      <c r="AJ26" s="5">
        <f>AE17</f>
        <v>89.334864862141615</v>
      </c>
      <c r="AK26" s="5">
        <f>AE23</f>
        <v>89.388200610279085</v>
      </c>
      <c r="AL26" s="5">
        <f>AE29</f>
        <v>89.384360034385651</v>
      </c>
      <c r="AM26" s="5">
        <f>AE35</f>
        <v>89.384636550797353</v>
      </c>
      <c r="AN26" s="5" t="str">
        <f>AD47</f>
        <v>yes</v>
      </c>
      <c r="AO26" s="5" t="str">
        <f>AD53</f>
        <v>yes</v>
      </c>
      <c r="AP26" s="5" t="str">
        <f>AD59</f>
        <v>yes</v>
      </c>
    </row>
    <row r="27" spans="2:42">
      <c r="F27" s="15" t="s">
        <v>197</v>
      </c>
      <c r="H27" s="9">
        <f>SUM(H22:H25)</f>
        <v>3.4600000000000006E-2</v>
      </c>
      <c r="U27" s="5">
        <f>100*(+AC21/$E$13)</f>
        <v>216.29031651071955</v>
      </c>
      <c r="V27" s="30">
        <f>EXP(5.7226-(0.68367*LN(+U27)))</f>
        <v>7.7428136011729176</v>
      </c>
      <c r="W27" s="27">
        <f>(+V27*U27)/100</f>
        <v>16.746956044811945</v>
      </c>
      <c r="X27" s="5">
        <f>100*((((W27/100)-((W27/100)-0.03574)*$E$25)-0.03574-0.00619)/0.344)</f>
        <v>28.452428126166971</v>
      </c>
      <c r="Y27">
        <v>0</v>
      </c>
      <c r="Z27" s="5">
        <f>X27+Y27</f>
        <v>28.452428126166971</v>
      </c>
      <c r="AA27" s="5">
        <f>100*($E$21*$E$23+($E$22*(Z27/100))/(1-$E$25))</f>
        <v>23.609439083164791</v>
      </c>
      <c r="AB27" s="27">
        <f>AA27/U27</f>
        <v>0.10915624640086319</v>
      </c>
      <c r="AC27" s="26">
        <f>$E$12/(1-AB27)</f>
        <v>3044970.2353596045</v>
      </c>
      <c r="AD27" t="str">
        <f>IF(OR(OR(AC27=AC21,AC27=(AC21+1)),AC27=(AC13-1)),"yes","not yet")</f>
        <v>not yet</v>
      </c>
      <c r="AE27" s="5">
        <f>100*(1-AB27)</f>
        <v>89.084375359913679</v>
      </c>
      <c r="AH27">
        <v>4</v>
      </c>
      <c r="AI27" s="5">
        <f>AE12</f>
        <v>90.153748267351801</v>
      </c>
      <c r="AJ27" s="5">
        <f>AE18</f>
        <v>89.412815987326852</v>
      </c>
      <c r="AK27" s="5">
        <f>AE24</f>
        <v>89.465587720163057</v>
      </c>
      <c r="AL27" s="5">
        <f>AE30</f>
        <v>89.461822710901316</v>
      </c>
      <c r="AM27" s="5">
        <f>AE36</f>
        <v>89.462091293440338</v>
      </c>
      <c r="AN27" s="5" t="str">
        <f>AD48</f>
        <v>yes</v>
      </c>
      <c r="AO27" s="5" t="str">
        <f>AD54</f>
        <v>yes</v>
      </c>
      <c r="AP27" s="5" t="str">
        <f>AD60</f>
        <v>yes</v>
      </c>
    </row>
    <row r="28" spans="2:42">
      <c r="U28" s="5">
        <f>100*(+AC22/$E$13)</f>
        <v>215.85686027500896</v>
      </c>
      <c r="V28" s="30">
        <f>EXP(5.70827-(0.68367*LN(+U28)))</f>
        <v>7.6431255147672799</v>
      </c>
      <c r="W28" s="27">
        <f>(+V28*U28)/100</f>
        <v>16.498210763054768</v>
      </c>
      <c r="X28" s="5">
        <f>100*((((W28/100)-((W28/100)-0.03574)*$E$25)-0.03574-0.00619)/0.344)</f>
        <v>27.881181694224622</v>
      </c>
      <c r="Y28">
        <v>0</v>
      </c>
      <c r="Z28" s="5">
        <f>X28+Y28</f>
        <v>27.881181694224622</v>
      </c>
      <c r="AA28" s="5">
        <f>100*($E$21*$E$23+($E$22*(Z28/100))/(1-$E$25))</f>
        <v>23.175581033588323</v>
      </c>
      <c r="AB28" s="27">
        <f>AA28/U28</f>
        <v>0.10736550603053267</v>
      </c>
      <c r="AC28" s="26">
        <f>$E$12/(1-AB28)</f>
        <v>3038861.6308145733</v>
      </c>
      <c r="AD28" t="str">
        <f>IF(OR(OR(AC28=AC22,AC28=(AC22+1)),AC28=(AC22-1)),"yes","not yet")</f>
        <v>not yet</v>
      </c>
      <c r="AE28" s="5">
        <f>100*(1-AB28)</f>
        <v>89.26344939694674</v>
      </c>
    </row>
    <row r="29" spans="2:42">
      <c r="F29" s="15" t="s">
        <v>200</v>
      </c>
      <c r="H29" s="27">
        <f>((+H19/100)-H27)</f>
        <v>0.85924636550797362</v>
      </c>
      <c r="U29" s="5">
        <f>100*(+AC23/$E$13)</f>
        <v>215.5651692364824</v>
      </c>
      <c r="V29" s="30">
        <f>EXP(5.6985-(0.68367*LN(U29)))</f>
        <v>7.5758162241871005</v>
      </c>
      <c r="W29" s="27">
        <f>(+V29*U29)/100</f>
        <v>16.330821064713813</v>
      </c>
      <c r="X29" s="5">
        <f>100*((((W29/100)-((W29/100)-0.03574)*$E$25)-0.03574-0.00619)/0.344)</f>
        <v>27.496769305592771</v>
      </c>
      <c r="Y29">
        <v>0</v>
      </c>
      <c r="Z29" s="5">
        <f>X29+Y29</f>
        <v>27.496769305592771</v>
      </c>
      <c r="AA29" s="5">
        <f>100*($E$21*$E$23+($E$22*(Z29/100))/(1-$E$25))</f>
        <v>22.883622257412235</v>
      </c>
      <c r="AB29" s="27">
        <f>AA29/U29</f>
        <v>0.1061563996561435</v>
      </c>
      <c r="AC29" s="26">
        <f>$E$12/(1-AB29)</f>
        <v>3034750.948624433</v>
      </c>
      <c r="AD29" t="str">
        <f>IF(OR(OR(AC29=AC23,AC29=(AC23+1)),AC29=(AC23-1)),"yes","not yet")</f>
        <v>not yet</v>
      </c>
      <c r="AE29" s="5">
        <f>100*(1-AB29)</f>
        <v>89.384360034385651</v>
      </c>
      <c r="AI29" s="15" t="s">
        <v>632</v>
      </c>
    </row>
    <row r="30" spans="2:42">
      <c r="U30" s="5">
        <f>100*(+AC24/$E$13)</f>
        <v>215.37870686738643</v>
      </c>
      <c r="V30" s="30">
        <f>EXP(5.6922-(0.68367*LN(U30)))</f>
        <v>7.5326938260311653</v>
      </c>
      <c r="W30" s="27">
        <f>(+V30*U30)/100</f>
        <v>16.223818554785382</v>
      </c>
      <c r="X30" s="5">
        <f>100*((((W30/100)-((W30/100)-0.03574)*$E$25)-0.03574-0.00619)/0.344)</f>
        <v>27.251036797326901</v>
      </c>
      <c r="Y30">
        <v>0</v>
      </c>
      <c r="Z30" s="5">
        <f>X30+Y30</f>
        <v>27.251036797326901</v>
      </c>
      <c r="AA30" s="5">
        <f>100*($E$21*$E$23+($E$22*(Z30/100))/(1-$E$25))</f>
        <v>22.696989972653341</v>
      </c>
      <c r="AB30" s="27">
        <f>AA30/U30</f>
        <v>0.10538177289098682</v>
      </c>
      <c r="AC30" s="26">
        <f>$E$12/(1-AB30)</f>
        <v>3032123.2363342578</v>
      </c>
      <c r="AD30" t="str">
        <f>IF(OR(OR(AC30=AC24,AC30=(AC24+1)),AC30=(AC24-1)),"yes","not yet")</f>
        <v>not yet</v>
      </c>
      <c r="AE30" s="5">
        <f>100*(1-AB30)</f>
        <v>89.461822710901316</v>
      </c>
      <c r="AI30" s="5">
        <f>HLOOKUP($AI$29,$AI$23:$AQ$27,$E$16+1)</f>
        <v>89.384636550797353</v>
      </c>
    </row>
    <row r="31" spans="2:42">
      <c r="E31" s="26"/>
      <c r="Z31" s="5"/>
    </row>
    <row r="32" spans="2:42">
      <c r="U32" s="15" t="s">
        <v>633</v>
      </c>
      <c r="V32" s="530" t="s">
        <v>596</v>
      </c>
      <c r="W32" s="530" t="s">
        <v>597</v>
      </c>
      <c r="X32" s="530" t="s">
        <v>122</v>
      </c>
      <c r="Z32" s="5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3034742</v>
      </c>
      <c r="AO32">
        <f>HLOOKUP(8,$AI$17:$AQ$21,$E$16+1)</f>
        <v>3034742</v>
      </c>
      <c r="AP32">
        <f>HLOOKUP(9,$AI$17:$AQ$21,$E$16+1)</f>
        <v>3034742</v>
      </c>
    </row>
    <row r="33" spans="5:42">
      <c r="E33" s="26"/>
      <c r="U33" s="5">
        <f>100*(+AC27/$E$13)</f>
        <v>216.30036147697044</v>
      </c>
      <c r="V33" s="30">
        <f>EXP(5.7226-(0.68367*LN(+U33)))</f>
        <v>7.7425677684145775</v>
      </c>
      <c r="W33" s="27">
        <f>(+V33*U33)/100</f>
        <v>16.747202070680135</v>
      </c>
      <c r="X33" s="5">
        <f>100*((((W33/100)-((W33/100)-0.03574)*$E$25)-0.03574-0.00619)/0.344)</f>
        <v>28.452993127434027</v>
      </c>
      <c r="Y33">
        <v>0</v>
      </c>
      <c r="Z33" s="5">
        <f>X33+Y33</f>
        <v>28.452993127434027</v>
      </c>
      <c r="AA33" s="5">
        <f>100*($E$21*$E$23+($E$22*(Z33/100))/(1-$E$25))</f>
        <v>23.60986819805116</v>
      </c>
      <c r="AB33" s="27">
        <f>AA33/U33</f>
        <v>0.10915316108043079</v>
      </c>
      <c r="AC33" s="26">
        <f>$E$12/(1-AB33)</f>
        <v>3044959.6895413194</v>
      </c>
      <c r="AD33" t="str">
        <f>IF(OR(OR(AC33=AC27,AC33=(AC27+1)),AC33=(AC19-1)),"yes","not yet")</f>
        <v>not yet</v>
      </c>
      <c r="AE33" s="5">
        <f>100*(1-AB33)</f>
        <v>89.084683891956914</v>
      </c>
      <c r="AH33">
        <v>1</v>
      </c>
      <c r="AI33" s="5">
        <f>U9</f>
        <v>240.86228240374311</v>
      </c>
      <c r="AJ33" s="5">
        <f>U15</f>
        <v>214.62909003375668</v>
      </c>
      <c r="AK33" s="5">
        <f>U21</f>
        <v>216.42507510270224</v>
      </c>
      <c r="AL33" s="5">
        <f>U27</f>
        <v>216.29031651071955</v>
      </c>
      <c r="AM33" s="5">
        <f>U33</f>
        <v>216.30036147697044</v>
      </c>
      <c r="AN33" s="5">
        <f>T45</f>
        <v>0</v>
      </c>
      <c r="AO33" s="5">
        <f>T51</f>
        <v>0</v>
      </c>
      <c r="AP33" s="5">
        <f>T57</f>
        <v>0</v>
      </c>
    </row>
    <row r="34" spans="5:42">
      <c r="E34" s="26"/>
      <c r="U34" s="5">
        <f>100*(+AC28/$E$13)</f>
        <v>215.86643494597624</v>
      </c>
      <c r="V34" s="30">
        <f>EXP(5.70827-(0.68367*LN(+U34)))</f>
        <v>7.6428937436572681</v>
      </c>
      <c r="W34" s="27">
        <f>(+V34*U34)/100</f>
        <v>16.498442251142006</v>
      </c>
      <c r="X34" s="5">
        <f>100*((((W34/100)-((W34/100)-0.03574)*$E$25)-0.03574-0.00619)/0.344)</f>
        <v>27.88171330930868</v>
      </c>
      <c r="Y34">
        <v>0</v>
      </c>
      <c r="Z34" s="5">
        <f>X34+Y34</f>
        <v>27.88171330930868</v>
      </c>
      <c r="AA34" s="5">
        <f>100*($E$21*$E$23+($E$22*(Z34/100))/(1-$E$25))</f>
        <v>23.175984791880012</v>
      </c>
      <c r="AB34" s="27">
        <f>AA34/U34</f>
        <v>0.1073626142835969</v>
      </c>
      <c r="AC34" s="26">
        <f>$E$12/(1-AB34)</f>
        <v>3038851.7862584866</v>
      </c>
      <c r="AD34" t="str">
        <f>IF(OR(OR(AC34=AC28,AC34=(AC28+1)),AC34=(AC28-1)),"yes","not yet")</f>
        <v>not yet</v>
      </c>
      <c r="AE34" s="5">
        <f>100*(1-AB34)</f>
        <v>89.263738571640303</v>
      </c>
      <c r="AH34">
        <v>2</v>
      </c>
      <c r="AI34" s="5">
        <f>U10</f>
        <v>240.86228240374311</v>
      </c>
      <c r="AJ34" s="5">
        <f>U16</f>
        <v>214.20316182920004</v>
      </c>
      <c r="AK34" s="5">
        <f>U22</f>
        <v>215.98801553563626</v>
      </c>
      <c r="AL34" s="5">
        <f>U28</f>
        <v>215.85686027500896</v>
      </c>
      <c r="AM34" s="5">
        <f>U34</f>
        <v>215.86643494597624</v>
      </c>
      <c r="AN34" s="5">
        <f>T46</f>
        <v>0</v>
      </c>
      <c r="AO34" s="5">
        <f>T52</f>
        <v>0</v>
      </c>
      <c r="AP34" s="5">
        <f>T58</f>
        <v>0</v>
      </c>
    </row>
    <row r="35" spans="5:42">
      <c r="E35" s="26"/>
      <c r="U35" s="5">
        <f>100*(+AC29/$E$13)</f>
        <v>215.57443142051676</v>
      </c>
      <c r="V35" s="30">
        <f>EXP(5.6985-(0.68367*LN(U35)))</f>
        <v>7.5755936908595682</v>
      </c>
      <c r="W35" s="27">
        <f>(+V35*U35)/100</f>
        <v>16.331043025799055</v>
      </c>
      <c r="X35" s="5">
        <f>100*((((W35/100)-((W35/100)-0.03574)*$E$25)-0.03574-0.00619)/0.344)</f>
        <v>27.497279041805971</v>
      </c>
      <c r="Y35">
        <v>0</v>
      </c>
      <c r="Z35" s="5">
        <f>X35+Y35</f>
        <v>27.497279041805971</v>
      </c>
      <c r="AA35" s="5">
        <f>100*($E$21*$E$23+($E$22*(Z35/100))/(1-$E$25))</f>
        <v>22.884009398839979</v>
      </c>
      <c r="AB35" s="27">
        <f>AA35/U35</f>
        <v>0.10615363449202654</v>
      </c>
      <c r="AC35" s="26">
        <f>$E$12/(1-AB35)</f>
        <v>3034741.5604513073</v>
      </c>
      <c r="AD35" t="str">
        <f>IF(OR(OR(AC35=AC29,AC35=(AC29+1)),AC35=(AC29-1)),"yes","not yet")</f>
        <v>not yet</v>
      </c>
      <c r="AE35" s="5">
        <f>100*(1-AB35)</f>
        <v>89.384636550797353</v>
      </c>
      <c r="AH35">
        <v>3</v>
      </c>
      <c r="AI35" s="5">
        <f>U11</f>
        <v>240.86228240374311</v>
      </c>
      <c r="AJ35" s="5">
        <f>U17</f>
        <v>213.91720092688124</v>
      </c>
      <c r="AK35" s="5">
        <f>U23</f>
        <v>215.69386848051604</v>
      </c>
      <c r="AL35" s="5">
        <f>U29</f>
        <v>215.5651692364824</v>
      </c>
      <c r="AM35" s="5">
        <f>U35</f>
        <v>215.57443142051676</v>
      </c>
      <c r="AN35" s="5">
        <f>T47</f>
        <v>0</v>
      </c>
      <c r="AO35" s="5">
        <f>T53</f>
        <v>0</v>
      </c>
      <c r="AP35" s="5">
        <f>T59</f>
        <v>0</v>
      </c>
    </row>
    <row r="36" spans="5:42">
      <c r="E36" s="26"/>
      <c r="U36" s="5">
        <f>100*(+AC30/$E$13)</f>
        <v>215.38777110061537</v>
      </c>
      <c r="V36" s="30">
        <f>EXP(5.6922-(0.68367*LN(U36)))</f>
        <v>7.5324771006582276</v>
      </c>
      <c r="W36" s="27">
        <f>(+V36*U36)/100</f>
        <v>16.224034535772013</v>
      </c>
      <c r="X36" s="5">
        <f>100*((((W36/100)-((W36/100)-0.03574)*$E$25)-0.03574-0.00619)/0.344)</f>
        <v>27.251532800174111</v>
      </c>
      <c r="Y36">
        <v>0</v>
      </c>
      <c r="Z36" s="5">
        <f>X36+Y36</f>
        <v>27.251532800174111</v>
      </c>
      <c r="AA36" s="5">
        <f>100*($E$21*$E$23+($E$22*(Z36/100))/(1-$E$25))</f>
        <v>22.697366683676538</v>
      </c>
      <c r="AB36" s="27">
        <f>AA36/U36</f>
        <v>0.10537908706559659</v>
      </c>
      <c r="AC36" s="26">
        <f>$E$12/(1-AB36)</f>
        <v>3032114.1333125685</v>
      </c>
      <c r="AD36" t="str">
        <f>IF(OR(OR(AC36=AC30,AC36=(AC30+1)),AC36=(AC30-1)),"yes","not yet")</f>
        <v>not yet</v>
      </c>
      <c r="AE36" s="5">
        <f>100*(1-AB36)</f>
        <v>89.462091293440338</v>
      </c>
      <c r="AH36">
        <v>4</v>
      </c>
      <c r="AI36" s="5">
        <f>U12</f>
        <v>240.86228240374311</v>
      </c>
      <c r="AJ36" s="5">
        <f>U18</f>
        <v>213.73468061646301</v>
      </c>
      <c r="AK36" s="5">
        <f>U24</f>
        <v>215.50582407594212</v>
      </c>
      <c r="AL36" s="5">
        <f>U30</f>
        <v>215.37870686738643</v>
      </c>
      <c r="AM36" s="5">
        <f>U36</f>
        <v>215.38777110061537</v>
      </c>
      <c r="AN36" s="5">
        <f>T48</f>
        <v>0</v>
      </c>
      <c r="AO36" s="5">
        <f>T54</f>
        <v>0</v>
      </c>
      <c r="AP36" s="5">
        <f>T60</f>
        <v>0</v>
      </c>
    </row>
    <row r="37" spans="5:42">
      <c r="E37" s="26"/>
      <c r="Z37" s="5"/>
    </row>
    <row r="38" spans="5:42">
      <c r="U38" s="15" t="s">
        <v>634</v>
      </c>
      <c r="V38" s="530" t="s">
        <v>596</v>
      </c>
      <c r="W38" s="530" t="s">
        <v>597</v>
      </c>
      <c r="X38" s="530" t="s">
        <v>122</v>
      </c>
      <c r="Z38" s="5"/>
      <c r="AI38" s="15" t="s">
        <v>632</v>
      </c>
    </row>
    <row r="39" spans="5:42">
      <c r="U39" s="5">
        <f>100*(+AC33/$E$13)</f>
        <v>216.29961235164873</v>
      </c>
      <c r="V39" s="30">
        <f>EXP(5.7226-(0.68367*LN(+U39)))</f>
        <v>7.7425861012667516</v>
      </c>
      <c r="W39" s="27">
        <f>(+V39*U39)/100</f>
        <v>16.747183723032617</v>
      </c>
      <c r="X39" s="5">
        <f>100*((((W39/100)-((W39/100)-0.03574)*$E$25)-0.03574-0.00619)/0.344)</f>
        <v>28.452950991848159</v>
      </c>
      <c r="Y39">
        <v>0</v>
      </c>
      <c r="Z39" s="5">
        <f>X39+Y39</f>
        <v>28.452950991848159</v>
      </c>
      <c r="AA39" s="5">
        <f>100*($E$21*$E$23+($E$22*(Z39/100))/(1-$E$25))</f>
        <v>23.609836196340371</v>
      </c>
      <c r="AB39" s="27">
        <f>AA39/U39</f>
        <v>0.10915339116723298</v>
      </c>
      <c r="AC39" s="26">
        <f>ROUND($E$12/(1-AB39),0)</f>
        <v>3044960</v>
      </c>
      <c r="AD39" t="str">
        <f>IF(OR(OR(AC39=AC33,AC39=(AC33+1)),AC39=(AC25-1)),"yes","not yet")</f>
        <v>not yet</v>
      </c>
      <c r="AE39" s="5">
        <f>100*(1-AB39)</f>
        <v>89.084660883276698</v>
      </c>
      <c r="AI39" s="5">
        <f>HLOOKUP($AI$38,$AI$32:$AQ$36,$E$16+1)</f>
        <v>215.57443142051676</v>
      </c>
    </row>
    <row r="40" spans="5:42">
      <c r="U40" s="5">
        <f>100*(+AC34/$E$13)</f>
        <v>215.86573563502225</v>
      </c>
      <c r="V40" s="30">
        <f>EXP(5.70827-(0.68367*LN(+U40)))</f>
        <v>7.6429106710761427</v>
      </c>
      <c r="W40" s="27">
        <f>(+V40*U40)/100</f>
        <v>16.498425344046133</v>
      </c>
      <c r="X40" s="5">
        <f>100*((((W40/100)-((W40/100)-0.03574)*$E$25)-0.03574-0.00619)/0.344)</f>
        <v>27.881674481966414</v>
      </c>
      <c r="Y40">
        <v>0</v>
      </c>
      <c r="Z40" s="5">
        <f>X40+Y40</f>
        <v>27.881674481966414</v>
      </c>
      <c r="AA40" s="5">
        <f>100*($E$21*$E$23+($E$22*(Z40/100))/(1-$E$25))</f>
        <v>23.175955302759299</v>
      </c>
      <c r="AB40" s="27">
        <f>AA40/U40</f>
        <v>0.10736282548307871</v>
      </c>
      <c r="AC40" s="26">
        <f>ROUND($E$12/(1-AB40),0)</f>
        <v>3038853</v>
      </c>
      <c r="AD40" t="str">
        <f>IF(OR(OR(AC40=AC34,AC40=(AC34+1)),AC40=(AC34-1)),"yes","not yet")</f>
        <v>not yet</v>
      </c>
      <c r="AE40" s="5">
        <f>100*(1-AB40)</f>
        <v>89.263717451692131</v>
      </c>
    </row>
    <row r="41" spans="5:42">
      <c r="U41" s="5">
        <f>100*(+AC35/$E$13)</f>
        <v>215.57376452886137</v>
      </c>
      <c r="V41" s="30">
        <f>EXP(5.6985-(0.68367*LN(U41)))</f>
        <v>7.5756097130674345</v>
      </c>
      <c r="W41" s="27">
        <f>(+V41*U41)/100</f>
        <v>16.331027044473544</v>
      </c>
      <c r="X41" s="5">
        <f>100*((((W41/100)-((W41/100)-0.03574)*$E$25)-0.03574-0.00619)/0.344)</f>
        <v>27.497242340506105</v>
      </c>
      <c r="Y41">
        <v>0</v>
      </c>
      <c r="Z41" s="5">
        <f>X41+Y41</f>
        <v>27.497242340506105</v>
      </c>
      <c r="AA41" s="5">
        <f>100*($E$21*$E$23+($E$22*(Z41/100))/(1-$E$25))</f>
        <v>22.883981524435015</v>
      </c>
      <c r="AB41" s="27">
        <f>AA41/U41</f>
        <v>0.10615383358196757</v>
      </c>
      <c r="AC41" s="26">
        <f>ROUND($E$12/(1-AB41),0)</f>
        <v>3034742</v>
      </c>
      <c r="AD41" t="str">
        <f>IF(OR(OR(AC41=AC35,AC41=(AC35+1)),AC41=(AC35-1)),"yes","not yet")</f>
        <v>not yet</v>
      </c>
      <c r="AE41" s="5">
        <f>100*(1-AB41)</f>
        <v>89.384616641803234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3034742</v>
      </c>
      <c r="AO41">
        <f>HLOOKUP(8,$AI$17:$AQ$21,$E$16+1)</f>
        <v>3034742</v>
      </c>
      <c r="AP41">
        <f>HLOOKUP(9,$AI$17:$AQ$21,$E$16+1)</f>
        <v>3034742</v>
      </c>
    </row>
    <row r="42" spans="5:42">
      <c r="U42" s="5">
        <f>100*(+AC36/$E$13)</f>
        <v>215.38712446477666</v>
      </c>
      <c r="V42" s="30">
        <f>EXP(5.6922-(0.68367*LN(U42)))</f>
        <v>7.5324925611808204</v>
      </c>
      <c r="W42" s="27">
        <f>(+V42*U42)/100</f>
        <v>16.224019128050578</v>
      </c>
      <c r="X42" s="5">
        <f>100*((((W42/100)-((W42/100)-0.03574)*$E$25)-0.03574-0.00619)/0.344)</f>
        <v>27.251497416162675</v>
      </c>
      <c r="Y42">
        <v>0</v>
      </c>
      <c r="Z42" s="5">
        <f>X42+Y42</f>
        <v>27.251497416162675</v>
      </c>
      <c r="AA42" s="5">
        <f>100*($E$21*$E$23+($E$22*(Z42/100))/(1-$E$25))</f>
        <v>22.697339809743799</v>
      </c>
      <c r="AB42" s="27">
        <f>AA42/U42</f>
        <v>0.10537927866461493</v>
      </c>
      <c r="AC42" s="26">
        <f>ROUND($E$12/(1-AB42),0)</f>
        <v>3032115</v>
      </c>
      <c r="AD42" t="str">
        <f>IF(OR(OR(AC42=AC36,AC42=(AC36+1)),AC42=(AC36-1)),"yes","not yet")</f>
        <v>not yet</v>
      </c>
      <c r="AE42" s="5">
        <f>100*(1-AB42)</f>
        <v>89.462072133538513</v>
      </c>
      <c r="AH42">
        <v>1</v>
      </c>
      <c r="AI42" s="26">
        <f>AC9</f>
        <v>3021442.8969629272</v>
      </c>
      <c r="AJ42" s="26">
        <f>AC15</f>
        <v>3046725.8925194172</v>
      </c>
      <c r="AK42" s="26">
        <f>AC21</f>
        <v>3044828.8272591266</v>
      </c>
      <c r="AL42" s="26">
        <f>AC27</f>
        <v>3044970.2353596045</v>
      </c>
      <c r="AM42" s="26">
        <f>AC33</f>
        <v>3044959.6895413194</v>
      </c>
      <c r="AN42" s="26">
        <f>AB45</f>
        <v>0.10915338439368256</v>
      </c>
      <c r="AO42" s="26">
        <f>AB51</f>
        <v>0.10915338439368256</v>
      </c>
      <c r="AP42" s="26">
        <f>AB57</f>
        <v>0.10915338439368256</v>
      </c>
    </row>
    <row r="43" spans="5:42">
      <c r="Z43" s="5"/>
      <c r="AH43">
        <v>2</v>
      </c>
      <c r="AI43" s="26">
        <f>AC10</f>
        <v>3015446.8889284548</v>
      </c>
      <c r="AJ43" s="26">
        <f>AC16</f>
        <v>3040573.1826316128</v>
      </c>
      <c r="AK43" s="26">
        <f>AC22</f>
        <v>3038726.8433000743</v>
      </c>
      <c r="AL43" s="26">
        <f>AC28</f>
        <v>3038861.6308145733</v>
      </c>
      <c r="AM43" s="26">
        <f>AC34</f>
        <v>3038851.7862584866</v>
      </c>
      <c r="AN43" s="26">
        <f>AB46</f>
        <v>0.10736279944410419</v>
      </c>
      <c r="AO43" s="26">
        <f>AB52</f>
        <v>0.10736282089757909</v>
      </c>
      <c r="AP43" s="26">
        <f>AB58</f>
        <v>0.10736282089757909</v>
      </c>
    </row>
    <row r="44" spans="5:42">
      <c r="U44" s="15" t="s">
        <v>635</v>
      </c>
      <c r="V44" s="530" t="s">
        <v>596</v>
      </c>
      <c r="W44" s="530" t="s">
        <v>597</v>
      </c>
      <c r="X44" s="530" t="s">
        <v>122</v>
      </c>
      <c r="Z44" s="5"/>
      <c r="AH44">
        <v>3</v>
      </c>
      <c r="AI44" s="26">
        <f>AC11</f>
        <v>3011421.2718185638</v>
      </c>
      <c r="AJ44" s="26">
        <f>AC17</f>
        <v>3036432.3248838778</v>
      </c>
      <c r="AK44" s="26">
        <f>AC23</f>
        <v>3034620.5601474722</v>
      </c>
      <c r="AL44" s="26">
        <f>AC29</f>
        <v>3034750.948624433</v>
      </c>
      <c r="AM44" s="26">
        <f>AC35</f>
        <v>3034741.5604513073</v>
      </c>
      <c r="AN44" s="26">
        <f>AB47</f>
        <v>0.10615382426067324</v>
      </c>
      <c r="AO44" s="26">
        <f>AB53</f>
        <v>0.10615382426067324</v>
      </c>
      <c r="AP44" s="26">
        <f>AB59</f>
        <v>0.10615382426067324</v>
      </c>
    </row>
    <row r="45" spans="5:42">
      <c r="U45" s="5">
        <f>100*(+AC39/$E$13)</f>
        <v>216.29963440517295</v>
      </c>
      <c r="V45" s="30">
        <f>EXP(5.7226-(0.68367*LN(+U45)))</f>
        <v>7.7425855615638062</v>
      </c>
      <c r="W45" s="27">
        <f>(+V45*U45)/100</f>
        <v>16.747184263170219</v>
      </c>
      <c r="X45" s="5">
        <f>100*((((W45/100)-((W45/100)-0.03574)*$E$25)-0.03574-0.00619)/0.344)</f>
        <v>28.452952232280449</v>
      </c>
      <c r="Y45">
        <v>0</v>
      </c>
      <c r="Z45" s="5">
        <f>X45+Y45</f>
        <v>28.452952232280449</v>
      </c>
      <c r="AA45" s="5">
        <f>100*($E$21*$E$23+($E$22*(Z45/100))/(1-$E$25))</f>
        <v>23.609837138440849</v>
      </c>
      <c r="AB45" s="27">
        <f>AA45/U45</f>
        <v>0.10915338439368256</v>
      </c>
      <c r="AC45" s="26">
        <f>ROUND($E$12/(1-AB45),0)</f>
        <v>3044960</v>
      </c>
      <c r="AD45" t="str">
        <f>IF(OR(OR(AC45=AC39,AC45=(AC39+1)),AC45=(AC31-1)),"yes","not yet")</f>
        <v>yes</v>
      </c>
      <c r="AE45" s="5">
        <f>100*(1-AB45)</f>
        <v>89.084661560631744</v>
      </c>
      <c r="AH45">
        <v>4</v>
      </c>
      <c r="AI45" s="26">
        <f>AC12</f>
        <v>3008851.8405481903</v>
      </c>
      <c r="AJ45" s="26">
        <f>AC18</f>
        <v>3033785.1281295884</v>
      </c>
      <c r="AK45" s="26">
        <f>AC24</f>
        <v>3031995.6345114959</v>
      </c>
      <c r="AL45" s="26">
        <f>AC30</f>
        <v>3032123.2363342578</v>
      </c>
      <c r="AM45" s="26">
        <f>AC36</f>
        <v>3032114.1333125685</v>
      </c>
      <c r="AN45" s="26">
        <f>AB48</f>
        <v>0.1053792604226709</v>
      </c>
      <c r="AO45" s="26">
        <f>AB54</f>
        <v>0.1053792604226709</v>
      </c>
      <c r="AP45" s="26">
        <f>AB60</f>
        <v>0.1053792604226709</v>
      </c>
    </row>
    <row r="46" spans="5:42">
      <c r="U46" s="5">
        <f>100*(+AC40/$E$13)</f>
        <v>215.86582185350974</v>
      </c>
      <c r="V46" s="30">
        <f>EXP(5.70827-(0.68367*LN(+U46)))</f>
        <v>7.6429085840790334</v>
      </c>
      <c r="W46" s="27">
        <f>(+V46*U46)/100</f>
        <v>16.498427428534651</v>
      </c>
      <c r="X46" s="5">
        <f>100*((((W46/100)-((W46/100)-0.03574)*$E$25)-0.03574-0.00619)/0.344)</f>
        <v>27.881679269018534</v>
      </c>
      <c r="Y46">
        <v>0</v>
      </c>
      <c r="Z46" s="5">
        <f>X46+Y46</f>
        <v>27.881679269018534</v>
      </c>
      <c r="AA46" s="5">
        <f>100*($E$21*$E$23+($E$22*(Z46/100))/(1-$E$25))</f>
        <v>23.175958938495089</v>
      </c>
      <c r="AB46" s="27">
        <f>AA46/U46</f>
        <v>0.10736279944410419</v>
      </c>
      <c r="AC46" s="26">
        <f>ROUND($E$12/(1-AB46),0)</f>
        <v>3038852</v>
      </c>
      <c r="AD46" t="str">
        <f>IF(OR(OR(AC46=AC40,AC46=(AC40+1)),AC46=(AC40-1)),"yes","not yet")</f>
        <v>yes</v>
      </c>
      <c r="AE46" s="5">
        <f>100*(1-AB46)</f>
        <v>89.263720055589573</v>
      </c>
    </row>
    <row r="47" spans="5:42">
      <c r="U47" s="5">
        <f>100*(+AC41/$E$13)</f>
        <v>215.57379575233284</v>
      </c>
      <c r="V47" s="30">
        <f>EXP(5.6985-(0.68367*LN(U47)))</f>
        <v>7.5756089629153092</v>
      </c>
      <c r="W47" s="27">
        <f>(+V47*U47)/100</f>
        <v>16.331027792710469</v>
      </c>
      <c r="X47" s="5">
        <f>100*((((W47/100)-((W47/100)-0.03574)*$E$25)-0.03574-0.00619)/0.344)</f>
        <v>27.497244058840899</v>
      </c>
      <c r="Y47">
        <v>0</v>
      </c>
      <c r="Z47" s="5">
        <f>X47+Y47</f>
        <v>27.497244058840899</v>
      </c>
      <c r="AA47" s="5">
        <f>100*($E$21*$E$23+($E$22*(Z47/100))/(1-$E$25))</f>
        <v>22.883982829499409</v>
      </c>
      <c r="AB47" s="27">
        <f>AA47/U47</f>
        <v>0.10615382426067324</v>
      </c>
      <c r="AC47" s="26">
        <f>ROUND($E$12/(1-AB47),0)</f>
        <v>3034742</v>
      </c>
      <c r="AD47" t="str">
        <f>IF(OR(OR(AC47=AC41,AC47=(AC41+1)),AC47=(AC41-1)),"yes","not yet")</f>
        <v>yes</v>
      </c>
      <c r="AE47" s="5">
        <f>100*(1-AB47)</f>
        <v>89.384617573932672</v>
      </c>
      <c r="AI47" s="15" t="s">
        <v>632</v>
      </c>
    </row>
    <row r="48" spans="5:42">
      <c r="U48" s="5">
        <f>100*(+AC42/$E$13)</f>
        <v>215.38718603017477</v>
      </c>
      <c r="V48" s="30">
        <f>EXP(5.6922-(0.68367*LN(U48)))</f>
        <v>7.5324910892002261</v>
      </c>
      <c r="W48" s="27">
        <f>(+V48*U48)/100</f>
        <v>16.224020595002031</v>
      </c>
      <c r="X48" s="5">
        <f>100*((((W48/100)-((W48/100)-0.03574)*$E$25)-0.03574-0.00619)/0.344)</f>
        <v>27.251500785033738</v>
      </c>
      <c r="Y48">
        <v>0</v>
      </c>
      <c r="Z48" s="5">
        <f>X48+Y48</f>
        <v>27.251500785033738</v>
      </c>
      <c r="AA48" s="5">
        <f>100*($E$21*$E$23+($E$22*(Z48/100))/(1-$E$25))</f>
        <v>22.697342368380053</v>
      </c>
      <c r="AB48" s="27">
        <f>AA48/U48</f>
        <v>0.1053792604226709</v>
      </c>
      <c r="AC48" s="26">
        <f>ROUND($E$12/(1-AB48),0)</f>
        <v>3032115</v>
      </c>
      <c r="AD48" t="str">
        <f>IF(OR(OR(AC48=AC42,AC48=(AC42+1)),AC48=(AC42-1)),"yes","not yet")</f>
        <v>yes</v>
      </c>
      <c r="AE48" s="5">
        <f>100*(1-AB48)</f>
        <v>89.462073957732912</v>
      </c>
      <c r="AI48" s="26">
        <f>HLOOKUP($AI$38,$AI$41:$AQ$45,$E$16+1)</f>
        <v>3034741.5604513073</v>
      </c>
    </row>
    <row r="49" spans="4:31">
      <c r="Z49" s="5"/>
    </row>
    <row r="50" spans="4:31">
      <c r="D50" s="26"/>
      <c r="E50" s="26"/>
      <c r="F50" s="26"/>
      <c r="U50" s="15" t="s">
        <v>636</v>
      </c>
      <c r="V50" s="530" t="s">
        <v>596</v>
      </c>
      <c r="W50" s="530" t="s">
        <v>597</v>
      </c>
      <c r="X50" s="530" t="s">
        <v>122</v>
      </c>
      <c r="Z50" s="5"/>
    </row>
    <row r="51" spans="4:31">
      <c r="D51" s="26"/>
      <c r="E51" s="26"/>
      <c r="F51" s="26"/>
      <c r="U51" s="5">
        <f>100*(+AC45/$E$13)</f>
        <v>216.29963440517295</v>
      </c>
      <c r="V51" s="30">
        <f>EXP(5.7226-(0.68367*LN(+U51)))</f>
        <v>7.7425855615638062</v>
      </c>
      <c r="W51" s="27">
        <f>(+V51*U51)/100</f>
        <v>16.747184263170219</v>
      </c>
      <c r="X51" s="5">
        <f>100*((((W51/100)-((W51/100)-0.03574)*$E$25)-0.03574-0.00619)/0.344)</f>
        <v>28.452952232280449</v>
      </c>
      <c r="Y51">
        <v>0</v>
      </c>
      <c r="Z51" s="5">
        <f>X51+Y51</f>
        <v>28.452952232280449</v>
      </c>
      <c r="AA51" s="5">
        <f>100*($E$21*$E$23+($E$22*(Z51/100))/(1-$E$25))</f>
        <v>23.609837138440849</v>
      </c>
      <c r="AB51" s="27">
        <f>AA51/U51</f>
        <v>0.10915338439368256</v>
      </c>
      <c r="AC51" s="26">
        <f>ROUND($E$12/(1-AB51),0)</f>
        <v>3044960</v>
      </c>
      <c r="AD51" t="str">
        <f>IF(OR(OR(AC51=AC45,AC51=(AC45+1)),AC51=(AC37-1)),"yes","not yet")</f>
        <v>yes</v>
      </c>
      <c r="AE51" s="5">
        <f>100*(1-AB51)</f>
        <v>89.084661560631744</v>
      </c>
    </row>
    <row r="52" spans="4:31">
      <c r="U52" s="5">
        <f>100*(+AC46/$E$13)</f>
        <v>215.86575081821388</v>
      </c>
      <c r="V52" s="30">
        <f>EXP(5.70827-(0.68367*LN(+U52)))</f>
        <v>7.6429103035530428</v>
      </c>
      <c r="W52" s="27">
        <f>(+V52*U52)/100</f>
        <v>16.498425711127407</v>
      </c>
      <c r="X52" s="5">
        <f>100*((((W52/100)-((W52/100)-0.03574)*$E$25)-0.03574-0.00619)/0.344)</f>
        <v>27.881675324972825</v>
      </c>
      <c r="Y52">
        <v>0</v>
      </c>
      <c r="Z52" s="5">
        <f>X52+Y52</f>
        <v>27.881675324972825</v>
      </c>
      <c r="AA52" s="5">
        <f>100*($E$21*$E$23+($E$22*(Z52/100))/(1-$E$25))</f>
        <v>23.175955943017335</v>
      </c>
      <c r="AB52" s="27">
        <f>AA52/U52</f>
        <v>0.10736282089757909</v>
      </c>
      <c r="AC52" s="26">
        <f>ROUND($E$12/(1-AB52),0)</f>
        <v>3038852</v>
      </c>
      <c r="AD52" t="str">
        <f>IF(OR(OR(AC52=AC46,AC52=(AC46+1)),AC52=(AC46-1)),"yes","not yet")</f>
        <v>yes</v>
      </c>
      <c r="AE52" s="5">
        <f>100*(1-AB52)</f>
        <v>89.263717910242093</v>
      </c>
    </row>
    <row r="53" spans="4:31">
      <c r="U53" s="5">
        <f>100*(+AC47/$E$13)</f>
        <v>215.57379575233284</v>
      </c>
      <c r="V53" s="30">
        <f>EXP(5.6985-(0.68367*LN(U53)))</f>
        <v>7.5756089629153092</v>
      </c>
      <c r="W53" s="27">
        <f>(+V53*U53)/100</f>
        <v>16.331027792710469</v>
      </c>
      <c r="X53" s="5">
        <f>100*((((W53/100)-((W53/100)-0.03574)*$E$25)-0.03574-0.00619)/0.344)</f>
        <v>27.497244058840899</v>
      </c>
      <c r="Y53">
        <v>0</v>
      </c>
      <c r="Z53" s="5">
        <f>X53+Y53</f>
        <v>27.497244058840899</v>
      </c>
      <c r="AA53" s="5">
        <f>100*($E$21*$E$23+($E$22*(Z53/100))/(1-$E$25))</f>
        <v>22.883982829499409</v>
      </c>
      <c r="AB53" s="27">
        <f>AA53/U53</f>
        <v>0.10615382426067324</v>
      </c>
      <c r="AC53" s="26">
        <f>ROUND($E$12/(1-AB53),0)</f>
        <v>3034742</v>
      </c>
      <c r="AD53" t="str">
        <f>IF(OR(OR(AC53=AC47,AC53=(AC47+1)),AC53=(AC47-1)),"yes","not yet")</f>
        <v>yes</v>
      </c>
      <c r="AE53" s="5">
        <f>100*(1-AB53)</f>
        <v>89.384617573932672</v>
      </c>
    </row>
    <row r="54" spans="4:31">
      <c r="U54" s="5">
        <f>100*(+AC48/$E$13)</f>
        <v>215.38718603017477</v>
      </c>
      <c r="V54" s="30">
        <f>EXP(5.6922-(0.68367*LN(U54)))</f>
        <v>7.5324910892002261</v>
      </c>
      <c r="W54" s="27">
        <f>(+V54*U54)/100</f>
        <v>16.224020595002031</v>
      </c>
      <c r="X54" s="5">
        <f>100*((((W54/100)-((W54/100)-0.03574)*$E$25)-0.03574-0.00619)/0.344)</f>
        <v>27.251500785033738</v>
      </c>
      <c r="Y54">
        <v>0</v>
      </c>
      <c r="Z54" s="5">
        <f>X54+Y54</f>
        <v>27.251500785033738</v>
      </c>
      <c r="AA54" s="5">
        <f>100*($E$21*$E$23+($E$22*(Z54/100))/(1-$E$25))</f>
        <v>22.697342368380053</v>
      </c>
      <c r="AB54" s="27">
        <f>AA54/U54</f>
        <v>0.1053792604226709</v>
      </c>
      <c r="AC54" s="26">
        <f>ROUND($E$12/(1-AB54),0)</f>
        <v>3032115</v>
      </c>
      <c r="AD54" t="str">
        <f>IF(OR(OR(AC54=AC48,AC54=(AC48+1)),AC54=(AC48-1)),"yes","not yet")</f>
        <v>yes</v>
      </c>
      <c r="AE54" s="5">
        <f>100*(1-AB54)</f>
        <v>89.462073957732912</v>
      </c>
    </row>
    <row r="55" spans="4:31">
      <c r="Z55" s="5"/>
    </row>
    <row r="56" spans="4:31">
      <c r="U56" s="15" t="s">
        <v>637</v>
      </c>
      <c r="V56" s="530" t="s">
        <v>596</v>
      </c>
      <c r="W56" s="530" t="s">
        <v>597</v>
      </c>
      <c r="X56" s="530" t="s">
        <v>122</v>
      </c>
      <c r="Z56" s="5"/>
    </row>
    <row r="57" spans="4:31">
      <c r="U57" s="5">
        <f>100*(+AC51/$E$13)</f>
        <v>216.29963440517295</v>
      </c>
      <c r="V57" s="30">
        <f>EXP(5.7226-(0.68367*LN(+U57)))</f>
        <v>7.7425855615638062</v>
      </c>
      <c r="W57" s="27">
        <f>(+V57*U57)/100</f>
        <v>16.747184263170219</v>
      </c>
      <c r="X57" s="5">
        <f>100*((((W57/100)-((W57/100)-0.03574)*$E$25)-0.03574-0.00619)/0.344)</f>
        <v>28.452952232280449</v>
      </c>
      <c r="Y57">
        <v>0</v>
      </c>
      <c r="Z57" s="5">
        <f>X57+Y57</f>
        <v>28.452952232280449</v>
      </c>
      <c r="AA57" s="5">
        <f>100*($E$21*$E$23+($E$22*(Z57/100))/(1-$E$25))</f>
        <v>23.609837138440849</v>
      </c>
      <c r="AB57" s="27">
        <f>AA57/U57</f>
        <v>0.10915338439368256</v>
      </c>
      <c r="AC57" s="26">
        <f>ROUND($E$12/(1-AB57),0)</f>
        <v>3044960</v>
      </c>
      <c r="AD57" t="str">
        <f>IF(OR(OR(AC57=AC51,AC57=(AC51+1)),AC57=(AC43-1)),"yes","not yet")</f>
        <v>yes</v>
      </c>
      <c r="AE57" s="5">
        <f>100*(1-AB57)</f>
        <v>89.084661560631744</v>
      </c>
    </row>
    <row r="58" spans="4:31">
      <c r="U58" s="5">
        <f>100*(+AC52/$E$13)</f>
        <v>215.86575081821388</v>
      </c>
      <c r="V58" s="30">
        <f>EXP(5.70827-(0.68367*LN(+U58)))</f>
        <v>7.6429103035530428</v>
      </c>
      <c r="W58" s="27">
        <f>(+V58*U58)/100</f>
        <v>16.498425711127407</v>
      </c>
      <c r="X58" s="5">
        <f>100*((((W58/100)-((W58/100)-0.03574)*$E$25)-0.03574-0.00619)/0.344)</f>
        <v>27.881675324972825</v>
      </c>
      <c r="Y58">
        <v>0</v>
      </c>
      <c r="Z58" s="5">
        <f>X58+Y58</f>
        <v>27.881675324972825</v>
      </c>
      <c r="AA58" s="5">
        <f>100*($E$21*$E$23+($E$22*(Z58/100))/(1-$E$25))</f>
        <v>23.175955943017335</v>
      </c>
      <c r="AB58" s="27">
        <f>AA58/U58</f>
        <v>0.10736282089757909</v>
      </c>
      <c r="AC58" s="26">
        <f>ROUND($E$12/(1-AB58),0)</f>
        <v>3038852</v>
      </c>
      <c r="AD58" t="str">
        <f>IF(OR(OR(AC58=AC52,AC58=(AC52+1)),AC58=(AC52-1)),"yes","not yet")</f>
        <v>yes</v>
      </c>
      <c r="AE58" s="5">
        <f>100*(1-AB58)</f>
        <v>89.263717910242093</v>
      </c>
    </row>
    <row r="59" spans="4:31">
      <c r="U59" s="5">
        <f>100*(+AC53/$E$13)</f>
        <v>215.57379575233284</v>
      </c>
      <c r="V59" s="30">
        <f>EXP(5.6985-(0.68367*LN(U59)))</f>
        <v>7.5756089629153092</v>
      </c>
      <c r="W59" s="27">
        <f>(+V59*U59)/100</f>
        <v>16.331027792710469</v>
      </c>
      <c r="X59" s="5">
        <f>100*((((W59/100)-((W59/100)-0.03574)*$E$25)-0.03574-0.00619)/0.344)</f>
        <v>27.497244058840899</v>
      </c>
      <c r="Y59">
        <v>0</v>
      </c>
      <c r="Z59" s="5">
        <f>X59+Y59</f>
        <v>27.497244058840899</v>
      </c>
      <c r="AA59" s="5">
        <f>100*($E$21*$E$23+($E$22*(Z59/100))/(1-$E$25))</f>
        <v>22.883982829499409</v>
      </c>
      <c r="AB59" s="27">
        <f>AA59/U59</f>
        <v>0.10615382426067324</v>
      </c>
      <c r="AC59" s="26">
        <f>ROUND($E$12/(1-AB59),0)</f>
        <v>3034742</v>
      </c>
      <c r="AD59" t="str">
        <f>IF(OR(OR(AC59=AC53,AC59=(AC53+1)),AC59=(AC53-1)),"yes","not yet")</f>
        <v>yes</v>
      </c>
      <c r="AE59" s="5">
        <f>100*(1-AB59)</f>
        <v>89.384617573932672</v>
      </c>
    </row>
    <row r="60" spans="4:31">
      <c r="U60" s="5">
        <f>100*(+AC54/$E$13)</f>
        <v>215.38718603017477</v>
      </c>
      <c r="V60" s="30">
        <f>EXP(5.6922-(0.68367*LN(U60)))</f>
        <v>7.5324910892002261</v>
      </c>
      <c r="W60" s="27">
        <f>(+V60*U60)/100</f>
        <v>16.224020595002031</v>
      </c>
      <c r="X60" s="5">
        <f>100*((((W60/100)-((W60/100)-0.03574)*$E$25)-0.03574-0.00619)/0.344)</f>
        <v>27.251500785033738</v>
      </c>
      <c r="Y60">
        <v>0</v>
      </c>
      <c r="Z60" s="5">
        <f>X60+Y60</f>
        <v>27.251500785033738</v>
      </c>
      <c r="AA60" s="5">
        <f>100*($E$21*$E$23+($E$22*(Z60/100))/(1-$E$25))</f>
        <v>22.697342368380053</v>
      </c>
      <c r="AB60" s="27">
        <f>AA60/U60</f>
        <v>0.1053792604226709</v>
      </c>
      <c r="AC60" s="26">
        <f>ROUND($E$12/(1-AB60),0)</f>
        <v>3032115</v>
      </c>
      <c r="AD60" t="str">
        <f>IF(OR(OR(AC60=AC54,AC60=(AC54+1)),AC60=(AC54-1)),"yes","not yet")</f>
        <v>yes</v>
      </c>
      <c r="AE60" s="5">
        <f>100*(1-AB60)</f>
        <v>89.462073957732912</v>
      </c>
    </row>
    <row r="61" spans="4:31">
      <c r="Z61" s="5"/>
    </row>
    <row r="63" spans="4:31">
      <c r="U63" s="5"/>
      <c r="V63" s="30"/>
      <c r="W63" s="27"/>
      <c r="X63" s="5"/>
      <c r="AA63" s="5"/>
      <c r="AB63" s="27"/>
      <c r="AC63" s="26"/>
    </row>
    <row r="64" spans="4:31">
      <c r="U64" s="5"/>
      <c r="V64" s="30"/>
      <c r="W64" s="27"/>
      <c r="X64" s="5"/>
      <c r="AA64" s="5"/>
      <c r="AB64" s="27"/>
      <c r="AC64" s="26"/>
    </row>
    <row r="65" spans="20:29">
      <c r="U65" s="5"/>
      <c r="V65" s="30"/>
      <c r="W65" s="27"/>
      <c r="X65" s="5"/>
      <c r="AA65" s="5"/>
      <c r="AB65" s="27"/>
      <c r="AC65" s="26"/>
    </row>
    <row r="66" spans="20:29">
      <c r="U66" s="5"/>
      <c r="V66" s="30"/>
      <c r="W66" s="27"/>
      <c r="X66" s="5"/>
      <c r="AA66" s="5"/>
      <c r="AB66" s="27"/>
      <c r="AC66" s="26"/>
    </row>
    <row r="69" spans="20:29">
      <c r="U69" s="5"/>
      <c r="V69" s="30"/>
      <c r="W69" s="27"/>
      <c r="X69" s="5"/>
      <c r="AA69" s="5"/>
      <c r="AB69" s="27"/>
      <c r="AC69" s="26"/>
    </row>
    <row r="70" spans="20:29">
      <c r="U70" s="5"/>
      <c r="V70" s="30"/>
      <c r="W70" s="27"/>
      <c r="X70" s="5"/>
      <c r="AA70" s="5"/>
      <c r="AB70" s="27"/>
      <c r="AC70" s="26"/>
    </row>
    <row r="71" spans="20:29">
      <c r="T71" s="5"/>
      <c r="U71" s="30"/>
      <c r="V71" s="27"/>
      <c r="W71" s="5"/>
      <c r="Z71" s="5"/>
      <c r="AA71" s="27"/>
      <c r="AB71" s="26"/>
    </row>
    <row r="72" spans="20:29">
      <c r="T72" s="5"/>
      <c r="U72" s="30"/>
      <c r="V72" s="27"/>
      <c r="W72" s="5"/>
      <c r="Z72" s="5"/>
      <c r="AA72" s="27"/>
      <c r="AB72" s="26"/>
    </row>
    <row r="75" spans="20:29">
      <c r="T75" s="5"/>
      <c r="U75" s="30"/>
      <c r="V75" s="27"/>
      <c r="W75" s="5"/>
      <c r="Z75" s="5"/>
      <c r="AA75" s="27"/>
      <c r="AB75" s="26"/>
    </row>
    <row r="76" spans="20:29">
      <c r="T76" s="5"/>
      <c r="U76" s="30"/>
      <c r="V76" s="27"/>
      <c r="W76" s="5"/>
      <c r="Z76" s="5"/>
      <c r="AA76" s="27"/>
      <c r="AB76" s="26"/>
    </row>
    <row r="77" spans="20:29">
      <c r="T77" s="5"/>
      <c r="U77" s="30"/>
      <c r="V77" s="27"/>
      <c r="W77" s="5"/>
      <c r="Z77" s="5"/>
      <c r="AA77" s="27"/>
      <c r="AB77" s="26"/>
    </row>
    <row r="78" spans="20:29">
      <c r="T78" s="5"/>
      <c r="U78" s="30"/>
      <c r="V78" s="27"/>
      <c r="W78" s="5"/>
      <c r="Z78" s="5"/>
      <c r="AA78" s="27"/>
      <c r="AB78" s="26"/>
    </row>
    <row r="81" spans="20:28">
      <c r="T81" s="5"/>
      <c r="U81" s="30"/>
      <c r="V81" s="27"/>
      <c r="W81" s="5"/>
      <c r="Z81" s="5"/>
      <c r="AA81" s="27"/>
      <c r="AB81" s="26"/>
    </row>
    <row r="82" spans="20:28">
      <c r="T82" s="5"/>
      <c r="U82" s="30"/>
      <c r="V82" s="27"/>
      <c r="W82" s="5"/>
      <c r="Z82" s="5"/>
      <c r="AA82" s="27"/>
      <c r="AB82" s="26"/>
    </row>
    <row r="83" spans="20:28">
      <c r="T83" s="5"/>
      <c r="U83" s="30"/>
      <c r="V83" s="27"/>
      <c r="W83" s="5"/>
      <c r="Z83" s="5"/>
      <c r="AA83" s="27"/>
      <c r="AB83" s="26"/>
    </row>
    <row r="84" spans="20:28">
      <c r="T84" s="5"/>
      <c r="U84" s="30"/>
      <c r="V84" s="27"/>
      <c r="W84" s="5"/>
      <c r="Z84" s="5"/>
      <c r="AA84" s="27"/>
      <c r="AB84" s="26"/>
    </row>
    <row r="87" spans="20:28">
      <c r="T87" s="5"/>
      <c r="U87" s="30"/>
      <c r="V87" s="27"/>
      <c r="W87" s="5"/>
      <c r="Z87" s="5"/>
      <c r="AA87" s="27"/>
      <c r="AB87" s="26"/>
    </row>
    <row r="88" spans="20:28">
      <c r="T88" s="5"/>
      <c r="U88" s="30"/>
      <c r="V88" s="27"/>
      <c r="W88" s="5"/>
      <c r="Z88" s="5"/>
      <c r="AA88" s="27"/>
      <c r="AB88" s="26"/>
    </row>
    <row r="89" spans="20:28">
      <c r="T89" s="5"/>
      <c r="U89" s="30"/>
      <c r="V89" s="27"/>
      <c r="W89" s="5"/>
      <c r="Z89" s="5"/>
      <c r="AA89" s="27"/>
      <c r="AB89" s="26"/>
    </row>
    <row r="90" spans="20:28">
      <c r="T90" s="5"/>
      <c r="U90" s="30"/>
      <c r="V90" s="27"/>
      <c r="W90" s="5"/>
      <c r="Z90" s="5"/>
      <c r="AA90" s="27"/>
      <c r="AB90" s="26"/>
    </row>
    <row r="93" spans="20:28">
      <c r="T93" s="5"/>
      <c r="U93" s="30"/>
      <c r="V93" s="27"/>
      <c r="W93" s="5"/>
      <c r="Z93" s="5"/>
      <c r="AA93" s="27"/>
      <c r="AB93" s="26"/>
    </row>
    <row r="94" spans="20:28">
      <c r="T94" s="5"/>
      <c r="U94" s="30"/>
      <c r="V94" s="27"/>
      <c r="W94" s="5"/>
      <c r="Z94" s="5"/>
      <c r="AA94" s="27"/>
      <c r="AB94" s="26"/>
    </row>
    <row r="95" spans="20:28">
      <c r="T95" s="5"/>
      <c r="U95" s="30"/>
      <c r="V95" s="27"/>
      <c r="W95" s="5"/>
      <c r="Z95" s="5"/>
      <c r="AA95" s="27"/>
      <c r="AB95" s="26"/>
    </row>
    <row r="96" spans="20:28">
      <c r="T96" s="5"/>
      <c r="U96" s="30"/>
      <c r="V96" s="27"/>
      <c r="W96" s="5"/>
      <c r="Z96" s="5"/>
      <c r="AA96" s="27"/>
      <c r="AB96" s="26"/>
    </row>
  </sheetData>
  <pageMargins left="0.75" right="0.75" top="0.54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  <pageSetUpPr fitToPage="1"/>
  </sheetPr>
  <dimension ref="A1:AP96"/>
  <sheetViews>
    <sheetView workbookViewId="0">
      <selection activeCell="E4" sqref="E4"/>
    </sheetView>
  </sheetViews>
  <sheetFormatPr defaultRowHeight="12.75"/>
  <cols>
    <col min="1" max="1" width="10.140625" bestFit="1" customWidth="1"/>
    <col min="5" max="5" width="11" customWidth="1"/>
    <col min="20" max="20" width="11.42578125" customWidth="1"/>
    <col min="29" max="29" width="11.85546875" customWidth="1"/>
    <col min="35" max="35" width="10.85546875" customWidth="1"/>
    <col min="36" max="36" width="10.28515625" customWidth="1"/>
    <col min="37" max="37" width="10" customWidth="1"/>
    <col min="38" max="38" width="10.140625" customWidth="1"/>
    <col min="39" max="39" width="10.7109375" customWidth="1"/>
  </cols>
  <sheetData>
    <row r="1" spans="1:35">
      <c r="A1" t="s">
        <v>4</v>
      </c>
    </row>
    <row r="3" spans="1:35">
      <c r="A3" t="s">
        <v>638</v>
      </c>
      <c r="D3" s="459" t="s">
        <v>11</v>
      </c>
      <c r="E3" s="459" t="s">
        <v>12</v>
      </c>
    </row>
    <row r="5" spans="1:35">
      <c r="A5" s="480">
        <v>45473</v>
      </c>
    </row>
    <row r="7" spans="1:35">
      <c r="B7" s="15" t="s">
        <v>589</v>
      </c>
      <c r="AD7" s="530" t="s">
        <v>590</v>
      </c>
      <c r="AE7" s="530" t="s">
        <v>591</v>
      </c>
      <c r="AH7" s="15" t="s">
        <v>592</v>
      </c>
    </row>
    <row r="8" spans="1:35">
      <c r="E8" s="25"/>
      <c r="M8" s="15" t="s">
        <v>593</v>
      </c>
      <c r="T8" s="530" t="s">
        <v>594</v>
      </c>
      <c r="U8" s="530" t="s">
        <v>595</v>
      </c>
      <c r="V8" s="530" t="s">
        <v>596</v>
      </c>
      <c r="W8" s="530" t="s">
        <v>597</v>
      </c>
      <c r="X8" s="530" t="s">
        <v>122</v>
      </c>
      <c r="Z8" s="530" t="s">
        <v>598</v>
      </c>
      <c r="AA8" s="15" t="s">
        <v>599</v>
      </c>
      <c r="AB8" s="530" t="s">
        <v>600</v>
      </c>
      <c r="AC8" s="530" t="s">
        <v>601</v>
      </c>
      <c r="AD8" s="530" t="s">
        <v>602</v>
      </c>
      <c r="AH8" s="15" t="s">
        <v>603</v>
      </c>
    </row>
    <row r="9" spans="1:35">
      <c r="B9" s="15" t="s">
        <v>604</v>
      </c>
      <c r="C9" s="15" t="s">
        <v>152</v>
      </c>
      <c r="E9" s="25">
        <f>E11+E10</f>
        <v>2299426.4698114549</v>
      </c>
      <c r="F9" s="15" t="s">
        <v>605</v>
      </c>
      <c r="K9" s="9"/>
      <c r="M9" s="15" t="s">
        <v>606</v>
      </c>
      <c r="P9" s="15" t="s">
        <v>199</v>
      </c>
      <c r="T9" s="26">
        <f>$E$12*1.25</f>
        <v>2554622.9013301609</v>
      </c>
      <c r="U9" s="5">
        <f>100*(+T9/$E$13)</f>
        <v>232.74390599835698</v>
      </c>
      <c r="V9" s="27">
        <f>EXP(5.7226-(0.68367*LN(+U9)))</f>
        <v>7.3642733780867449</v>
      </c>
      <c r="W9" s="27">
        <f>(+V9*U9)/100</f>
        <v>17.139897508556242</v>
      </c>
      <c r="X9" s="5">
        <f>100*((((W9/100)-((W9/100)-0.03574)*$E$25)-0.03574-0.00619)/0.344)</f>
        <v>29.35482276674254</v>
      </c>
      <c r="Y9">
        <v>0</v>
      </c>
      <c r="Z9" s="5">
        <f>X9+Y9</f>
        <v>29.35482276674254</v>
      </c>
      <c r="AA9" s="5">
        <f>100*($E$21*$E$23+($E$22*(Z9/100))/(1-$E$25))</f>
        <v>24.394802101323446</v>
      </c>
      <c r="AB9" s="27">
        <f>AA9/U9</f>
        <v>0.10481392411406749</v>
      </c>
      <c r="AC9" s="26">
        <f>$E$12/(1-AB9)</f>
        <v>2282987.1644747783</v>
      </c>
      <c r="AD9" t="str">
        <f>IF(AC9=$T$9,"yes","not yet")</f>
        <v>not yet</v>
      </c>
      <c r="AE9" s="5">
        <f>100*(1-AB9)</f>
        <v>89.518607588593241</v>
      </c>
      <c r="AH9">
        <v>0</v>
      </c>
      <c r="AI9">
        <v>1</v>
      </c>
    </row>
    <row r="10" spans="1:35">
      <c r="B10" s="15" t="s">
        <v>604</v>
      </c>
      <c r="C10" s="15" t="s">
        <v>607</v>
      </c>
      <c r="E10" s="25">
        <f>(+E12-((H19/100)*E11))/H29</f>
        <v>166331.83741930069</v>
      </c>
      <c r="F10" s="28" t="s">
        <v>605</v>
      </c>
      <c r="K10" s="9"/>
      <c r="M10" s="15" t="s">
        <v>608</v>
      </c>
      <c r="P10" s="15" t="s">
        <v>202</v>
      </c>
      <c r="T10" s="26">
        <f>$E$12*1.25</f>
        <v>2554622.9013301609</v>
      </c>
      <c r="U10" s="5">
        <f>100*(+T10/$E$13)</f>
        <v>232.74390599835698</v>
      </c>
      <c r="V10" s="27">
        <f>EXP(5.70827-(0.68367*LN(+U10)))</f>
        <v>7.2594958644534042</v>
      </c>
      <c r="W10" s="27">
        <f>(+V10*U10)/100</f>
        <v>16.896034230718044</v>
      </c>
      <c r="X10" s="5">
        <f>100*((((W10/100)-((W10/100)-0.03574)*$E$25)-0.03574-0.00619)/0.344)</f>
        <v>28.794787913567603</v>
      </c>
      <c r="Y10">
        <v>0</v>
      </c>
      <c r="Z10" s="5">
        <f>X10+Y10</f>
        <v>28.794787913567603</v>
      </c>
      <c r="AA10" s="5">
        <f>100*($E$21*$E$23+($E$22*(Z10/100))/(1-$E$25))</f>
        <v>23.96945917486147</v>
      </c>
      <c r="AB10" s="27">
        <f>AA10/U10</f>
        <v>0.10298640934139293</v>
      </c>
      <c r="AC10" s="26">
        <f>$E$12/(1-AB10)</f>
        <v>2278335.9609564003</v>
      </c>
      <c r="AD10" t="str">
        <f>IF(AC10=$T$10,"yes","not yet")</f>
        <v>not yet</v>
      </c>
      <c r="AE10" s="5">
        <f>100*(1-AB10)</f>
        <v>89.701359065860714</v>
      </c>
      <c r="AH10">
        <v>50</v>
      </c>
      <c r="AI10">
        <v>2</v>
      </c>
    </row>
    <row r="11" spans="1:35">
      <c r="B11" s="29" t="s">
        <v>609</v>
      </c>
      <c r="C11" s="15" t="s">
        <v>29</v>
      </c>
      <c r="D11" s="29" t="s">
        <v>610</v>
      </c>
      <c r="E11" s="25">
        <f>+'Results of Operations Regulated'!D21</f>
        <v>2133094.6323921541</v>
      </c>
      <c r="F11" s="15" t="s">
        <v>611</v>
      </c>
      <c r="K11" s="9"/>
      <c r="M11" s="15" t="s">
        <v>612</v>
      </c>
      <c r="P11" s="15" t="s">
        <v>203</v>
      </c>
      <c r="T11" s="26">
        <f>$E$12*1.25</f>
        <v>2554622.9013301609</v>
      </c>
      <c r="U11" s="5">
        <f>100*(+T11/$E$13)</f>
        <v>232.74390599835698</v>
      </c>
      <c r="V11" s="27">
        <f>EXP(5.6985-(0.68367*LN(U11)))</f>
        <v>7.1889159342374942</v>
      </c>
      <c r="W11" s="27">
        <f>(+V11*U11)/100</f>
        <v>16.73176374428262</v>
      </c>
      <c r="X11" s="5">
        <f>100*((((W11/100)-((W11/100)-0.03574)*$E$25)-0.03574-0.00619)/0.344)</f>
        <v>28.417538831346722</v>
      </c>
      <c r="Y11">
        <v>0</v>
      </c>
      <c r="Z11" s="5">
        <f>X11+Y11</f>
        <v>28.417538831346722</v>
      </c>
      <c r="AA11" s="5">
        <f>100*($E$21*$E$23+($E$22*(Z11/100))/(1-$E$25))</f>
        <v>23.682940884567127</v>
      </c>
      <c r="AB11" s="27">
        <f>AA11/U11</f>
        <v>0.10175536404692939</v>
      </c>
      <c r="AC11" s="26">
        <f>$E$12/(1-AB11)</f>
        <v>2275213.4989324925</v>
      </c>
      <c r="AD11" t="str">
        <f>IF(AC11=$T$11,"yes","not yet")</f>
        <v>not yet</v>
      </c>
      <c r="AE11" s="5">
        <f>100*(1-AB11)</f>
        <v>89.824463595307051</v>
      </c>
      <c r="AH11">
        <v>125</v>
      </c>
      <c r="AI11">
        <v>3</v>
      </c>
    </row>
    <row r="12" spans="1:35">
      <c r="B12" s="29" t="s">
        <v>609</v>
      </c>
      <c r="C12" s="15" t="s">
        <v>613</v>
      </c>
      <c r="D12" s="29" t="s">
        <v>610</v>
      </c>
      <c r="E12" s="25">
        <f>+'Results of Operations Regulated'!D102</f>
        <v>2043698.3210641288</v>
      </c>
      <c r="F12" s="15" t="s">
        <v>611</v>
      </c>
      <c r="K12" s="9"/>
      <c r="M12" s="15" t="s">
        <v>614</v>
      </c>
      <c r="P12" s="15" t="s">
        <v>204</v>
      </c>
      <c r="T12" s="26">
        <f>$E$12*1.25</f>
        <v>2554622.9013301609</v>
      </c>
      <c r="U12" s="5">
        <f>100*(+T12/$E$13)</f>
        <v>232.74390599835698</v>
      </c>
      <c r="V12" s="27">
        <f>EXP(5.6922-(0.68367*LN(U12)))</f>
        <v>7.1437681287653003</v>
      </c>
      <c r="W12" s="27">
        <f>(+V12*U12)/100</f>
        <v>16.626684978354096</v>
      </c>
      <c r="X12" s="5">
        <f>100*((((W12/100)-((W12/100)-0.03574)*$E$25)-0.03574-0.00619)/0.344)</f>
        <v>28.176224223545741</v>
      </c>
      <c r="Y12">
        <v>0</v>
      </c>
      <c r="Z12" s="5">
        <f>X12+Y12</f>
        <v>28.176224223545741</v>
      </c>
      <c r="AA12" s="5">
        <f>100*($E$21*$E$23+($E$22*(Z12/100))/(1-$E$25))</f>
        <v>23.49966396724993</v>
      </c>
      <c r="AB12" s="27">
        <f>AA12/U12</f>
        <v>0.10096790232357715</v>
      </c>
      <c r="AC12" s="26">
        <f>$E$12/(1-AB12)</f>
        <v>2273220.6406713757</v>
      </c>
      <c r="AD12" t="str">
        <f>IF(AC12=$T$12,"yes","not yet")</f>
        <v>not yet</v>
      </c>
      <c r="AE12" s="5">
        <f>100*(1-AB12)</f>
        <v>89.903209767642295</v>
      </c>
      <c r="AH12">
        <v>401</v>
      </c>
      <c r="AI12">
        <v>4</v>
      </c>
    </row>
    <row r="13" spans="1:35">
      <c r="B13" s="29" t="s">
        <v>609</v>
      </c>
      <c r="C13" s="15" t="s">
        <v>615</v>
      </c>
      <c r="E13" s="25">
        <f>+'Results of Operations Regulated'!D108</f>
        <v>1097611.0804586201</v>
      </c>
      <c r="F13" s="15" t="s">
        <v>611</v>
      </c>
      <c r="K13" s="9"/>
      <c r="Z13" s="5"/>
    </row>
    <row r="14" spans="1:35">
      <c r="C14" s="15" t="s">
        <v>616</v>
      </c>
      <c r="E14" s="5">
        <f>U9</f>
        <v>232.74390599835698</v>
      </c>
      <c r="F14" s="15" t="s">
        <v>617</v>
      </c>
      <c r="H14" s="5"/>
      <c r="U14" s="530" t="s">
        <v>618</v>
      </c>
      <c r="V14" s="530" t="s">
        <v>596</v>
      </c>
      <c r="W14" s="530" t="s">
        <v>597</v>
      </c>
      <c r="X14" s="530" t="s">
        <v>122</v>
      </c>
      <c r="Z14" s="5"/>
      <c r="AH14" s="15" t="s">
        <v>619</v>
      </c>
    </row>
    <row r="15" spans="1:35">
      <c r="C15" s="15" t="s">
        <v>620</v>
      </c>
      <c r="E15" s="5">
        <f>HLOOKUP($AI$38,$AI$32:$AQ$36,$E$16+1)</f>
        <v>208.89768451587534</v>
      </c>
      <c r="F15" s="15" t="s">
        <v>617</v>
      </c>
      <c r="U15" s="5">
        <f>100*(+AC9/$E$13)</f>
        <v>207.99600196463638</v>
      </c>
      <c r="V15" s="30">
        <f>EXP(5.7226-(0.68367*LN(+U15)))</f>
        <v>7.952596524676574</v>
      </c>
      <c r="W15" s="27">
        <f>(+V15*U15)/100</f>
        <v>16.541082823705889</v>
      </c>
      <c r="X15" s="5">
        <f>100*((((W15/100)-((W15/100)-0.03574)*$E$25)-0.03574-0.00619)/0.344)</f>
        <v>27.979637880022253</v>
      </c>
      <c r="Y15">
        <v>0</v>
      </c>
      <c r="Z15" s="5">
        <f>X15+Y15</f>
        <v>27.979637880022253</v>
      </c>
      <c r="AA15" s="5">
        <f>100*($E$21*$E$23+($E$22*(Z15/100))/(1-$E$25))</f>
        <v>23.350357883561202</v>
      </c>
      <c r="AB15" s="27">
        <f>AA15/U15</f>
        <v>0.11226349383163262</v>
      </c>
      <c r="AC15" s="26">
        <f>$E$12/(1-AB15)</f>
        <v>2302145.1825667317</v>
      </c>
      <c r="AD15" t="str">
        <f>IF(OR(OR(AC15=AC9,AC15=(AC9+1)),AC15=(AC8193-1)),"yes","not yet")</f>
        <v>not yet</v>
      </c>
      <c r="AE15" s="5">
        <f>100*(1-AB15)</f>
        <v>88.773650616836747</v>
      </c>
    </row>
    <row r="16" spans="1:35">
      <c r="C16" s="15" t="s">
        <v>621</v>
      </c>
      <c r="E16">
        <f>VLOOKUP(E14,AH9:AI12,2)</f>
        <v>3</v>
      </c>
      <c r="F16" s="15" t="s">
        <v>617</v>
      </c>
      <c r="U16" s="5">
        <f>100*(+AC10/$E$13)</f>
        <v>207.57224498903858</v>
      </c>
      <c r="V16" s="30">
        <f>EXP(5.70827-(0.68367*LN(+U16)))</f>
        <v>7.8503864979793665</v>
      </c>
      <c r="W16" s="27">
        <f>(+V16*U16)/100</f>
        <v>16.295223494172138</v>
      </c>
      <c r="X16" s="5">
        <f>100*((((W16/100)-((W16/100)-0.03574)*$E$25)-0.03574-0.00619)/0.344)</f>
        <v>27.415019070918579</v>
      </c>
      <c r="Y16">
        <v>0</v>
      </c>
      <c r="Z16" s="5">
        <f>X16+Y16</f>
        <v>27.415019070918579</v>
      </c>
      <c r="AA16" s="5">
        <f>100*($E$21*$E$23+($E$22*(Z16/100))/(1-$E$25))</f>
        <v>22.921533471583729</v>
      </c>
      <c r="AB16" s="27">
        <f>AA16/U16</f>
        <v>0.11042677441193625</v>
      </c>
      <c r="AC16" s="26">
        <f>$E$12/(1-AB16)</f>
        <v>2297391.8979105018</v>
      </c>
      <c r="AD16" t="str">
        <f>IF(OR(OR(AC16=AC10,AC16=(AC10+1)),AC16=(AC10-1)),"yes","not yet")</f>
        <v>not yet</v>
      </c>
      <c r="AE16" s="5">
        <f>100*(1-AB16)</f>
        <v>88.957322558806368</v>
      </c>
    </row>
    <row r="17" spans="2:42">
      <c r="U17" s="5">
        <f>100*(+AC11/$E$13)</f>
        <v>207.28776699136722</v>
      </c>
      <c r="V17" s="30">
        <f>EXP(5.6985-(0.68367*LN(U17)))</f>
        <v>7.7813541565218838</v>
      </c>
      <c r="W17" s="27">
        <f>(+V17*U17)/100</f>
        <v>16.12979527274415</v>
      </c>
      <c r="X17" s="5">
        <f>100*((((W17/100)-((W17/100)-0.03574)*$E$25)-0.03574-0.00619)/0.344)</f>
        <v>27.035111236825237</v>
      </c>
      <c r="Y17">
        <v>0</v>
      </c>
      <c r="Z17" s="5">
        <f>X17+Y17</f>
        <v>27.035111236825237</v>
      </c>
      <c r="AA17" s="5">
        <f>100*($E$21*$E$23+($E$22*(Z17/100))/(1-$E$25))</f>
        <v>22.632995876069799</v>
      </c>
      <c r="AB17" s="27">
        <f>AA17/U17</f>
        <v>0.10918635578245378</v>
      </c>
      <c r="AC17" s="26">
        <f>$E$12/(1-AB17)</f>
        <v>2294192.881227396</v>
      </c>
      <c r="AD17" t="str">
        <f>IF(OR(OR(AC17=AC11,AC17=(AC11+1)),AC17=(AC11-1)),"yes","not yet")</f>
        <v>not yet</v>
      </c>
      <c r="AE17" s="5">
        <f>100*(1-AB17)</f>
        <v>89.081364421754628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5" t="s">
        <v>622</v>
      </c>
      <c r="U18" s="5">
        <f>100*(+AC12/$E$13)</f>
        <v>207.10620374946882</v>
      </c>
      <c r="V18" s="30">
        <f>EXP(5.6922-(0.68367*LN(U18)))</f>
        <v>7.7371195543924189</v>
      </c>
      <c r="W18" s="27">
        <f>(+V18*U18)/100</f>
        <v>16.024054588659958</v>
      </c>
      <c r="X18" s="5">
        <f>100*((((W18/100)-((W18/100)-0.03574)*$E$25)-0.03574-0.00619)/0.344)</f>
        <v>26.79227652628305</v>
      </c>
      <c r="Y18">
        <v>0</v>
      </c>
      <c r="Z18" s="5">
        <f>X18+Y18</f>
        <v>26.79227652628305</v>
      </c>
      <c r="AA18" s="5">
        <f>100*($E$21*$E$23+($E$22*(Z18/100))/(1-$E$25))</f>
        <v>22.448564450341554</v>
      </c>
      <c r="AB18" s="27">
        <f>AA18/U18</f>
        <v>0.10839155971154306</v>
      </c>
      <c r="AC18" s="26">
        <f>$E$12/(1-AB18)</f>
        <v>2292147.7957330043</v>
      </c>
      <c r="AD18" t="str">
        <f>IF(OR(OR(AC18=AC12,AC18=(AC12+1)),AC18=(AC12-1)),"yes","not yet")</f>
        <v>not yet</v>
      </c>
      <c r="AE18" s="5">
        <f>100*(1-AB18)</f>
        <v>89.160844028845702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2300773</v>
      </c>
      <c r="AO18">
        <f>AC51</f>
        <v>2300773</v>
      </c>
      <c r="AP18">
        <f>AC57</f>
        <v>2300773</v>
      </c>
    </row>
    <row r="19" spans="2:42">
      <c r="C19" s="15" t="s">
        <v>623</v>
      </c>
      <c r="E19" s="29" t="s">
        <v>604</v>
      </c>
      <c r="F19" s="15" t="s">
        <v>624</v>
      </c>
      <c r="H19" s="5">
        <f>HLOOKUP($AI$29,$AI$23:$AQ$27,$E$16+1)</f>
        <v>89.132511757403634</v>
      </c>
      <c r="I19" s="15" t="s">
        <v>605</v>
      </c>
      <c r="J19" s="31"/>
      <c r="Z19" s="5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2296053</v>
      </c>
      <c r="AO19">
        <f>AC52</f>
        <v>2296053</v>
      </c>
      <c r="AP19">
        <f>AC58</f>
        <v>2296053</v>
      </c>
    </row>
    <row r="20" spans="2:42">
      <c r="C20" s="32" t="s">
        <v>610</v>
      </c>
      <c r="D20" s="32" t="s">
        <v>610</v>
      </c>
      <c r="E20" s="33"/>
      <c r="H20" s="32" t="s">
        <v>625</v>
      </c>
      <c r="U20" s="15" t="s">
        <v>626</v>
      </c>
      <c r="V20" s="530" t="s">
        <v>596</v>
      </c>
      <c r="W20" s="530" t="s">
        <v>597</v>
      </c>
      <c r="X20" s="530" t="s">
        <v>122</v>
      </c>
      <c r="Z20" s="5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2292877</v>
      </c>
      <c r="AO20">
        <f>AC53</f>
        <v>2292877</v>
      </c>
      <c r="AP20">
        <f>AC59</f>
        <v>2292877</v>
      </c>
    </row>
    <row r="21" spans="2:42">
      <c r="B21" s="29" t="s">
        <v>609</v>
      </c>
      <c r="C21" s="15" t="s">
        <v>627</v>
      </c>
      <c r="E21" s="35">
        <v>0.4</v>
      </c>
      <c r="F21" s="15" t="s">
        <v>628</v>
      </c>
      <c r="U21" s="5">
        <f>100*(+AC15/$E$13)</f>
        <v>209.74143059897094</v>
      </c>
      <c r="V21" s="30">
        <f>EXP(5.7226-(0.68367*LN(+U21)))</f>
        <v>7.9072914669371803</v>
      </c>
      <c r="W21" s="27">
        <f>(+V21*U21)/100</f>
        <v>16.584866244384397</v>
      </c>
      <c r="X21" s="5">
        <f>100*((((W21/100)-((W21/100)-0.03574)*$E$25)-0.03574-0.00619)/0.344)</f>
        <v>28.080187014719982</v>
      </c>
      <c r="Y21">
        <v>0</v>
      </c>
      <c r="Z21" s="5">
        <f>X21+Y21</f>
        <v>28.080187014719982</v>
      </c>
      <c r="AA21" s="5">
        <f>100*($E$21*$E$23+($E$22*(Z21/100))/(1-$E$25))</f>
        <v>23.4267243149772</v>
      </c>
      <c r="AB21" s="27">
        <f>AA21/U21</f>
        <v>0.11169335618659663</v>
      </c>
      <c r="AC21" s="26">
        <f>$E$12/(1-AB21)</f>
        <v>2300667.6076301252</v>
      </c>
      <c r="AD21" t="str">
        <f>IF(OR(OR(AC21=AC15,AC21=(AC15+1)),AC21=(AC7-1)),"yes","not yet")</f>
        <v>not yet</v>
      </c>
      <c r="AE21" s="5">
        <f>100*(1-AB21)</f>
        <v>88.830664381340341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2290847</v>
      </c>
      <c r="AO21">
        <f>AC54</f>
        <v>2290847</v>
      </c>
      <c r="AP21">
        <f>AC60</f>
        <v>2290847</v>
      </c>
    </row>
    <row r="22" spans="2:42">
      <c r="B22" s="29" t="s">
        <v>609</v>
      </c>
      <c r="C22" s="15" t="s">
        <v>629</v>
      </c>
      <c r="E22" s="35">
        <v>0.6</v>
      </c>
      <c r="F22" s="15" t="s">
        <v>192</v>
      </c>
      <c r="H22" s="41">
        <v>1.7999999999999999E-2</v>
      </c>
      <c r="I22" s="15" t="s">
        <v>609</v>
      </c>
      <c r="U22" s="5">
        <f>100*(+AC16/$E$13)</f>
        <v>209.30837332204879</v>
      </c>
      <c r="V22" s="30">
        <f>EXP(5.70827-(0.68367*LN(+U22)))</f>
        <v>7.8058101742268686</v>
      </c>
      <c r="W22" s="27">
        <f>(+V22*U22)/100</f>
        <v>16.338214300281244</v>
      </c>
      <c r="X22" s="5">
        <f>100*((((W22/100)-((W22/100)-0.03574)*$E$25)-0.03574-0.00619)/0.344)</f>
        <v>27.51374795704124</v>
      </c>
      <c r="Y22">
        <v>0</v>
      </c>
      <c r="Z22" s="5">
        <f>X22+Y22</f>
        <v>27.51374795704124</v>
      </c>
      <c r="AA22" s="5">
        <f>100*($E$21*$E$23+($E$22*(Z22/100))/(1-$E$25))</f>
        <v>22.996517435727519</v>
      </c>
      <c r="AB22" s="27">
        <f>AA22/U22</f>
        <v>0.1098690753300362</v>
      </c>
      <c r="AC22" s="26">
        <f>$E$12/(1-AB22)</f>
        <v>2295952.4991471074</v>
      </c>
      <c r="AD22" t="str">
        <f>IF(OR(OR(AC22=AC16,AC22=(AC16+1)),AC22=(AC16-1)),"yes","not yet")</f>
        <v>not yet</v>
      </c>
      <c r="AE22" s="5">
        <f>100*(1-AB22)</f>
        <v>89.013092466996383</v>
      </c>
    </row>
    <row r="23" spans="2:42">
      <c r="B23" s="29" t="s">
        <v>609</v>
      </c>
      <c r="C23" s="15" t="s">
        <v>630</v>
      </c>
      <c r="E23" s="36">
        <v>5.2499999999999998E-2</v>
      </c>
      <c r="F23" s="15" t="s">
        <v>193</v>
      </c>
      <c r="H23" s="66">
        <v>5.1000000000000004E-3</v>
      </c>
      <c r="I23" s="15" t="s">
        <v>609</v>
      </c>
      <c r="U23" s="5">
        <f>100*(+AC17/$E$13)</f>
        <v>209.01692066271801</v>
      </c>
      <c r="V23" s="30">
        <f>EXP(5.6985-(0.68367*LN(U23)))</f>
        <v>7.737286108987659</v>
      </c>
      <c r="W23" s="27">
        <f>(+V23*U23)/100</f>
        <v>16.172237167870236</v>
      </c>
      <c r="X23" s="5">
        <f>100*((((W23/100)-((W23/100)-0.03574)*$E$25)-0.03574-0.00619)/0.344)</f>
        <v>27.132579542492692</v>
      </c>
      <c r="Y23">
        <v>0</v>
      </c>
      <c r="Z23" s="5">
        <f>X23+Y23</f>
        <v>27.132579542492692</v>
      </c>
      <c r="AA23" s="5">
        <f>100*($E$21*$E$23+($E$22*(Z23/100))/(1-$E$25))</f>
        <v>22.707022437336217</v>
      </c>
      <c r="AB23" s="27">
        <f>AA23/U23</f>
        <v>0.10863724508685881</v>
      </c>
      <c r="AC23" s="26">
        <f>$E$12/(1-AB23)</f>
        <v>2292779.5780106122</v>
      </c>
      <c r="AD23" t="str">
        <f>IF(OR(OR(AC23=AC17,AC23=(AC17+1)),AC23=(AC17-1)),"yes","not yet")</f>
        <v>not yet</v>
      </c>
      <c r="AE23" s="5">
        <f>100*(1-AB23)</f>
        <v>89.136275491314123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2292877</v>
      </c>
      <c r="AO23">
        <f>HLOOKUP(8,$AI$17:$AQ$21,$E$16+1)</f>
        <v>2292877</v>
      </c>
      <c r="AP23">
        <f>HLOOKUP(9,$AI$17:$AQ$21,$E$16+1)</f>
        <v>2292877</v>
      </c>
    </row>
    <row r="24" spans="2:42">
      <c r="E24" s="34"/>
      <c r="F24" s="15" t="s">
        <v>194</v>
      </c>
      <c r="H24" s="41">
        <v>0</v>
      </c>
      <c r="I24" s="15" t="s">
        <v>609</v>
      </c>
      <c r="U24" s="5">
        <f>100*(+AC18/$E$13)</f>
        <v>208.83059915678558</v>
      </c>
      <c r="V24" s="30">
        <f>EXP(5.6922-(0.68367*LN(U24)))</f>
        <v>7.6933837168704216</v>
      </c>
      <c r="W24" s="27">
        <f>(+V24*U24)/100</f>
        <v>16.066139311371082</v>
      </c>
      <c r="X24" s="5">
        <f>100*((((W24/100)-((W24/100)-0.03574)*$E$25)-0.03574-0.00619)/0.344)</f>
        <v>26.88892458134638</v>
      </c>
      <c r="Y24">
        <v>0</v>
      </c>
      <c r="Z24" s="5">
        <f>X24+Y24</f>
        <v>26.88892458134638</v>
      </c>
      <c r="AA24" s="5">
        <f>100*($E$21*$E$23+($E$22*(Z24/100))/(1-$E$25))</f>
        <v>22.521968036465601</v>
      </c>
      <c r="AB24" s="27">
        <f>AA24/U24</f>
        <v>0.10784802671354013</v>
      </c>
      <c r="AC24" s="26">
        <f>$E$12/(1-AB24)</f>
        <v>2290751.3319010735</v>
      </c>
      <c r="AD24" t="str">
        <f>IF(OR(OR(AC24=AC18,AC24=(AC18+1)),AC24=(AC18-1)),"yes","not yet")</f>
        <v>not yet</v>
      </c>
      <c r="AE24" s="5">
        <f>100*(1-AB24)</f>
        <v>89.215197328645985</v>
      </c>
      <c r="AH24">
        <v>1</v>
      </c>
      <c r="AI24" s="5">
        <f>AE9</f>
        <v>89.518607588593241</v>
      </c>
      <c r="AJ24" s="5">
        <f>AE15</f>
        <v>88.773650616836747</v>
      </c>
      <c r="AK24" s="5">
        <f>AE21</f>
        <v>88.830664381340341</v>
      </c>
      <c r="AL24" s="5">
        <f>AE27</f>
        <v>88.82629355592492</v>
      </c>
      <c r="AM24" s="5">
        <f>AE33</f>
        <v>88.826628591399313</v>
      </c>
      <c r="AN24" s="5" t="str">
        <f>AD45</f>
        <v>yes</v>
      </c>
      <c r="AO24" s="5" t="str">
        <f>AD51</f>
        <v>yes</v>
      </c>
      <c r="AP24" s="5" t="str">
        <f>AD57</f>
        <v>yes</v>
      </c>
    </row>
    <row r="25" spans="2:42">
      <c r="B25" s="29" t="s">
        <v>609</v>
      </c>
      <c r="C25" s="15" t="s">
        <v>188</v>
      </c>
      <c r="E25" s="35">
        <v>0.21</v>
      </c>
      <c r="F25" s="15" t="s">
        <v>196</v>
      </c>
      <c r="H25" s="41">
        <v>1.2E-2</v>
      </c>
      <c r="I25" s="15" t="s">
        <v>609</v>
      </c>
      <c r="Z25" s="5"/>
      <c r="AH25">
        <v>2</v>
      </c>
      <c r="AI25" s="5">
        <f>AE10</f>
        <v>89.701359065860714</v>
      </c>
      <c r="AJ25" s="5">
        <f>AE16</f>
        <v>88.957322558806368</v>
      </c>
      <c r="AK25" s="5">
        <f>AE22</f>
        <v>89.013092466996383</v>
      </c>
      <c r="AL25" s="5">
        <f>AE28</f>
        <v>89.008905071675414</v>
      </c>
      <c r="AM25" s="5">
        <f>AE34</f>
        <v>89.009219435465553</v>
      </c>
      <c r="AN25" s="5" t="str">
        <f>AD46</f>
        <v>yes</v>
      </c>
      <c r="AO25" s="5" t="str">
        <f>AD52</f>
        <v>yes</v>
      </c>
      <c r="AP25" s="5" t="str">
        <f>AD58</f>
        <v>yes</v>
      </c>
    </row>
    <row r="26" spans="2:42">
      <c r="H26" s="32" t="s">
        <v>610</v>
      </c>
      <c r="U26" s="15" t="s">
        <v>631</v>
      </c>
      <c r="V26" s="530" t="s">
        <v>596</v>
      </c>
      <c r="W26" s="530" t="s">
        <v>597</v>
      </c>
      <c r="X26" s="530" t="s">
        <v>122</v>
      </c>
      <c r="Z26" s="5"/>
      <c r="AH26">
        <v>3</v>
      </c>
      <c r="AI26" s="5">
        <f>AE11</f>
        <v>89.824463595307051</v>
      </c>
      <c r="AJ26" s="5">
        <f>AE17</f>
        <v>89.081364421754628</v>
      </c>
      <c r="AK26" s="5">
        <f>AE23</f>
        <v>89.136275491314123</v>
      </c>
      <c r="AL26" s="5">
        <f>AE29</f>
        <v>89.132210933882078</v>
      </c>
      <c r="AM26" s="5">
        <f>AE35</f>
        <v>89.132511757403634</v>
      </c>
      <c r="AN26" s="5" t="str">
        <f>AD47</f>
        <v>yes</v>
      </c>
      <c r="AO26" s="5" t="str">
        <f>AD53</f>
        <v>yes</v>
      </c>
      <c r="AP26" s="5" t="str">
        <f>AD59</f>
        <v>yes</v>
      </c>
    </row>
    <row r="27" spans="2:42">
      <c r="F27" s="15" t="s">
        <v>197</v>
      </c>
      <c r="H27" s="9">
        <f>SUM(H22:H25)</f>
        <v>3.5099999999999999E-2</v>
      </c>
      <c r="U27" s="5">
        <f>100*(+AC21/$E$13)</f>
        <v>209.60681325017475</v>
      </c>
      <c r="V27" s="30">
        <f>EXP(5.7226-(0.68367*LN(+U27)))</f>
        <v>7.9107630359501009</v>
      </c>
      <c r="W27" s="27">
        <f>(+V27*U27)/100</f>
        <v>16.581498303427782</v>
      </c>
      <c r="X27" s="5">
        <f>100*((((W27/100)-((W27/100)-0.03574)*$E$25)-0.03574-0.00619)/0.344)</f>
        <v>28.072452499151019</v>
      </c>
      <c r="Y27">
        <v>0</v>
      </c>
      <c r="Z27" s="5">
        <f>X27+Y27</f>
        <v>28.072452499151019</v>
      </c>
      <c r="AA27" s="5">
        <f>100*($E$21*$E$23+($E$22*(Z27/100))/(1-$E$25))</f>
        <v>23.420849999355202</v>
      </c>
      <c r="AB27" s="27">
        <f>AA27/U27</f>
        <v>0.11173706444075084</v>
      </c>
      <c r="AC27" s="26">
        <f>$E$12/(1-AB27)</f>
        <v>2300780.8152857567</v>
      </c>
      <c r="AD27" t="str">
        <f>IF(OR(OR(AC27=AC21,AC27=(AC21+1)),AC27=(AC13-1)),"yes","not yet")</f>
        <v>not yet</v>
      </c>
      <c r="AE27" s="5">
        <f>100*(1-AB27)</f>
        <v>88.82629355592492</v>
      </c>
      <c r="AH27">
        <v>4</v>
      </c>
      <c r="AI27" s="5">
        <f>AE12</f>
        <v>89.903209767642295</v>
      </c>
      <c r="AJ27" s="5">
        <f>AE18</f>
        <v>89.160844028845702</v>
      </c>
      <c r="AK27" s="5">
        <f>AE24</f>
        <v>89.215197328645985</v>
      </c>
      <c r="AL27" s="5">
        <f>AE30</f>
        <v>89.211210980183992</v>
      </c>
      <c r="AM27" s="5">
        <f>AE36</f>
        <v>89.211503308032604</v>
      </c>
      <c r="AN27" s="5" t="str">
        <f>AD48</f>
        <v>yes</v>
      </c>
      <c r="AO27" s="5" t="str">
        <f>AD54</f>
        <v>yes</v>
      </c>
      <c r="AP27" s="5" t="str">
        <f>AD60</f>
        <v>yes</v>
      </c>
    </row>
    <row r="28" spans="2:42">
      <c r="U28" s="5">
        <f>100*(+AC22/$E$13)</f>
        <v>209.17723408803221</v>
      </c>
      <c r="V28" s="30">
        <f>EXP(5.70827-(0.68367*LN(+U28)))</f>
        <v>7.8091555097420073</v>
      </c>
      <c r="W28" s="27">
        <f>(+V28*U28)/100</f>
        <v>16.334975500911504</v>
      </c>
      <c r="X28" s="5">
        <f>100*((((W28/100)-((W28/100)-0.03574)*$E$25)-0.03574-0.00619)/0.344)</f>
        <v>27.506310016628166</v>
      </c>
      <c r="Y28">
        <v>0</v>
      </c>
      <c r="Z28" s="5">
        <f>X28+Y28</f>
        <v>27.506310016628166</v>
      </c>
      <c r="AA28" s="5">
        <f>100*($E$21*$E$23+($E$22*(Z28/100))/(1-$E$25))</f>
        <v>22.990868367059363</v>
      </c>
      <c r="AB28" s="27">
        <f>AA28/U28</f>
        <v>0.10991094928324589</v>
      </c>
      <c r="AC28" s="26">
        <f>$E$12/(1-AB28)</f>
        <v>2296060.5114942351</v>
      </c>
      <c r="AD28" t="str">
        <f>IF(OR(OR(AC28=AC22,AC28=(AC22+1)),AC28=(AC22-1)),"yes","not yet")</f>
        <v>not yet</v>
      </c>
      <c r="AE28" s="5">
        <f>100*(1-AB28)</f>
        <v>89.008905071675414</v>
      </c>
    </row>
    <row r="29" spans="2:42">
      <c r="F29" s="15" t="s">
        <v>200</v>
      </c>
      <c r="H29" s="27">
        <f>((+H19/100)-H27)</f>
        <v>0.8562251175740363</v>
      </c>
      <c r="U29" s="5">
        <f>100*(+AC23/$E$13)</f>
        <v>208.88815891441337</v>
      </c>
      <c r="V29" s="30">
        <f>EXP(5.6985-(0.68367*LN(U29)))</f>
        <v>7.7405464714927392</v>
      </c>
      <c r="W29" s="27">
        <f>(+V29*U29)/100</f>
        <v>16.169085014215771</v>
      </c>
      <c r="X29" s="5">
        <f>100*((((W29/100)-((W29/100)-0.03574)*$E$25)-0.03574-0.00619)/0.344)</f>
        <v>27.125340584972268</v>
      </c>
      <c r="Y29">
        <v>0</v>
      </c>
      <c r="Z29" s="5">
        <f>X29+Y29</f>
        <v>27.125340584972268</v>
      </c>
      <c r="AA29" s="5">
        <f>100*($E$21*$E$23+($E$22*(Z29/100))/(1-$E$25))</f>
        <v>22.701524494915645</v>
      </c>
      <c r="AB29" s="27">
        <f>AA29/U29</f>
        <v>0.10867789066117922</v>
      </c>
      <c r="AC29" s="26">
        <f>$E$12/(1-AB29)</f>
        <v>2292884.132067739</v>
      </c>
      <c r="AD29" t="str">
        <f>IF(OR(OR(AC29=AC23,AC29=(AC23+1)),AC29=(AC23-1)),"yes","not yet")</f>
        <v>not yet</v>
      </c>
      <c r="AE29" s="5">
        <f>100*(1-AB29)</f>
        <v>89.132210933882078</v>
      </c>
      <c r="AI29" s="15" t="s">
        <v>632</v>
      </c>
    </row>
    <row r="30" spans="2:42">
      <c r="U30" s="5">
        <f>100*(+AC24/$E$13)</f>
        <v>208.70337159350814</v>
      </c>
      <c r="V30" s="30">
        <f>EXP(5.6922-(0.68367*LN(U30)))</f>
        <v>7.6965897927469857</v>
      </c>
      <c r="W30" s="27">
        <f>(+V30*U30)/100</f>
        <v>16.063042395184759</v>
      </c>
      <c r="X30" s="5">
        <f>100*((((W30/100)-((W30/100)-0.03574)*$E$25)-0.03574-0.00619)/0.344)</f>
        <v>26.881812477313844</v>
      </c>
      <c r="Y30">
        <v>0</v>
      </c>
      <c r="Z30" s="5">
        <f>X30+Y30</f>
        <v>26.881812477313844</v>
      </c>
      <c r="AA30" s="5">
        <f>100*($E$21*$E$23+($E$22*(Z30/100))/(1-$E$25))</f>
        <v>22.516566438466207</v>
      </c>
      <c r="AB30" s="27">
        <f>AA30/U30</f>
        <v>0.10788789019816007</v>
      </c>
      <c r="AC30" s="26">
        <f>$E$12/(1-AB30)</f>
        <v>2290853.6927248803</v>
      </c>
      <c r="AD30" t="str">
        <f>IF(OR(OR(AC30=AC24,AC30=(AC24+1)),AC30=(AC24-1)),"yes","not yet")</f>
        <v>not yet</v>
      </c>
      <c r="AE30" s="5">
        <f>100*(1-AB30)</f>
        <v>89.211210980183992</v>
      </c>
      <c r="AI30" s="5">
        <f>HLOOKUP($AI$29,$AI$23:$AQ$27,$E$16+1)</f>
        <v>89.132511757403634</v>
      </c>
    </row>
    <row r="31" spans="2:42">
      <c r="E31" s="26"/>
      <c r="Z31" s="5"/>
    </row>
    <row r="32" spans="2:42">
      <c r="U32" s="15" t="s">
        <v>633</v>
      </c>
      <c r="V32" s="530" t="s">
        <v>596</v>
      </c>
      <c r="W32" s="530" t="s">
        <v>597</v>
      </c>
      <c r="X32" s="530" t="s">
        <v>122</v>
      </c>
      <c r="Z32" s="5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2292877</v>
      </c>
      <c r="AO32">
        <f>HLOOKUP(8,$AI$17:$AQ$21,$E$16+1)</f>
        <v>2292877</v>
      </c>
      <c r="AP32">
        <f>HLOOKUP(9,$AI$17:$AQ$21,$E$16+1)</f>
        <v>2292877</v>
      </c>
    </row>
    <row r="33" spans="5:42">
      <c r="E33" s="26"/>
      <c r="U33" s="5">
        <f>100*(+AC27/$E$13)</f>
        <v>209.61712725462013</v>
      </c>
      <c r="V33" s="30">
        <f>EXP(5.7226-(0.68367*LN(+U33)))</f>
        <v>7.9104969212729648</v>
      </c>
      <c r="W33" s="27">
        <f>(+V33*U33)/100</f>
        <v>16.581756397937557</v>
      </c>
      <c r="X33" s="5">
        <f>100*((((W33/100)-((W33/100)-0.03574)*$E$25)-0.03574-0.00619)/0.344)</f>
        <v>28.073045216193808</v>
      </c>
      <c r="Y33">
        <v>0</v>
      </c>
      <c r="Z33" s="5">
        <f>X33+Y33</f>
        <v>28.073045216193808</v>
      </c>
      <c r="AA33" s="5">
        <f>100*($E$21*$E$23+($E$22*(Z33/100))/(1-$E$25))</f>
        <v>23.421300164197827</v>
      </c>
      <c r="AB33" s="27">
        <f>AA33/U33</f>
        <v>0.1117337140860068</v>
      </c>
      <c r="AC33" s="26">
        <f>$E$12/(1-AB33)</f>
        <v>2300772.1372214849</v>
      </c>
      <c r="AD33" t="str">
        <f>IF(OR(OR(AC33=AC27,AC33=(AC27+1)),AC33=(AC19-1)),"yes","not yet")</f>
        <v>not yet</v>
      </c>
      <c r="AE33" s="5">
        <f>100*(1-AB33)</f>
        <v>88.826628591399313</v>
      </c>
      <c r="AH33">
        <v>1</v>
      </c>
      <c r="AI33" s="5">
        <f>U9</f>
        <v>232.74390599835698</v>
      </c>
      <c r="AJ33" s="5">
        <f>U15</f>
        <v>207.99600196463638</v>
      </c>
      <c r="AK33" s="5">
        <f>U21</f>
        <v>209.74143059897094</v>
      </c>
      <c r="AL33" s="5">
        <f>U27</f>
        <v>209.60681325017475</v>
      </c>
      <c r="AM33" s="5">
        <f>U33</f>
        <v>209.61712725462013</v>
      </c>
      <c r="AN33" s="5">
        <f>T45</f>
        <v>0</v>
      </c>
      <c r="AO33" s="5">
        <f>T51</f>
        <v>0</v>
      </c>
      <c r="AP33" s="5">
        <f>T57</f>
        <v>0</v>
      </c>
    </row>
    <row r="34" spans="5:42">
      <c r="E34" s="26"/>
      <c r="U34" s="5">
        <f>100*(+AC28/$E$13)</f>
        <v>209.18707476375525</v>
      </c>
      <c r="V34" s="30">
        <f>EXP(5.70827-(0.68367*LN(+U34)))</f>
        <v>7.8089043535441318</v>
      </c>
      <c r="W34" s="27">
        <f>(+V34*U34)/100</f>
        <v>16.335218588278501</v>
      </c>
      <c r="X34" s="5">
        <f>100*((((W34/100)-((W34/100)-0.03574)*$E$25)-0.03574-0.00619)/0.344)</f>
        <v>27.506868269593067</v>
      </c>
      <c r="Y34">
        <v>0</v>
      </c>
      <c r="Z34" s="5">
        <f>X34+Y34</f>
        <v>27.506868269593067</v>
      </c>
      <c r="AA34" s="5">
        <f>100*($E$21*$E$23+($E$22*(Z34/100))/(1-$E$25))</f>
        <v>22.991292356652959</v>
      </c>
      <c r="AB34" s="27">
        <f>AA34/U34</f>
        <v>0.1099078056453445</v>
      </c>
      <c r="AC34" s="26">
        <f>$E$12/(1-AB34)</f>
        <v>2296052.4022411788</v>
      </c>
      <c r="AD34" t="str">
        <f>IF(OR(OR(AC34=AC28,AC34=(AC28+1)),AC34=(AC28-1)),"yes","not yet")</f>
        <v>not yet</v>
      </c>
      <c r="AE34" s="5">
        <f>100*(1-AB34)</f>
        <v>89.009219435465553</v>
      </c>
      <c r="AH34">
        <v>2</v>
      </c>
      <c r="AI34" s="5">
        <f>U10</f>
        <v>232.74390599835698</v>
      </c>
      <c r="AJ34" s="5">
        <f>U16</f>
        <v>207.57224498903858</v>
      </c>
      <c r="AK34" s="5">
        <f>U22</f>
        <v>209.30837332204879</v>
      </c>
      <c r="AL34" s="5">
        <f>U28</f>
        <v>209.17723408803221</v>
      </c>
      <c r="AM34" s="5">
        <f>U34</f>
        <v>209.18707476375525</v>
      </c>
      <c r="AN34" s="5">
        <f>T46</f>
        <v>0</v>
      </c>
      <c r="AO34" s="5">
        <f>T52</f>
        <v>0</v>
      </c>
      <c r="AP34" s="5">
        <f>T58</f>
        <v>0</v>
      </c>
    </row>
    <row r="35" spans="5:42">
      <c r="E35" s="26"/>
      <c r="U35" s="5">
        <f>100*(+AC29/$E$13)</f>
        <v>208.89768451587534</v>
      </c>
      <c r="V35" s="30">
        <f>EXP(5.6985-(0.68367*LN(U35)))</f>
        <v>7.7403051588594547</v>
      </c>
      <c r="W35" s="27">
        <f>(+V35*U35)/100</f>
        <v>16.169318251320245</v>
      </c>
      <c r="X35" s="5">
        <f>100*((((W35/100)-((W35/100)-0.03574)*$E$25)-0.03574-0.00619)/0.344)</f>
        <v>27.125876216694756</v>
      </c>
      <c r="Y35">
        <v>0</v>
      </c>
      <c r="Z35" s="5">
        <f>X35+Y35</f>
        <v>27.125876216694756</v>
      </c>
      <c r="AA35" s="5">
        <f>100*($E$21*$E$23+($E$22*(Z35/100))/(1-$E$25))</f>
        <v>22.7019313038188</v>
      </c>
      <c r="AB35" s="27">
        <f>AA35/U35</f>
        <v>0.10867488242596365</v>
      </c>
      <c r="AC35" s="26">
        <f>$E$12/(1-AB35)</f>
        <v>2292876.3935504965</v>
      </c>
      <c r="AD35" t="str">
        <f>IF(OR(OR(AC35=AC29,AC35=(AC29+1)),AC35=(AC29-1)),"yes","not yet")</f>
        <v>not yet</v>
      </c>
      <c r="AE35" s="5">
        <f>100*(1-AB35)</f>
        <v>89.132511757403634</v>
      </c>
      <c r="AH35">
        <v>3</v>
      </c>
      <c r="AI35" s="5">
        <f>U11</f>
        <v>232.74390599835698</v>
      </c>
      <c r="AJ35" s="5">
        <f>U17</f>
        <v>207.28776699136722</v>
      </c>
      <c r="AK35" s="5">
        <f>U23</f>
        <v>209.01692066271801</v>
      </c>
      <c r="AL35" s="5">
        <f>U29</f>
        <v>208.88815891441337</v>
      </c>
      <c r="AM35" s="5">
        <f>U35</f>
        <v>208.89768451587534</v>
      </c>
      <c r="AN35" s="5">
        <f>T47</f>
        <v>0</v>
      </c>
      <c r="AO35" s="5">
        <f>T53</f>
        <v>0</v>
      </c>
      <c r="AP35" s="5">
        <f>T59</f>
        <v>0</v>
      </c>
    </row>
    <row r="36" spans="5:42">
      <c r="E36" s="26"/>
      <c r="U36" s="5">
        <f>100*(+AC30/$E$13)</f>
        <v>208.71269737616731</v>
      </c>
      <c r="V36" s="30">
        <f>EXP(5.6922-(0.68367*LN(U36)))</f>
        <v>7.696354675573656</v>
      </c>
      <c r="W36" s="27">
        <f>(+V36*U36)/100</f>
        <v>16.063269443026549</v>
      </c>
      <c r="X36" s="5">
        <f>100*((((W36/100)-((W36/100)-0.03574)*$E$25)-0.03574-0.00619)/0.344)</f>
        <v>26.882333895322596</v>
      </c>
      <c r="Y36">
        <v>0</v>
      </c>
      <c r="Z36" s="5">
        <f>X36+Y36</f>
        <v>26.882333895322596</v>
      </c>
      <c r="AA36" s="5">
        <f>100*($E$21*$E$23+($E$22*(Z36/100))/(1-$E$25))</f>
        <v>22.516962452143744</v>
      </c>
      <c r="AB36" s="27">
        <f>AA36/U36</f>
        <v>0.10788496691967402</v>
      </c>
      <c r="AC36" s="26">
        <f>$E$12/(1-AB36)</f>
        <v>2290846.1860659108</v>
      </c>
      <c r="AD36" t="str">
        <f>IF(OR(OR(AC36=AC30,AC36=(AC30+1)),AC36=(AC30-1)),"yes","not yet")</f>
        <v>not yet</v>
      </c>
      <c r="AE36" s="5">
        <f>100*(1-AB36)</f>
        <v>89.211503308032604</v>
      </c>
      <c r="AH36">
        <v>4</v>
      </c>
      <c r="AI36" s="5">
        <f>U12</f>
        <v>232.74390599835698</v>
      </c>
      <c r="AJ36" s="5">
        <f>U18</f>
        <v>207.10620374946882</v>
      </c>
      <c r="AK36" s="5">
        <f>U24</f>
        <v>208.83059915678558</v>
      </c>
      <c r="AL36" s="5">
        <f>U30</f>
        <v>208.70337159350814</v>
      </c>
      <c r="AM36" s="5">
        <f>U36</f>
        <v>208.71269737616731</v>
      </c>
      <c r="AN36" s="5">
        <f>T48</f>
        <v>0</v>
      </c>
      <c r="AO36" s="5">
        <f>T54</f>
        <v>0</v>
      </c>
      <c r="AP36" s="5">
        <f>T60</f>
        <v>0</v>
      </c>
    </row>
    <row r="37" spans="5:42">
      <c r="E37" s="26"/>
      <c r="Z37" s="5"/>
    </row>
    <row r="38" spans="5:42">
      <c r="U38" s="15" t="s">
        <v>634</v>
      </c>
      <c r="V38" s="530" t="s">
        <v>596</v>
      </c>
      <c r="W38" s="530" t="s">
        <v>597</v>
      </c>
      <c r="X38" s="530" t="s">
        <v>122</v>
      </c>
      <c r="Z38" s="5"/>
      <c r="AI38" s="15" t="s">
        <v>632</v>
      </c>
    </row>
    <row r="39" spans="5:42">
      <c r="U39" s="5">
        <f>100*(+AC33/$E$13)</f>
        <v>209.61633662263526</v>
      </c>
      <c r="V39" s="30">
        <f>EXP(5.7226-(0.68367*LN(+U39)))</f>
        <v>7.910517319822282</v>
      </c>
      <c r="W39" s="27">
        <f>(+V39*U39)/100</f>
        <v>16.58173661371054</v>
      </c>
      <c r="X39" s="5">
        <f>100*((((W39/100)-((W39/100)-0.03574)*$E$25)-0.03574-0.00619)/0.344)</f>
        <v>28.07299978148642</v>
      </c>
      <c r="Y39">
        <v>0</v>
      </c>
      <c r="Z39" s="5">
        <f>X39+Y39</f>
        <v>28.07299978148642</v>
      </c>
      <c r="AA39" s="5">
        <f>100*($E$21*$E$23+($E$22*(Z39/100))/(1-$E$25))</f>
        <v>23.421265656825128</v>
      </c>
      <c r="AB39" s="27">
        <f>AA39/U39</f>
        <v>0.11173397090222786</v>
      </c>
      <c r="AC39" s="26">
        <f>ROUND($E$12/(1-AB39),0)</f>
        <v>2300773</v>
      </c>
      <c r="AD39" t="str">
        <f>IF(OR(OR(AC39=AC33,AC39=(AC33+1)),AC39=(AC25-1)),"yes","not yet")</f>
        <v>not yet</v>
      </c>
      <c r="AE39" s="5">
        <f>100*(1-AB39)</f>
        <v>88.826602909777222</v>
      </c>
      <c r="AI39" s="5">
        <f>HLOOKUP($AI$38,$AI$32:$AQ$36,$E$16+1)</f>
        <v>208.89768451587534</v>
      </c>
    </row>
    <row r="40" spans="5:42">
      <c r="U40" s="5">
        <f>100*(+AC34/$E$13)</f>
        <v>209.18633595442643</v>
      </c>
      <c r="V40" s="30">
        <f>EXP(5.70827-(0.68367*LN(+U40)))</f>
        <v>7.8089232089307368</v>
      </c>
      <c r="W40" s="27">
        <f>(+V40*U40)/100</f>
        <v>16.335200338257028</v>
      </c>
      <c r="X40" s="5">
        <f>100*((((W40/100)-((W40/100)-0.03574)*$E$25)-0.03574-0.00619)/0.344)</f>
        <v>27.506826358206553</v>
      </c>
      <c r="Y40">
        <v>0</v>
      </c>
      <c r="Z40" s="5">
        <f>X40+Y40</f>
        <v>27.506826358206553</v>
      </c>
      <c r="AA40" s="5">
        <f>100*($E$21*$E$23+($E$22*(Z40/100))/(1-$E$25))</f>
        <v>22.991260525220166</v>
      </c>
      <c r="AB40" s="27">
        <f>AA40/U40</f>
        <v>0.10990804165253446</v>
      </c>
      <c r="AC40" s="26">
        <f>ROUND($E$12/(1-AB40),0)</f>
        <v>2296053</v>
      </c>
      <c r="AD40" t="str">
        <f>IF(OR(OR(AC40=AC34,AC40=(AC34+1)),AC40=(AC34-1)),"yes","not yet")</f>
        <v>not yet</v>
      </c>
      <c r="AE40" s="5">
        <f>100*(1-AB40)</f>
        <v>89.009195834746563</v>
      </c>
    </row>
    <row r="41" spans="5:42">
      <c r="U41" s="5">
        <f>100*(+AC35/$E$13)</f>
        <v>208.89697948315654</v>
      </c>
      <c r="V41" s="30">
        <f>EXP(5.6985-(0.68367*LN(U41)))</f>
        <v>7.7403230188607361</v>
      </c>
      <c r="W41" s="27">
        <f>(+V41*U41)/100</f>
        <v>16.169300988639556</v>
      </c>
      <c r="X41" s="5">
        <f>100*((((W41/100)-((W41/100)-0.03574)*$E$25)-0.03574-0.00619)/0.344)</f>
        <v>27.125836572747819</v>
      </c>
      <c r="Y41">
        <v>0</v>
      </c>
      <c r="Z41" s="5">
        <f>X41+Y41</f>
        <v>27.125836572747819</v>
      </c>
      <c r="AA41" s="5">
        <f>100*($E$21*$E$23+($E$22*(Z41/100))/(1-$E$25))</f>
        <v>22.701901194492009</v>
      </c>
      <c r="AB41" s="27">
        <f>AA41/U41</f>
        <v>0.10867510507169623</v>
      </c>
      <c r="AC41" s="26">
        <f>ROUND($E$12/(1-AB41),0)</f>
        <v>2292877</v>
      </c>
      <c r="AD41" t="str">
        <f>IF(OR(OR(AC41=AC35,AC41=(AC35+1)),AC41=(AC35-1)),"yes","not yet")</f>
        <v>not yet</v>
      </c>
      <c r="AE41" s="5">
        <f>100*(1-AB41)</f>
        <v>89.132489492830373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2292877</v>
      </c>
      <c r="AO41">
        <f>HLOOKUP(8,$AI$17:$AQ$21,$E$16+1)</f>
        <v>2292877</v>
      </c>
      <c r="AP41">
        <f>HLOOKUP(9,$AI$17:$AQ$21,$E$16+1)</f>
        <v>2292877</v>
      </c>
    </row>
    <row r="42" spans="5:42">
      <c r="U42" s="5">
        <f>100*(+AC36/$E$13)</f>
        <v>208.71201346734907</v>
      </c>
      <c r="V42" s="30">
        <f>EXP(5.6922-(0.68367*LN(U42)))</f>
        <v>7.6963719173547558</v>
      </c>
      <c r="W42" s="27">
        <f>(+V42*U42)/100</f>
        <v>16.063252792646729</v>
      </c>
      <c r="X42" s="5">
        <f>100*((((W42/100)-((W42/100)-0.03574)*$E$25)-0.03574-0.00619)/0.344)</f>
        <v>26.882295657531742</v>
      </c>
      <c r="Y42">
        <v>0</v>
      </c>
      <c r="Z42" s="5">
        <f>X42+Y42</f>
        <v>26.882295657531742</v>
      </c>
      <c r="AA42" s="5">
        <f>100*($E$21*$E$23+($E$22*(Z42/100))/(1-$E$25))</f>
        <v>22.516933410783597</v>
      </c>
      <c r="AB42" s="27">
        <f>AA42/U42</f>
        <v>0.10788518129219307</v>
      </c>
      <c r="AC42" s="26">
        <f>ROUND($E$12/(1-AB42),0)</f>
        <v>2290847</v>
      </c>
      <c r="AD42" t="str">
        <f>IF(OR(OR(AC42=AC36,AC42=(AC36+1)),AC42=(AC36-1)),"yes","not yet")</f>
        <v>not yet</v>
      </c>
      <c r="AE42" s="5">
        <f>100*(1-AB42)</f>
        <v>89.211481870780702</v>
      </c>
      <c r="AH42">
        <v>1</v>
      </c>
      <c r="AI42" s="26">
        <f>AC9</f>
        <v>2282987.1644747783</v>
      </c>
      <c r="AJ42" s="26">
        <f>AC15</f>
        <v>2302145.1825667317</v>
      </c>
      <c r="AK42" s="26">
        <f>AC21</f>
        <v>2300667.6076301252</v>
      </c>
      <c r="AL42" s="26">
        <f>AC27</f>
        <v>2300780.8152857567</v>
      </c>
      <c r="AM42" s="26">
        <f>AC33</f>
        <v>2300772.1372214849</v>
      </c>
      <c r="AN42" s="26">
        <f>AB45</f>
        <v>0.11173394536933266</v>
      </c>
      <c r="AO42" s="26">
        <f>AB51</f>
        <v>0.11173394536933266</v>
      </c>
      <c r="AP42" s="26">
        <f>AB57</f>
        <v>0.11173394536933266</v>
      </c>
    </row>
    <row r="43" spans="5:42">
      <c r="Z43" s="5"/>
      <c r="AH43">
        <v>2</v>
      </c>
      <c r="AI43" s="26">
        <f>AC10</f>
        <v>2278335.9609564003</v>
      </c>
      <c r="AJ43" s="26">
        <f>AC16</f>
        <v>2297391.8979105018</v>
      </c>
      <c r="AK43" s="26">
        <f>AC22</f>
        <v>2295952.4991471074</v>
      </c>
      <c r="AL43" s="26">
        <f>AC28</f>
        <v>2296060.5114942351</v>
      </c>
      <c r="AM43" s="26">
        <f>AC34</f>
        <v>2296052.4022411788</v>
      </c>
      <c r="AN43" s="26">
        <f>AB46</f>
        <v>0.10990802425564988</v>
      </c>
      <c r="AO43" s="26">
        <f>AB52</f>
        <v>0.10990802425564988</v>
      </c>
      <c r="AP43" s="26">
        <f>AB58</f>
        <v>0.10990802425564988</v>
      </c>
    </row>
    <row r="44" spans="5:42">
      <c r="U44" s="15" t="s">
        <v>635</v>
      </c>
      <c r="V44" s="530" t="s">
        <v>596</v>
      </c>
      <c r="W44" s="530" t="s">
        <v>597</v>
      </c>
      <c r="X44" s="530" t="s">
        <v>122</v>
      </c>
      <c r="Z44" s="5"/>
      <c r="AH44">
        <v>3</v>
      </c>
      <c r="AI44" s="26">
        <f>AC11</f>
        <v>2275213.4989324925</v>
      </c>
      <c r="AJ44" s="26">
        <f>AC17</f>
        <v>2294192.881227396</v>
      </c>
      <c r="AK44" s="26">
        <f>AC23</f>
        <v>2292779.5780106122</v>
      </c>
      <c r="AL44" s="26">
        <f>AC29</f>
        <v>2292884.132067739</v>
      </c>
      <c r="AM44" s="26">
        <f>AC35</f>
        <v>2292876.3935504965</v>
      </c>
      <c r="AN44" s="26">
        <f>AB47</f>
        <v>0.10867508762342848</v>
      </c>
      <c r="AO44" s="26">
        <f>AB53</f>
        <v>0.10867508762342848</v>
      </c>
      <c r="AP44" s="26">
        <f>AB59</f>
        <v>0.10867508762342848</v>
      </c>
    </row>
    <row r="45" spans="5:42">
      <c r="U45" s="5">
        <f>100*(+AC39/$E$13)</f>
        <v>209.61641522775599</v>
      </c>
      <c r="V45" s="30">
        <f>EXP(5.7226-(0.68367*LN(+U45)))</f>
        <v>7.9105152917800989</v>
      </c>
      <c r="W45" s="27">
        <f>(+V45*U45)/100</f>
        <v>16.581738580672905</v>
      </c>
      <c r="X45" s="5">
        <f>100*((((W45/100)-((W45/100)-0.03574)*$E$25)-0.03574-0.00619)/0.344)</f>
        <v>28.073004298638367</v>
      </c>
      <c r="Y45">
        <v>0</v>
      </c>
      <c r="Z45" s="5">
        <f>X45+Y45</f>
        <v>28.073004298638367</v>
      </c>
      <c r="AA45" s="5">
        <f>100*($E$21*$E$23+($E$22*(Z45/100))/(1-$E$25))</f>
        <v>23.421269087573439</v>
      </c>
      <c r="AB45" s="27">
        <f>AA45/U45</f>
        <v>0.11173394536933266</v>
      </c>
      <c r="AC45" s="26">
        <f>ROUND($E$12/(1-AB45),0)</f>
        <v>2300773</v>
      </c>
      <c r="AD45" t="str">
        <f>IF(OR(OR(AC45=AC39,AC45=(AC39+1)),AC45=(AC31-1)),"yes","not yet")</f>
        <v>yes</v>
      </c>
      <c r="AE45" s="5">
        <f>100*(1-AB45)</f>
        <v>88.826605463066727</v>
      </c>
      <c r="AH45">
        <v>4</v>
      </c>
      <c r="AI45" s="26">
        <f>AC12</f>
        <v>2273220.6406713757</v>
      </c>
      <c r="AJ45" s="26">
        <f>AC18</f>
        <v>2292147.7957330043</v>
      </c>
      <c r="AK45" s="26">
        <f>AC24</f>
        <v>2290751.3319010735</v>
      </c>
      <c r="AL45" s="26">
        <f>AC30</f>
        <v>2290853.6927248803</v>
      </c>
      <c r="AM45" s="26">
        <f>AC36</f>
        <v>2290846.1860659108</v>
      </c>
      <c r="AN45" s="26">
        <f>AB48</f>
        <v>0.10788515804809772</v>
      </c>
      <c r="AO45" s="26">
        <f>AB54</f>
        <v>0.10788515804809772</v>
      </c>
      <c r="AP45" s="26">
        <f>AB60</f>
        <v>0.10788515804809772</v>
      </c>
    </row>
    <row r="46" spans="5:42">
      <c r="U46" s="5">
        <f>100*(+AC40/$E$13)</f>
        <v>209.18639041441062</v>
      </c>
      <c r="V46" s="30">
        <f>EXP(5.70827-(0.68367*LN(+U46)))</f>
        <v>7.8089218190364242</v>
      </c>
      <c r="W46" s="27">
        <f>(+V46*U46)/100</f>
        <v>16.335201683525632</v>
      </c>
      <c r="X46" s="5">
        <f>100*((((W46/100)-((W46/100)-0.03574)*$E$25)-0.03574-0.00619)/0.344)</f>
        <v>27.506829447631542</v>
      </c>
      <c r="Y46">
        <v>0</v>
      </c>
      <c r="Z46" s="5">
        <f>X46+Y46</f>
        <v>27.506829447631542</v>
      </c>
      <c r="AA46" s="5">
        <f>100*($E$21*$E$23+($E$22*(Z46/100))/(1-$E$25))</f>
        <v>22.99126287161889</v>
      </c>
      <c r="AB46" s="27">
        <f>AA46/U46</f>
        <v>0.10990802425564988</v>
      </c>
      <c r="AC46" s="26">
        <f>ROUND($E$12/(1-AB46),0)</f>
        <v>2296053</v>
      </c>
      <c r="AD46" t="str">
        <f>IF(OR(OR(AC46=AC40,AC46=(AC40+1)),AC46=(AC40-1)),"yes","not yet")</f>
        <v>yes</v>
      </c>
      <c r="AE46" s="5">
        <f>100*(1-AB46)</f>
        <v>89.009197574435021</v>
      </c>
    </row>
    <row r="47" spans="5:42">
      <c r="U47" s="5">
        <f>100*(+AC41/$E$13)</f>
        <v>208.89703473492233</v>
      </c>
      <c r="V47" s="30">
        <f>EXP(5.6985-(0.68367*LN(U47)))</f>
        <v>7.7403216192105262</v>
      </c>
      <c r="W47" s="27">
        <f>(+V47*U47)/100</f>
        <v>16.169302341476918</v>
      </c>
      <c r="X47" s="5">
        <f>100*((((W47/100)-((W47/100)-0.03574)*$E$25)-0.03574-0.00619)/0.344)</f>
        <v>27.125839679554559</v>
      </c>
      <c r="Y47">
        <v>0</v>
      </c>
      <c r="Z47" s="5">
        <f>X47+Y47</f>
        <v>27.125839679554559</v>
      </c>
      <c r="AA47" s="5">
        <f>100*($E$21*$E$23+($E$22*(Z47/100))/(1-$E$25))</f>
        <v>22.701903554092066</v>
      </c>
      <c r="AB47" s="27">
        <f>AA47/U47</f>
        <v>0.10867508762342848</v>
      </c>
      <c r="AC47" s="26">
        <f>ROUND($E$12/(1-AB47),0)</f>
        <v>2292877</v>
      </c>
      <c r="AD47" t="str">
        <f>IF(OR(OR(AC47=AC41,AC47=(AC41+1)),AC47=(AC41-1)),"yes","not yet")</f>
        <v>yes</v>
      </c>
      <c r="AE47" s="5">
        <f>100*(1-AB47)</f>
        <v>89.132491237657149</v>
      </c>
      <c r="AI47" s="15" t="s">
        <v>632</v>
      </c>
    </row>
    <row r="48" spans="5:42">
      <c r="U48" s="5">
        <f>100*(+AC42/$E$13)</f>
        <v>208.71208762240303</v>
      </c>
      <c r="V48" s="30">
        <f>EXP(5.6922-(0.68367*LN(U48)))</f>
        <v>7.6963700478535673</v>
      </c>
      <c r="W48" s="27">
        <f>(+V48*U48)/100</f>
        <v>16.063254598020521</v>
      </c>
      <c r="X48" s="5">
        <f>100*((((W48/100)-((W48/100)-0.03574)*$E$25)-0.03574-0.00619)/0.344)</f>
        <v>26.882299803593639</v>
      </c>
      <c r="Y48">
        <v>0</v>
      </c>
      <c r="Z48" s="5">
        <f>X48+Y48</f>
        <v>26.882299803593639</v>
      </c>
      <c r="AA48" s="5">
        <f>100*($E$21*$E$23+($E$22*(Z48/100))/(1-$E$25))</f>
        <v>22.51693655969137</v>
      </c>
      <c r="AB48" s="27">
        <f>AA48/U48</f>
        <v>0.10788515804809772</v>
      </c>
      <c r="AC48" s="26">
        <f>ROUND($E$12/(1-AB48),0)</f>
        <v>2290847</v>
      </c>
      <c r="AD48" t="str">
        <f>IF(OR(OR(AC48=AC42,AC48=(AC42+1)),AC48=(AC42-1)),"yes","not yet")</f>
        <v>yes</v>
      </c>
      <c r="AE48" s="5">
        <f>100*(1-AB48)</f>
        <v>89.211484195190224</v>
      </c>
      <c r="AI48" s="26">
        <f>HLOOKUP($AI$38,$AI$41:$AQ$45,$E$16+1)</f>
        <v>2292876.3935504965</v>
      </c>
    </row>
    <row r="49" spans="4:31">
      <c r="Z49" s="5"/>
    </row>
    <row r="50" spans="4:31">
      <c r="D50" s="26"/>
      <c r="E50" s="26"/>
      <c r="F50" s="26"/>
      <c r="U50" s="15" t="s">
        <v>636</v>
      </c>
      <c r="V50" s="530" t="s">
        <v>596</v>
      </c>
      <c r="W50" s="530" t="s">
        <v>597</v>
      </c>
      <c r="X50" s="530" t="s">
        <v>122</v>
      </c>
      <c r="Z50" s="5"/>
    </row>
    <row r="51" spans="4:31">
      <c r="D51" s="26"/>
      <c r="E51" s="26"/>
      <c r="F51" s="26"/>
      <c r="U51" s="5">
        <f>100*(+AC45/$E$13)</f>
        <v>209.61641522775599</v>
      </c>
      <c r="V51" s="30">
        <f>EXP(5.7226-(0.68367*LN(+U51)))</f>
        <v>7.9105152917800989</v>
      </c>
      <c r="W51" s="27">
        <f>(+V51*U51)/100</f>
        <v>16.581738580672905</v>
      </c>
      <c r="X51" s="5">
        <f>100*((((W51/100)-((W51/100)-0.03574)*$E$25)-0.03574-0.00619)/0.344)</f>
        <v>28.073004298638367</v>
      </c>
      <c r="Y51">
        <v>0</v>
      </c>
      <c r="Z51" s="5">
        <f>X51+Y51</f>
        <v>28.073004298638367</v>
      </c>
      <c r="AA51" s="5">
        <f>100*($E$21*$E$23+($E$22*(Z51/100))/(1-$E$25))</f>
        <v>23.421269087573439</v>
      </c>
      <c r="AB51" s="27">
        <f>AA51/U51</f>
        <v>0.11173394536933266</v>
      </c>
      <c r="AC51" s="26">
        <f>ROUND($E$12/(1-AB51),0)</f>
        <v>2300773</v>
      </c>
      <c r="AD51" t="str">
        <f>IF(OR(OR(AC51=AC45,AC51=(AC45+1)),AC51=(AC37-1)),"yes","not yet")</f>
        <v>yes</v>
      </c>
      <c r="AE51" s="5">
        <f>100*(1-AB51)</f>
        <v>88.826605463066727</v>
      </c>
    </row>
    <row r="52" spans="4:31">
      <c r="U52" s="5">
        <f>100*(+AC46/$E$13)</f>
        <v>209.18639041441062</v>
      </c>
      <c r="V52" s="30">
        <f>EXP(5.70827-(0.68367*LN(+U52)))</f>
        <v>7.8089218190364242</v>
      </c>
      <c r="W52" s="27">
        <f>(+V52*U52)/100</f>
        <v>16.335201683525632</v>
      </c>
      <c r="X52" s="5">
        <f>100*((((W52/100)-((W52/100)-0.03574)*$E$25)-0.03574-0.00619)/0.344)</f>
        <v>27.506829447631542</v>
      </c>
      <c r="Y52">
        <v>0</v>
      </c>
      <c r="Z52" s="5">
        <f>X52+Y52</f>
        <v>27.506829447631542</v>
      </c>
      <c r="AA52" s="5">
        <f>100*($E$21*$E$23+($E$22*(Z52/100))/(1-$E$25))</f>
        <v>22.99126287161889</v>
      </c>
      <c r="AB52" s="27">
        <f>AA52/U52</f>
        <v>0.10990802425564988</v>
      </c>
      <c r="AC52" s="26">
        <f>ROUND($E$12/(1-AB52),0)</f>
        <v>2296053</v>
      </c>
      <c r="AD52" t="str">
        <f>IF(OR(OR(AC52=AC46,AC52=(AC46+1)),AC52=(AC46-1)),"yes","not yet")</f>
        <v>yes</v>
      </c>
      <c r="AE52" s="5">
        <f>100*(1-AB52)</f>
        <v>89.009197574435021</v>
      </c>
    </row>
    <row r="53" spans="4:31">
      <c r="U53" s="5">
        <f>100*(+AC47/$E$13)</f>
        <v>208.89703473492233</v>
      </c>
      <c r="V53" s="30">
        <f>EXP(5.6985-(0.68367*LN(U53)))</f>
        <v>7.7403216192105262</v>
      </c>
      <c r="W53" s="27">
        <f>(+V53*U53)/100</f>
        <v>16.169302341476918</v>
      </c>
      <c r="X53" s="5">
        <f>100*((((W53/100)-((W53/100)-0.03574)*$E$25)-0.03574-0.00619)/0.344)</f>
        <v>27.125839679554559</v>
      </c>
      <c r="Y53">
        <v>0</v>
      </c>
      <c r="Z53" s="5">
        <f>X53+Y53</f>
        <v>27.125839679554559</v>
      </c>
      <c r="AA53" s="5">
        <f>100*($E$21*$E$23+($E$22*(Z53/100))/(1-$E$25))</f>
        <v>22.701903554092066</v>
      </c>
      <c r="AB53" s="27">
        <f>AA53/U53</f>
        <v>0.10867508762342848</v>
      </c>
      <c r="AC53" s="26">
        <f>ROUND($E$12/(1-AB53),0)</f>
        <v>2292877</v>
      </c>
      <c r="AD53" t="str">
        <f>IF(OR(OR(AC53=AC47,AC53=(AC47+1)),AC53=(AC47-1)),"yes","not yet")</f>
        <v>yes</v>
      </c>
      <c r="AE53" s="5">
        <f>100*(1-AB53)</f>
        <v>89.132491237657149</v>
      </c>
    </row>
    <row r="54" spans="4:31">
      <c r="U54" s="5">
        <f>100*(+AC48/$E$13)</f>
        <v>208.71208762240303</v>
      </c>
      <c r="V54" s="30">
        <f>EXP(5.6922-(0.68367*LN(U54)))</f>
        <v>7.6963700478535673</v>
      </c>
      <c r="W54" s="27">
        <f>(+V54*U54)/100</f>
        <v>16.063254598020521</v>
      </c>
      <c r="X54" s="5">
        <f>100*((((W54/100)-((W54/100)-0.03574)*$E$25)-0.03574-0.00619)/0.344)</f>
        <v>26.882299803593639</v>
      </c>
      <c r="Y54">
        <v>0</v>
      </c>
      <c r="Z54" s="5">
        <f>X54+Y54</f>
        <v>26.882299803593639</v>
      </c>
      <c r="AA54" s="5">
        <f>100*($E$21*$E$23+($E$22*(Z54/100))/(1-$E$25))</f>
        <v>22.51693655969137</v>
      </c>
      <c r="AB54" s="27">
        <f>AA54/U54</f>
        <v>0.10788515804809772</v>
      </c>
      <c r="AC54" s="26">
        <f>ROUND($E$12/(1-AB54),0)</f>
        <v>2290847</v>
      </c>
      <c r="AD54" t="str">
        <f>IF(OR(OR(AC54=AC48,AC54=(AC48+1)),AC54=(AC48-1)),"yes","not yet")</f>
        <v>yes</v>
      </c>
      <c r="AE54" s="5">
        <f>100*(1-AB54)</f>
        <v>89.211484195190224</v>
      </c>
    </row>
    <row r="55" spans="4:31">
      <c r="Z55" s="5"/>
    </row>
    <row r="56" spans="4:31">
      <c r="U56" s="15" t="s">
        <v>637</v>
      </c>
      <c r="V56" s="530" t="s">
        <v>596</v>
      </c>
      <c r="W56" s="530" t="s">
        <v>597</v>
      </c>
      <c r="X56" s="530" t="s">
        <v>122</v>
      </c>
      <c r="Z56" s="5"/>
    </row>
    <row r="57" spans="4:31">
      <c r="U57" s="5">
        <f>100*(+AC51/$E$13)</f>
        <v>209.61641522775599</v>
      </c>
      <c r="V57" s="30">
        <f>EXP(5.7226-(0.68367*LN(+U57)))</f>
        <v>7.9105152917800989</v>
      </c>
      <c r="W57" s="27">
        <f>(+V57*U57)/100</f>
        <v>16.581738580672905</v>
      </c>
      <c r="X57" s="5">
        <f>100*((((W57/100)-((W57/100)-0.03574)*$E$25)-0.03574-0.00619)/0.344)</f>
        <v>28.073004298638367</v>
      </c>
      <c r="Y57">
        <v>0</v>
      </c>
      <c r="Z57" s="5">
        <f>X57+Y57</f>
        <v>28.073004298638367</v>
      </c>
      <c r="AA57" s="5">
        <f>100*($E$21*$E$23+($E$22*(Z57/100))/(1-$E$25))</f>
        <v>23.421269087573439</v>
      </c>
      <c r="AB57" s="27">
        <f>AA57/U57</f>
        <v>0.11173394536933266</v>
      </c>
      <c r="AC57" s="26">
        <f>ROUND($E$12/(1-AB57),0)</f>
        <v>2300773</v>
      </c>
      <c r="AD57" t="str">
        <f>IF(OR(OR(AC57=AC51,AC57=(AC51+1)),AC57=(AC43-1)),"yes","not yet")</f>
        <v>yes</v>
      </c>
      <c r="AE57" s="5">
        <f>100*(1-AB57)</f>
        <v>88.826605463066727</v>
      </c>
    </row>
    <row r="58" spans="4:31">
      <c r="U58" s="5">
        <f>100*(+AC52/$E$13)</f>
        <v>209.18639041441062</v>
      </c>
      <c r="V58" s="30">
        <f>EXP(5.70827-(0.68367*LN(+U58)))</f>
        <v>7.8089218190364242</v>
      </c>
      <c r="W58" s="27">
        <f>(+V58*U58)/100</f>
        <v>16.335201683525632</v>
      </c>
      <c r="X58" s="5">
        <f>100*((((W58/100)-((W58/100)-0.03574)*$E$25)-0.03574-0.00619)/0.344)</f>
        <v>27.506829447631542</v>
      </c>
      <c r="Y58">
        <v>0</v>
      </c>
      <c r="Z58" s="5">
        <f>X58+Y58</f>
        <v>27.506829447631542</v>
      </c>
      <c r="AA58" s="5">
        <f>100*($E$21*$E$23+($E$22*(Z58/100))/(1-$E$25))</f>
        <v>22.99126287161889</v>
      </c>
      <c r="AB58" s="27">
        <f>AA58/U58</f>
        <v>0.10990802425564988</v>
      </c>
      <c r="AC58" s="26">
        <f>ROUND($E$12/(1-AB58),0)</f>
        <v>2296053</v>
      </c>
      <c r="AD58" t="str">
        <f>IF(OR(OR(AC58=AC52,AC58=(AC52+1)),AC58=(AC52-1)),"yes","not yet")</f>
        <v>yes</v>
      </c>
      <c r="AE58" s="5">
        <f>100*(1-AB58)</f>
        <v>89.009197574435021</v>
      </c>
    </row>
    <row r="59" spans="4:31">
      <c r="U59" s="5">
        <f>100*(+AC53/$E$13)</f>
        <v>208.89703473492233</v>
      </c>
      <c r="V59" s="30">
        <f>EXP(5.6985-(0.68367*LN(U59)))</f>
        <v>7.7403216192105262</v>
      </c>
      <c r="W59" s="27">
        <f>(+V59*U59)/100</f>
        <v>16.169302341476918</v>
      </c>
      <c r="X59" s="5">
        <f>100*((((W59/100)-((W59/100)-0.03574)*$E$25)-0.03574-0.00619)/0.344)</f>
        <v>27.125839679554559</v>
      </c>
      <c r="Y59">
        <v>0</v>
      </c>
      <c r="Z59" s="5">
        <f>X59+Y59</f>
        <v>27.125839679554559</v>
      </c>
      <c r="AA59" s="5">
        <f>100*($E$21*$E$23+($E$22*(Z59/100))/(1-$E$25))</f>
        <v>22.701903554092066</v>
      </c>
      <c r="AB59" s="27">
        <f>AA59/U59</f>
        <v>0.10867508762342848</v>
      </c>
      <c r="AC59" s="26">
        <f>ROUND($E$12/(1-AB59),0)</f>
        <v>2292877</v>
      </c>
      <c r="AD59" t="str">
        <f>IF(OR(OR(AC59=AC53,AC59=(AC53+1)),AC59=(AC53-1)),"yes","not yet")</f>
        <v>yes</v>
      </c>
      <c r="AE59" s="5">
        <f>100*(1-AB59)</f>
        <v>89.132491237657149</v>
      </c>
    </row>
    <row r="60" spans="4:31">
      <c r="U60" s="5">
        <f>100*(+AC54/$E$13)</f>
        <v>208.71208762240303</v>
      </c>
      <c r="V60" s="30">
        <f>EXP(5.6922-(0.68367*LN(U60)))</f>
        <v>7.6963700478535673</v>
      </c>
      <c r="W60" s="27">
        <f>(+V60*U60)/100</f>
        <v>16.063254598020521</v>
      </c>
      <c r="X60" s="5">
        <f>100*((((W60/100)-((W60/100)-0.03574)*$E$25)-0.03574-0.00619)/0.344)</f>
        <v>26.882299803593639</v>
      </c>
      <c r="Y60">
        <v>0</v>
      </c>
      <c r="Z60" s="5">
        <f>X60+Y60</f>
        <v>26.882299803593639</v>
      </c>
      <c r="AA60" s="5">
        <f>100*($E$21*$E$23+($E$22*(Z60/100))/(1-$E$25))</f>
        <v>22.51693655969137</v>
      </c>
      <c r="AB60" s="27">
        <f>AA60/U60</f>
        <v>0.10788515804809772</v>
      </c>
      <c r="AC60" s="26">
        <f>ROUND($E$12/(1-AB60),0)</f>
        <v>2290847</v>
      </c>
      <c r="AD60" t="str">
        <f>IF(OR(OR(AC60=AC54,AC60=(AC54+1)),AC60=(AC54-1)),"yes","not yet")</f>
        <v>yes</v>
      </c>
      <c r="AE60" s="5">
        <f>100*(1-AB60)</f>
        <v>89.211484195190224</v>
      </c>
    </row>
    <row r="61" spans="4:31">
      <c r="Z61" s="5"/>
    </row>
    <row r="63" spans="4:31">
      <c r="U63" s="5"/>
      <c r="V63" s="30"/>
      <c r="W63" s="27"/>
      <c r="X63" s="5"/>
      <c r="AA63" s="5"/>
      <c r="AB63" s="27"/>
      <c r="AC63" s="26"/>
    </row>
    <row r="64" spans="4:31">
      <c r="U64" s="5"/>
      <c r="V64" s="30"/>
      <c r="W64" s="27"/>
      <c r="X64" s="5"/>
      <c r="AA64" s="5"/>
      <c r="AB64" s="27"/>
      <c r="AC64" s="26"/>
    </row>
    <row r="65" spans="20:29">
      <c r="U65" s="5"/>
      <c r="V65" s="30"/>
      <c r="W65" s="27"/>
      <c r="X65" s="5"/>
      <c r="AA65" s="5"/>
      <c r="AB65" s="27"/>
      <c r="AC65" s="26"/>
    </row>
    <row r="66" spans="20:29">
      <c r="U66" s="5"/>
      <c r="V66" s="30"/>
      <c r="W66" s="27"/>
      <c r="X66" s="5"/>
      <c r="AA66" s="5"/>
      <c r="AB66" s="27"/>
      <c r="AC66" s="26"/>
    </row>
    <row r="69" spans="20:29">
      <c r="U69" s="5"/>
      <c r="V69" s="30"/>
      <c r="W69" s="27"/>
      <c r="X69" s="5"/>
      <c r="AA69" s="5"/>
      <c r="AB69" s="27"/>
      <c r="AC69" s="26"/>
    </row>
    <row r="70" spans="20:29">
      <c r="U70" s="5"/>
      <c r="V70" s="30"/>
      <c r="W70" s="27"/>
      <c r="X70" s="5"/>
      <c r="AA70" s="5"/>
      <c r="AB70" s="27"/>
      <c r="AC70" s="26"/>
    </row>
    <row r="71" spans="20:29">
      <c r="T71" s="5"/>
      <c r="U71" s="30"/>
      <c r="V71" s="27"/>
      <c r="W71" s="5"/>
      <c r="Z71" s="5"/>
      <c r="AA71" s="27"/>
      <c r="AB71" s="26"/>
    </row>
    <row r="72" spans="20:29">
      <c r="T72" s="5"/>
      <c r="U72" s="30"/>
      <c r="V72" s="27"/>
      <c r="W72" s="5"/>
      <c r="Z72" s="5"/>
      <c r="AA72" s="27"/>
      <c r="AB72" s="26"/>
    </row>
    <row r="75" spans="20:29">
      <c r="T75" s="5"/>
      <c r="U75" s="30"/>
      <c r="V75" s="27"/>
      <c r="W75" s="5"/>
      <c r="Z75" s="5"/>
      <c r="AA75" s="27"/>
      <c r="AB75" s="26"/>
    </row>
    <row r="76" spans="20:29">
      <c r="T76" s="5"/>
      <c r="U76" s="30"/>
      <c r="V76" s="27"/>
      <c r="W76" s="5"/>
      <c r="Z76" s="5"/>
      <c r="AA76" s="27"/>
      <c r="AB76" s="26"/>
    </row>
    <row r="77" spans="20:29">
      <c r="T77" s="5"/>
      <c r="U77" s="30"/>
      <c r="V77" s="27"/>
      <c r="W77" s="5"/>
      <c r="Z77" s="5"/>
      <c r="AA77" s="27"/>
      <c r="AB77" s="26"/>
    </row>
    <row r="78" spans="20:29">
      <c r="T78" s="5"/>
      <c r="U78" s="30"/>
      <c r="V78" s="27"/>
      <c r="W78" s="5"/>
      <c r="Z78" s="5"/>
      <c r="AA78" s="27"/>
      <c r="AB78" s="26"/>
    </row>
    <row r="81" spans="20:28">
      <c r="T81" s="5"/>
      <c r="U81" s="30"/>
      <c r="V81" s="27"/>
      <c r="W81" s="5"/>
      <c r="Z81" s="5"/>
      <c r="AA81" s="27"/>
      <c r="AB81" s="26"/>
    </row>
    <row r="82" spans="20:28">
      <c r="T82" s="5"/>
      <c r="U82" s="30"/>
      <c r="V82" s="27"/>
      <c r="W82" s="5"/>
      <c r="Z82" s="5"/>
      <c r="AA82" s="27"/>
      <c r="AB82" s="26"/>
    </row>
    <row r="83" spans="20:28">
      <c r="T83" s="5"/>
      <c r="U83" s="30"/>
      <c r="V83" s="27"/>
      <c r="W83" s="5"/>
      <c r="Z83" s="5"/>
      <c r="AA83" s="27"/>
      <c r="AB83" s="26"/>
    </row>
    <row r="84" spans="20:28">
      <c r="T84" s="5"/>
      <c r="U84" s="30"/>
      <c r="V84" s="27"/>
      <c r="W84" s="5"/>
      <c r="Z84" s="5"/>
      <c r="AA84" s="27"/>
      <c r="AB84" s="26"/>
    </row>
    <row r="87" spans="20:28">
      <c r="T87" s="5"/>
      <c r="U87" s="30"/>
      <c r="V87" s="27"/>
      <c r="W87" s="5"/>
      <c r="Z87" s="5"/>
      <c r="AA87" s="27"/>
      <c r="AB87" s="26"/>
    </row>
    <row r="88" spans="20:28">
      <c r="T88" s="5"/>
      <c r="U88" s="30"/>
      <c r="V88" s="27"/>
      <c r="W88" s="5"/>
      <c r="Z88" s="5"/>
      <c r="AA88" s="27"/>
      <c r="AB88" s="26"/>
    </row>
    <row r="89" spans="20:28">
      <c r="T89" s="5"/>
      <c r="U89" s="30"/>
      <c r="V89" s="27"/>
      <c r="W89" s="5"/>
      <c r="Z89" s="5"/>
      <c r="AA89" s="27"/>
      <c r="AB89" s="26"/>
    </row>
    <row r="90" spans="20:28">
      <c r="T90" s="5"/>
      <c r="U90" s="30"/>
      <c r="V90" s="27"/>
      <c r="W90" s="5"/>
      <c r="Z90" s="5"/>
      <c r="AA90" s="27"/>
      <c r="AB90" s="26"/>
    </row>
    <row r="93" spans="20:28">
      <c r="T93" s="5"/>
      <c r="U93" s="30"/>
      <c r="V93" s="27"/>
      <c r="W93" s="5"/>
      <c r="Z93" s="5"/>
      <c r="AA93" s="27"/>
      <c r="AB93" s="26"/>
    </row>
    <row r="94" spans="20:28">
      <c r="T94" s="5"/>
      <c r="U94" s="30"/>
      <c r="V94" s="27"/>
      <c r="W94" s="5"/>
      <c r="Z94" s="5"/>
      <c r="AA94" s="27"/>
      <c r="AB94" s="26"/>
    </row>
    <row r="95" spans="20:28">
      <c r="T95" s="5"/>
      <c r="U95" s="30"/>
      <c r="V95" s="27"/>
      <c r="W95" s="5"/>
      <c r="Z95" s="5"/>
      <c r="AA95" s="27"/>
      <c r="AB95" s="26"/>
    </row>
    <row r="96" spans="20:28">
      <c r="T96" s="5"/>
      <c r="U96" s="30"/>
      <c r="V96" s="27"/>
      <c r="W96" s="5"/>
      <c r="Z96" s="5"/>
      <c r="AA96" s="27"/>
      <c r="AB96" s="2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  <pageSetUpPr fitToPage="1"/>
  </sheetPr>
  <dimension ref="A1:AP96"/>
  <sheetViews>
    <sheetView workbookViewId="0">
      <selection activeCell="E4" sqref="E4"/>
    </sheetView>
  </sheetViews>
  <sheetFormatPr defaultRowHeight="12.75"/>
  <cols>
    <col min="1" max="1" width="10.140625" bestFit="1" customWidth="1"/>
  </cols>
  <sheetData>
    <row r="1" spans="1:35">
      <c r="A1" t="s">
        <v>4</v>
      </c>
    </row>
    <row r="3" spans="1:35">
      <c r="A3" t="s">
        <v>995</v>
      </c>
      <c r="D3" s="459" t="s">
        <v>11</v>
      </c>
      <c r="E3" s="459" t="s">
        <v>12</v>
      </c>
    </row>
    <row r="5" spans="1:35">
      <c r="A5" s="480">
        <v>45473</v>
      </c>
    </row>
    <row r="7" spans="1:35">
      <c r="B7" s="15" t="s">
        <v>589</v>
      </c>
      <c r="AD7" s="530" t="s">
        <v>590</v>
      </c>
      <c r="AE7" s="530" t="s">
        <v>591</v>
      </c>
      <c r="AH7" s="15" t="s">
        <v>592</v>
      </c>
    </row>
    <row r="8" spans="1:35">
      <c r="E8" s="25"/>
      <c r="M8" s="15" t="s">
        <v>593</v>
      </c>
      <c r="T8" s="530" t="s">
        <v>594</v>
      </c>
      <c r="U8" s="530" t="s">
        <v>595</v>
      </c>
      <c r="V8" s="530" t="s">
        <v>596</v>
      </c>
      <c r="W8" s="530" t="s">
        <v>597</v>
      </c>
      <c r="X8" s="530" t="s">
        <v>122</v>
      </c>
      <c r="Z8" s="530" t="s">
        <v>598</v>
      </c>
      <c r="AA8" s="15" t="s">
        <v>599</v>
      </c>
      <c r="AB8" s="530" t="s">
        <v>600</v>
      </c>
      <c r="AC8" s="530" t="s">
        <v>601</v>
      </c>
      <c r="AD8" s="530" t="s">
        <v>602</v>
      </c>
      <c r="AH8" s="15" t="s">
        <v>603</v>
      </c>
    </row>
    <row r="9" spans="1:35">
      <c r="B9" s="15" t="s">
        <v>604</v>
      </c>
      <c r="C9" s="15" t="s">
        <v>152</v>
      </c>
      <c r="E9" s="25">
        <f>E11+E10</f>
        <v>214411.38497207456</v>
      </c>
      <c r="F9" s="15" t="s">
        <v>605</v>
      </c>
      <c r="K9" s="9"/>
      <c r="M9" s="15" t="s">
        <v>606</v>
      </c>
      <c r="P9" s="15" t="s">
        <v>199</v>
      </c>
      <c r="T9" s="26">
        <f>$E$12*1.25</f>
        <v>238477.4866883058</v>
      </c>
      <c r="U9" s="5">
        <f>100*(+T9/$E$13)</f>
        <v>250.8256548620742</v>
      </c>
      <c r="V9" s="27">
        <f>EXP(5.7226-(0.68367*LN(+U9)))</f>
        <v>6.9970500076641118</v>
      </c>
      <c r="W9" s="27">
        <f>(+V9*U9)/100</f>
        <v>17.550396502750321</v>
      </c>
      <c r="X9" s="5">
        <f>100*((((W9/100)-((W9/100)-0.03574)*$E$25)-0.03574-0.00619)/0.344)</f>
        <v>30.297538480153356</v>
      </c>
      <c r="Y9">
        <v>0</v>
      </c>
      <c r="Z9" s="5">
        <f>X9+Y9</f>
        <v>30.297538480153356</v>
      </c>
      <c r="AA9" s="5">
        <f>100*($E$21*$E$23+($E$22*(Z9/100))/(1-$E$25))</f>
        <v>25.110788719103816</v>
      </c>
      <c r="AB9" s="27">
        <f>AA9/U9</f>
        <v>0.10011252131649737</v>
      </c>
      <c r="AC9" s="26">
        <f>$E$12/(1-AB9)</f>
        <v>212006.49400050618</v>
      </c>
      <c r="AD9" t="str">
        <f>IF(AC9=$T$9,"yes","not yet")</f>
        <v>not yet</v>
      </c>
      <c r="AE9" s="5">
        <f>100*(1-AB9)</f>
        <v>89.988747868350259</v>
      </c>
      <c r="AH9">
        <v>0</v>
      </c>
      <c r="AI9">
        <v>1</v>
      </c>
    </row>
    <row r="10" spans="1:35">
      <c r="B10" s="15" t="s">
        <v>604</v>
      </c>
      <c r="C10" s="15" t="s">
        <v>607</v>
      </c>
      <c r="E10" s="25">
        <f>(+E12-((H19/100)*E11))/H29</f>
        <v>36925.901886434498</v>
      </c>
      <c r="F10" s="28" t="s">
        <v>605</v>
      </c>
      <c r="K10" s="9"/>
      <c r="M10" s="15" t="s">
        <v>608</v>
      </c>
      <c r="P10" s="15" t="s">
        <v>202</v>
      </c>
      <c r="T10" s="26">
        <f>$E$12*1.25</f>
        <v>238477.4866883058</v>
      </c>
      <c r="U10" s="5">
        <f>100*(+T10/$E$13)</f>
        <v>250.8256548620742</v>
      </c>
      <c r="V10" s="27">
        <f>EXP(5.70827-(0.68367*LN(+U10)))</f>
        <v>6.897497279929599</v>
      </c>
      <c r="W10" s="27">
        <f>(+V10*U10)/100</f>
        <v>17.300692721477173</v>
      </c>
      <c r="X10" s="5">
        <f>100*((((W10/100)-((W10/100)-0.03574)*$E$25)-0.03574-0.00619)/0.344)</f>
        <v>29.724090842927232</v>
      </c>
      <c r="Y10">
        <v>0</v>
      </c>
      <c r="Z10" s="5">
        <f>X10+Y10</f>
        <v>29.724090842927232</v>
      </c>
      <c r="AA10" s="5">
        <f>100*($E$21*$E$23+($E$22*(Z10/100))/(1-$E$25))</f>
        <v>24.675258868045997</v>
      </c>
      <c r="AB10" s="27">
        <f>AA10/U10</f>
        <v>9.8376136530430286E-2</v>
      </c>
      <c r="AC10" s="26">
        <f>$E$12/(1-AB10)</f>
        <v>211598.20306495653</v>
      </c>
      <c r="AD10" t="str">
        <f>IF(AC10=$T$10,"yes","not yet")</f>
        <v>not yet</v>
      </c>
      <c r="AE10" s="5">
        <f>100*(1-AB10)</f>
        <v>90.162386346956964</v>
      </c>
      <c r="AH10">
        <v>50</v>
      </c>
      <c r="AI10">
        <v>2</v>
      </c>
    </row>
    <row r="11" spans="1:35">
      <c r="B11" s="29" t="s">
        <v>609</v>
      </c>
      <c r="C11" s="15" t="s">
        <v>29</v>
      </c>
      <c r="D11" s="29" t="s">
        <v>610</v>
      </c>
      <c r="E11" s="25">
        <f>+'Results of Operations Regulated'!G21</f>
        <v>177485.48308564007</v>
      </c>
      <c r="F11" s="15" t="s">
        <v>611</v>
      </c>
      <c r="K11" s="9"/>
      <c r="M11" s="15" t="s">
        <v>612</v>
      </c>
      <c r="P11" s="15" t="s">
        <v>203</v>
      </c>
      <c r="T11" s="26">
        <f>$E$12*1.25</f>
        <v>238477.4866883058</v>
      </c>
      <c r="U11" s="5">
        <f>100*(+T11/$E$13)</f>
        <v>250.8256548620742</v>
      </c>
      <c r="V11" s="27">
        <f>EXP(5.6985-(0.68367*LN(U11)))</f>
        <v>6.8304368551051109</v>
      </c>
      <c r="W11" s="27">
        <f>(+V11*U11)/100</f>
        <v>17.132487971757861</v>
      </c>
      <c r="X11" s="5">
        <f>100*((((W11/100)-((W11/100)-0.03574)*$E$25)-0.03574-0.00619)/0.344)</f>
        <v>29.337806679327649</v>
      </c>
      <c r="Y11">
        <v>0</v>
      </c>
      <c r="Z11" s="5">
        <f>X11+Y11</f>
        <v>29.337806679327649</v>
      </c>
      <c r="AA11" s="5">
        <f>100*($E$21*$E$23+($E$22*(Z11/100))/(1-$E$25))</f>
        <v>24.381878490628591</v>
      </c>
      <c r="AB11" s="27">
        <f>AA11/U11</f>
        <v>9.720647795791014E-2</v>
      </c>
      <c r="AC11" s="26">
        <f>$E$12/(1-AB11)</f>
        <v>211324.05660056346</v>
      </c>
      <c r="AD11" t="str">
        <f>IF(AC11=$T$11,"yes","not yet")</f>
        <v>not yet</v>
      </c>
      <c r="AE11" s="5">
        <f>100*(1-AB11)</f>
        <v>90.27935220420899</v>
      </c>
      <c r="AH11">
        <v>125</v>
      </c>
      <c r="AI11">
        <v>3</v>
      </c>
    </row>
    <row r="12" spans="1:35">
      <c r="B12" s="29" t="s">
        <v>609</v>
      </c>
      <c r="C12" s="15" t="s">
        <v>613</v>
      </c>
      <c r="D12" s="29" t="s">
        <v>610</v>
      </c>
      <c r="E12" s="25">
        <f>+'Results of Operations Regulated'!G102</f>
        <v>190781.98935064464</v>
      </c>
      <c r="F12" s="15" t="s">
        <v>611</v>
      </c>
      <c r="K12" s="9"/>
      <c r="M12" s="15" t="s">
        <v>614</v>
      </c>
      <c r="P12" s="15" t="s">
        <v>204</v>
      </c>
      <c r="T12" s="26">
        <f>$E$12*1.25</f>
        <v>238477.4866883058</v>
      </c>
      <c r="U12" s="5">
        <f>100*(+T12/$E$13)</f>
        <v>250.8256548620742</v>
      </c>
      <c r="V12" s="27">
        <f>EXP(5.6922-(0.68367*LN(U12)))</f>
        <v>6.7875403687300624</v>
      </c>
      <c r="W12" s="27">
        <f>(+V12*U12)/100</f>
        <v>17.024892578894825</v>
      </c>
      <c r="X12" s="5">
        <f>100*((((W12/100)-((W12/100)-0.03574)*$E$25)-0.03574-0.00619)/0.344)</f>
        <v>29.090712608508461</v>
      </c>
      <c r="Y12">
        <v>0</v>
      </c>
      <c r="Z12" s="5">
        <f>X12+Y12</f>
        <v>29.090712608508461</v>
      </c>
      <c r="AA12" s="5">
        <f>100*($E$21*$E$23+($E$22*(Z12/100))/(1-$E$25))</f>
        <v>24.194212107727946</v>
      </c>
      <c r="AB12" s="27">
        <f>AA12/U12</f>
        <v>9.6458283428112773E-2</v>
      </c>
      <c r="AC12" s="26">
        <f>$E$12/(1-AB12)</f>
        <v>211149.06578357826</v>
      </c>
      <c r="AD12" t="str">
        <f>IF(AC12=$T$12,"yes","not yet")</f>
        <v>not yet</v>
      </c>
      <c r="AE12" s="5">
        <f>100*(1-AB12)</f>
        <v>90.354171657188715</v>
      </c>
      <c r="AH12">
        <v>401</v>
      </c>
      <c r="AI12">
        <v>4</v>
      </c>
    </row>
    <row r="13" spans="1:35">
      <c r="B13" s="29" t="s">
        <v>609</v>
      </c>
      <c r="C13" s="15" t="s">
        <v>615</v>
      </c>
      <c r="E13" s="25">
        <f>+'Results of Operations Regulated'!G108</f>
        <v>95076.991553930755</v>
      </c>
      <c r="F13" s="15" t="s">
        <v>611</v>
      </c>
      <c r="K13" s="9"/>
      <c r="Z13" s="5"/>
    </row>
    <row r="14" spans="1:35">
      <c r="C14" s="15" t="s">
        <v>616</v>
      </c>
      <c r="E14" s="5">
        <f>U9</f>
        <v>250.8256548620742</v>
      </c>
      <c r="F14" s="15" t="s">
        <v>617</v>
      </c>
      <c r="H14" s="5"/>
      <c r="U14" s="530" t="s">
        <v>618</v>
      </c>
      <c r="V14" s="530" t="s">
        <v>596</v>
      </c>
      <c r="W14" s="530" t="s">
        <v>597</v>
      </c>
      <c r="X14" s="530" t="s">
        <v>122</v>
      </c>
      <c r="Z14" s="5"/>
      <c r="AH14" s="15" t="s">
        <v>619</v>
      </c>
    </row>
    <row r="15" spans="1:35">
      <c r="C15" s="15" t="s">
        <v>620</v>
      </c>
      <c r="E15" s="5">
        <f>HLOOKUP($AI$38,$AI$32:$AQ$36,$E$16+1)</f>
        <v>223.99237733954257</v>
      </c>
      <c r="F15" s="15" t="s">
        <v>617</v>
      </c>
      <c r="U15" s="5">
        <f>100*(+AC9/$E$13)</f>
        <v>222.98401593854513</v>
      </c>
      <c r="V15" s="30">
        <f>EXP(5.7226-(0.68367*LN(+U15)))</f>
        <v>7.583143932281593</v>
      </c>
      <c r="W15" s="27">
        <f>(+V15*U15)/100</f>
        <v>16.909198874601604</v>
      </c>
      <c r="X15" s="5">
        <f>100*((((W15/100)-((W15/100)-0.03574)*$E$25)-0.03574-0.00619)/0.344)</f>
        <v>28.825020671323454</v>
      </c>
      <c r="Y15">
        <v>0</v>
      </c>
      <c r="Z15" s="5">
        <f>X15+Y15</f>
        <v>28.825020671323454</v>
      </c>
      <c r="AA15" s="5">
        <f>100*($E$21*$E$23+($E$22*(Z15/100))/(1-$E$25))</f>
        <v>23.99242076303047</v>
      </c>
      <c r="AB15" s="27">
        <f>AA15/U15</f>
        <v>0.10759704305282058</v>
      </c>
      <c r="AC15" s="26">
        <f>$E$12/(1-AB15)</f>
        <v>213784.57776887092</v>
      </c>
      <c r="AD15" t="str">
        <f>IF(OR(OR(AC15=AC9,AC15=(AC9+1)),AC15=(AC8193-1)),"yes","not yet")</f>
        <v>not yet</v>
      </c>
      <c r="AE15" s="5">
        <f>100*(1-AB15)</f>
        <v>89.240295694717943</v>
      </c>
    </row>
    <row r="16" spans="1:35">
      <c r="C16" s="15" t="s">
        <v>621</v>
      </c>
      <c r="E16">
        <f>VLOOKUP(E14,AH9:AI12,2)</f>
        <v>3</v>
      </c>
      <c r="F16" s="15" t="s">
        <v>617</v>
      </c>
      <c r="U16" s="5">
        <f>100*(+AC10/$E$13)</f>
        <v>222.55458403406797</v>
      </c>
      <c r="V16" s="30">
        <f>EXP(5.70827-(0.68367*LN(+U16)))</f>
        <v>7.4851105706702024</v>
      </c>
      <c r="W16" s="27">
        <f>(+V16*U16)/100</f>
        <v>16.658456695045121</v>
      </c>
      <c r="X16" s="5">
        <f>100*((((W16/100)-((W16/100)-0.03574)*$E$25)-0.03574-0.00619)/0.344)</f>
        <v>28.249188340365251</v>
      </c>
      <c r="Y16">
        <v>0</v>
      </c>
      <c r="Z16" s="5">
        <f>X16+Y16</f>
        <v>28.249188340365251</v>
      </c>
      <c r="AA16" s="5">
        <f>100*($E$21*$E$23+($E$22*(Z16/100))/(1-$E$25))</f>
        <v>23.555079752176137</v>
      </c>
      <c r="AB16" s="27">
        <f>AA16/U16</f>
        <v>0.10583956225574935</v>
      </c>
      <c r="AC16" s="26">
        <f>$E$12/(1-AB16)</f>
        <v>213364.38215935967</v>
      </c>
      <c r="AD16" t="str">
        <f>IF(OR(OR(AC16=AC10,AC16=(AC10+1)),AC16=(AC10-1)),"yes","not yet")</f>
        <v>not yet</v>
      </c>
      <c r="AE16" s="5">
        <f>100*(1-AB16)</f>
        <v>89.416043774425063</v>
      </c>
    </row>
    <row r="17" spans="2:42">
      <c r="U17" s="5">
        <f>100*(+AC11/$E$13)</f>
        <v>222.26624249116423</v>
      </c>
      <c r="V17" s="30">
        <f>EXP(5.6985-(0.68367*LN(U17)))</f>
        <v>7.4189098556847348</v>
      </c>
      <c r="W17" s="27">
        <f>(+V17*U17)/100</f>
        <v>16.489732170037115</v>
      </c>
      <c r="X17" s="5">
        <f>100*((((W17/100)-((W17/100)-0.03574)*$E$25)-0.03574-0.00619)/0.344)</f>
        <v>27.861710506771288</v>
      </c>
      <c r="Y17">
        <v>0</v>
      </c>
      <c r="Z17" s="5">
        <f>X17+Y17</f>
        <v>27.861710506771288</v>
      </c>
      <c r="AA17" s="5">
        <f>100*($E$21*$E$23+($E$22*(Z17/100))/(1-$E$25))</f>
        <v>23.260792789952873</v>
      </c>
      <c r="AB17" s="27">
        <f>AA17/U17</f>
        <v>0.10465283674770162</v>
      </c>
      <c r="AC17" s="26">
        <f>$E$12/(1-AB17)</f>
        <v>213081.58129148447</v>
      </c>
      <c r="AD17" t="str">
        <f>IF(OR(OR(AC17=AC11,AC17=(AC11+1)),AC17=(AC11-1)),"yes","not yet")</f>
        <v>not yet</v>
      </c>
      <c r="AE17" s="5">
        <f>100*(1-AB17)</f>
        <v>89.534716325229837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5" t="s">
        <v>622</v>
      </c>
      <c r="U18" s="5">
        <f>100*(+AC12/$E$13)</f>
        <v>222.0821907935609</v>
      </c>
      <c r="V18" s="30">
        <f>EXP(5.6922-(0.68367*LN(U18)))</f>
        <v>7.3764942129894804</v>
      </c>
      <c r="W18" s="27">
        <f>(+V18*U18)/100</f>
        <v>16.381879951967274</v>
      </c>
      <c r="X18" s="5">
        <f>100*((((W18/100)-((W18/100)-0.03574)*$E$25)-0.03574-0.00619)/0.344)</f>
        <v>27.614026633878332</v>
      </c>
      <c r="Y18">
        <v>0</v>
      </c>
      <c r="Z18" s="5">
        <f>X18+Y18</f>
        <v>27.614026633878332</v>
      </c>
      <c r="AA18" s="5">
        <f>100*($E$21*$E$23+($E$22*(Z18/100))/(1-$E$25))</f>
        <v>23.072678456110122</v>
      </c>
      <c r="AB18" s="27">
        <f>AA18/U18</f>
        <v>0.10389252003352939</v>
      </c>
      <c r="AC18" s="26">
        <f>$E$12/(1-AB18)</f>
        <v>212900.78881808138</v>
      </c>
      <c r="AD18" t="str">
        <f>IF(OR(OR(AC18=AC12,AC18=(AC12+1)),AC18=(AC12-1)),"yes","not yet")</f>
        <v>not yet</v>
      </c>
      <c r="AE18" s="5">
        <f>100*(1-AB18)</f>
        <v>89.610747996647049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213662</v>
      </c>
      <c r="AO18">
        <f>AC51</f>
        <v>213662</v>
      </c>
      <c r="AP18">
        <f>AC57</f>
        <v>213662</v>
      </c>
    </row>
    <row r="19" spans="2:42">
      <c r="C19" s="15" t="s">
        <v>623</v>
      </c>
      <c r="E19" s="29" t="s">
        <v>604</v>
      </c>
      <c r="F19" s="15" t="s">
        <v>624</v>
      </c>
      <c r="H19" s="5">
        <f>HLOOKUP($AI$29,$AI$23:$AQ$27,$E$16+1)</f>
        <v>89.583903640133286</v>
      </c>
      <c r="I19" s="15" t="s">
        <v>605</v>
      </c>
      <c r="J19" s="31"/>
      <c r="Z19" s="5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213245</v>
      </c>
      <c r="AO19">
        <f>AC52</f>
        <v>213245</v>
      </c>
      <c r="AP19">
        <f>AC58</f>
        <v>213245</v>
      </c>
    </row>
    <row r="20" spans="2:42">
      <c r="C20" s="32" t="s">
        <v>610</v>
      </c>
      <c r="D20" s="32" t="s">
        <v>610</v>
      </c>
      <c r="E20" s="33"/>
      <c r="H20" s="32" t="s">
        <v>625</v>
      </c>
      <c r="U20" s="15" t="s">
        <v>626</v>
      </c>
      <c r="V20" s="530" t="s">
        <v>596</v>
      </c>
      <c r="W20" s="530" t="s">
        <v>597</v>
      </c>
      <c r="X20" s="530" t="s">
        <v>122</v>
      </c>
      <c r="Z20" s="5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212965</v>
      </c>
      <c r="AO20">
        <f>AC53</f>
        <v>212965</v>
      </c>
      <c r="AP20">
        <f>AC59</f>
        <v>212965</v>
      </c>
    </row>
    <row r="21" spans="2:42">
      <c r="B21" s="29" t="s">
        <v>609</v>
      </c>
      <c r="C21" s="15" t="s">
        <v>627</v>
      </c>
      <c r="E21" s="35">
        <v>0.4</v>
      </c>
      <c r="F21" s="15" t="s">
        <v>628</v>
      </c>
      <c r="U21" s="5">
        <f>100*(+AC15/$E$13)</f>
        <v>224.85416742241512</v>
      </c>
      <c r="V21" s="30">
        <f>EXP(5.7226-(0.68367*LN(+U21)))</f>
        <v>7.5399677048710974</v>
      </c>
      <c r="W21" s="27">
        <f>(+V21*U21)/100</f>
        <v>16.953931606706888</v>
      </c>
      <c r="X21" s="5">
        <f>100*((((W21/100)-((W21/100)-0.03574)*$E$25)-0.03574-0.00619)/0.344)</f>
        <v>28.927749910751288</v>
      </c>
      <c r="Y21">
        <v>0</v>
      </c>
      <c r="Z21" s="5">
        <f>X21+Y21</f>
        <v>28.927749910751288</v>
      </c>
      <c r="AA21" s="5">
        <f>100*($E$21*$E$23+($E$22*(Z21/100))/(1-$E$25))</f>
        <v>24.07044297019085</v>
      </c>
      <c r="AB21" s="27">
        <f>AA21/U21</f>
        <v>0.10704912986990221</v>
      </c>
      <c r="AC21" s="26">
        <f>$E$12/(1-AB21)</f>
        <v>213653.39990412776</v>
      </c>
      <c r="AD21" t="str">
        <f>IF(OR(OR(AC21=AC15,AC21=(AC15+1)),AC21=(AC7-1)),"yes","not yet")</f>
        <v>not yet</v>
      </c>
      <c r="AE21" s="5">
        <f>100*(1-AB21)</f>
        <v>89.295087013009777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212785</v>
      </c>
      <c r="AO21">
        <f>AC54</f>
        <v>212785</v>
      </c>
      <c r="AP21">
        <f>AC60</f>
        <v>212785</v>
      </c>
    </row>
    <row r="22" spans="2:42">
      <c r="B22" s="29" t="s">
        <v>609</v>
      </c>
      <c r="C22" s="15" t="s">
        <v>629</v>
      </c>
      <c r="E22" s="35">
        <v>0.6</v>
      </c>
      <c r="F22" s="15" t="s">
        <v>192</v>
      </c>
      <c r="H22" s="41">
        <v>1.7999999999999999E-2</v>
      </c>
      <c r="I22" s="15" t="s">
        <v>609</v>
      </c>
      <c r="U22" s="5">
        <f>100*(+AC16/$E$13)</f>
        <v>224.41221442974714</v>
      </c>
      <c r="V22" s="30">
        <f>EXP(5.70827-(0.68367*LN(+U22)))</f>
        <v>7.4426947511864663</v>
      </c>
      <c r="W22" s="27">
        <f>(+V22*U22)/100</f>
        <v>16.70231610438411</v>
      </c>
      <c r="X22" s="5">
        <f>100*((((W22/100)-((W22/100)-0.03574)*$E$25)-0.03574-0.00619)/0.344)</f>
        <v>28.349911983905372</v>
      </c>
      <c r="Y22">
        <v>0</v>
      </c>
      <c r="Z22" s="5">
        <f>X22+Y22</f>
        <v>28.349911983905372</v>
      </c>
      <c r="AA22" s="5">
        <f>100*($E$21*$E$23+($E$22*(Z22/100))/(1-$E$25))</f>
        <v>23.631578721953446</v>
      </c>
      <c r="AB22" s="27">
        <f>AA22/U22</f>
        <v>0.10530433373247326</v>
      </c>
      <c r="AC22" s="26">
        <f>$E$12/(1-AB22)</f>
        <v>213236.74244063915</v>
      </c>
      <c r="AD22" t="str">
        <f>IF(OR(OR(AC22=AC16,AC22=(AC16+1)),AC22=(AC16-1)),"yes","not yet")</f>
        <v>not yet</v>
      </c>
      <c r="AE22" s="5">
        <f>100*(1-AB22)</f>
        <v>89.469566626752666</v>
      </c>
    </row>
    <row r="23" spans="2:42">
      <c r="B23" s="29" t="s">
        <v>609</v>
      </c>
      <c r="C23" s="15" t="s">
        <v>630</v>
      </c>
      <c r="E23" s="36">
        <v>5.2499999999999998E-2</v>
      </c>
      <c r="F23" s="15" t="s">
        <v>193</v>
      </c>
      <c r="H23" s="66">
        <v>5.1000000000000004E-3</v>
      </c>
      <c r="I23" s="15" t="s">
        <v>609</v>
      </c>
      <c r="U23" s="5">
        <f>100*(+AC17/$E$13)</f>
        <v>224.11477036546498</v>
      </c>
      <c r="V23" s="30">
        <f>EXP(5.6985-(0.68367*LN(U23)))</f>
        <v>7.3770198523209931</v>
      </c>
      <c r="W23" s="27">
        <f>(+V23*U23)/100</f>
        <v>16.532991101843958</v>
      </c>
      <c r="X23" s="5">
        <f>100*((((W23/100)-((W23/100)-0.03574)*$E$25)-0.03574-0.00619)/0.344)</f>
        <v>27.961055146676532</v>
      </c>
      <c r="Y23">
        <v>0</v>
      </c>
      <c r="Z23" s="5">
        <f>X23+Y23</f>
        <v>27.961055146676532</v>
      </c>
      <c r="AA23" s="5">
        <f>100*($E$21*$E$23+($E$22*(Z23/100))/(1-$E$25))</f>
        <v>23.336244415197363</v>
      </c>
      <c r="AB23" s="27">
        <f>AA23/U23</f>
        <v>0.1041263116087478</v>
      </c>
      <c r="AC23" s="26">
        <f>$E$12/(1-AB23)</f>
        <v>212956.34844822568</v>
      </c>
      <c r="AD23" t="str">
        <f>IF(OR(OR(AC23=AC17,AC23=(AC17+1)),AC23=(AC17-1)),"yes","not yet")</f>
        <v>not yet</v>
      </c>
      <c r="AE23" s="5">
        <f>100*(1-AB23)</f>
        <v>89.587368839125219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212965</v>
      </c>
      <c r="AO23">
        <f>HLOOKUP(8,$AI$17:$AQ$21,$E$16+1)</f>
        <v>212965</v>
      </c>
      <c r="AP23">
        <f>HLOOKUP(9,$AI$17:$AQ$21,$E$16+1)</f>
        <v>212965</v>
      </c>
    </row>
    <row r="24" spans="2:42">
      <c r="E24" s="34"/>
      <c r="F24" s="15" t="s">
        <v>194</v>
      </c>
      <c r="H24" s="41">
        <v>0</v>
      </c>
      <c r="I24" s="15" t="s">
        <v>609</v>
      </c>
      <c r="U24" s="5">
        <f>100*(+AC18/$E$13)</f>
        <v>223.92461660644486</v>
      </c>
      <c r="V24" s="30">
        <f>EXP(5.6922-(0.68367*LN(U24)))</f>
        <v>7.3349460760450045</v>
      </c>
      <c r="W24" s="27">
        <f>(+V24*U24)/100</f>
        <v>16.424749879073246</v>
      </c>
      <c r="X24" s="5">
        <f>100*((((W24/100)-((W24/100)-0.03574)*$E$25)-0.03574-0.00619)/0.344)</f>
        <v>27.71247791996473</v>
      </c>
      <c r="Y24">
        <v>0</v>
      </c>
      <c r="Z24" s="5">
        <f>X24+Y24</f>
        <v>27.71247791996473</v>
      </c>
      <c r="AA24" s="5">
        <f>100*($E$21*$E$23+($E$22*(Z24/100))/(1-$E$25))</f>
        <v>23.147451584783337</v>
      </c>
      <c r="AB24" s="27">
        <f>AA24/U24</f>
        <v>0.10337162539599552</v>
      </c>
      <c r="AC24" s="26">
        <f>$E$12/(1-AB24)</f>
        <v>212777.10448869457</v>
      </c>
      <c r="AD24" t="str">
        <f>IF(OR(OR(AC24=AC18,AC24=(AC18+1)),AC24=(AC18-1)),"yes","not yet")</f>
        <v>not yet</v>
      </c>
      <c r="AE24" s="5">
        <f>100*(1-AB24)</f>
        <v>89.662837460400453</v>
      </c>
      <c r="AH24">
        <v>1</v>
      </c>
      <c r="AI24" s="5">
        <f>AE9</f>
        <v>89.988747868350259</v>
      </c>
      <c r="AJ24" s="5">
        <f>AE15</f>
        <v>89.240295694717943</v>
      </c>
      <c r="AK24" s="5">
        <f>AE21</f>
        <v>89.295087013009777</v>
      </c>
      <c r="AL24" s="5">
        <f>AE27</f>
        <v>89.291069190370536</v>
      </c>
      <c r="AM24" s="5">
        <f>AE33</f>
        <v>89.291363779082928</v>
      </c>
      <c r="AN24" s="5" t="str">
        <f>AD45</f>
        <v>yes</v>
      </c>
      <c r="AO24" s="5" t="str">
        <f>AD51</f>
        <v>yes</v>
      </c>
      <c r="AP24" s="5" t="str">
        <f>AD57</f>
        <v>yes</v>
      </c>
    </row>
    <row r="25" spans="2:42">
      <c r="B25" s="29" t="s">
        <v>609</v>
      </c>
      <c r="C25" s="15" t="s">
        <v>188</v>
      </c>
      <c r="E25" s="35">
        <v>0.21</v>
      </c>
      <c r="F25" s="15" t="s">
        <v>196</v>
      </c>
      <c r="H25" s="41">
        <v>1.2E-2</v>
      </c>
      <c r="I25" s="15" t="s">
        <v>609</v>
      </c>
      <c r="Z25" s="5"/>
      <c r="AH25">
        <v>2</v>
      </c>
      <c r="AI25" s="5">
        <f>AE10</f>
        <v>90.162386346956964</v>
      </c>
      <c r="AJ25" s="5">
        <f>AE16</f>
        <v>89.416043774425063</v>
      </c>
      <c r="AK25" s="5">
        <f>AE22</f>
        <v>89.469566626752666</v>
      </c>
      <c r="AL25" s="5">
        <f>AE28</f>
        <v>89.465721829677847</v>
      </c>
      <c r="AM25" s="5">
        <f>AE34</f>
        <v>89.465997985935786</v>
      </c>
      <c r="AN25" s="5" t="str">
        <f>AD46</f>
        <v>yes</v>
      </c>
      <c r="AO25" s="5" t="str">
        <f>AD52</f>
        <v>yes</v>
      </c>
      <c r="AP25" s="5" t="str">
        <f>AD58</f>
        <v>yes</v>
      </c>
    </row>
    <row r="26" spans="2:42">
      <c r="H26" s="32" t="s">
        <v>610</v>
      </c>
      <c r="U26" s="15" t="s">
        <v>631</v>
      </c>
      <c r="V26" s="530" t="s">
        <v>596</v>
      </c>
      <c r="W26" s="530" t="s">
        <v>597</v>
      </c>
      <c r="X26" s="530" t="s">
        <v>122</v>
      </c>
      <c r="Z26" s="5"/>
      <c r="AH26">
        <v>3</v>
      </c>
      <c r="AI26" s="5">
        <f>AE11</f>
        <v>90.27935220420899</v>
      </c>
      <c r="AJ26" s="5">
        <f>AE17</f>
        <v>89.534716325229837</v>
      </c>
      <c r="AK26" s="5">
        <f>AE23</f>
        <v>89.587368839125219</v>
      </c>
      <c r="AL26" s="5">
        <f>AE29</f>
        <v>89.583639529609869</v>
      </c>
      <c r="AM26" s="5">
        <f>AE35</f>
        <v>89.583903640133286</v>
      </c>
      <c r="AN26" s="5" t="str">
        <f>AD47</f>
        <v>yes</v>
      </c>
      <c r="AO26" s="5" t="str">
        <f>AD53</f>
        <v>yes</v>
      </c>
      <c r="AP26" s="5" t="str">
        <f>AD59</f>
        <v>yes</v>
      </c>
    </row>
    <row r="27" spans="2:42">
      <c r="F27" s="15" t="s">
        <v>197</v>
      </c>
      <c r="H27" s="9">
        <f>SUM(H22:H25)</f>
        <v>3.5099999999999999E-2</v>
      </c>
      <c r="U27" s="5">
        <f>100*(+AC21/$E$13)</f>
        <v>224.71619727569586</v>
      </c>
      <c r="V27" s="30">
        <f>EXP(5.7226-(0.68367*LN(+U27)))</f>
        <v>7.543132346912202</v>
      </c>
      <c r="W27" s="27">
        <f>(+V27*U27)/100</f>
        <v>16.95064016545405</v>
      </c>
      <c r="X27" s="5">
        <f>100*((((W27/100)-((W27/100)-0.03574)*$E$25)-0.03574-0.00619)/0.344)</f>
        <v>28.920191077641572</v>
      </c>
      <c r="Y27">
        <v>0</v>
      </c>
      <c r="Z27" s="5">
        <f>X27+Y27</f>
        <v>28.920191077641572</v>
      </c>
      <c r="AA27" s="5">
        <f>100*($E$21*$E$23+($E$22*(Z27/100))/(1-$E$25))</f>
        <v>24.064702084284736</v>
      </c>
      <c r="AB27" s="27">
        <f>AA27/U27</f>
        <v>0.10708930809629472</v>
      </c>
      <c r="AC27" s="26">
        <f>$E$12/(1-AB27)</f>
        <v>213663.01364797552</v>
      </c>
      <c r="AD27" t="str">
        <f>IF(OR(OR(AC27=AC21,AC27=(AC21+1)),AC27=(AC13-1)),"yes","not yet")</f>
        <v>not yet</v>
      </c>
      <c r="AE27" s="5">
        <f>100*(1-AB27)</f>
        <v>89.291069190370536</v>
      </c>
      <c r="AH27">
        <v>4</v>
      </c>
      <c r="AI27" s="5">
        <f>AE12</f>
        <v>90.354171657188715</v>
      </c>
      <c r="AJ27" s="5">
        <f>AE18</f>
        <v>89.610747996647049</v>
      </c>
      <c r="AK27" s="5">
        <f>AE24</f>
        <v>89.662837460400453</v>
      </c>
      <c r="AL27" s="5">
        <f>AE30</f>
        <v>89.659181528230206</v>
      </c>
      <c r="AM27" s="5">
        <f>AE36</f>
        <v>89.659438091666715</v>
      </c>
      <c r="AN27" s="5" t="str">
        <f>AD48</f>
        <v>yes</v>
      </c>
      <c r="AO27" s="5" t="str">
        <f>AD54</f>
        <v>yes</v>
      </c>
      <c r="AP27" s="5" t="str">
        <f>AD60</f>
        <v>yes</v>
      </c>
    </row>
    <row r="28" spans="2:42">
      <c r="U28" s="5">
        <f>100*(+AC22/$E$13)</f>
        <v>224.27796563134243</v>
      </c>
      <c r="V28" s="30">
        <f>EXP(5.70827-(0.68367*LN(+U28)))</f>
        <v>7.4457402569235427</v>
      </c>
      <c r="W28" s="27">
        <f>(+V28*U28)/100</f>
        <v>16.699154774422013</v>
      </c>
      <c r="X28" s="5">
        <f>100*((((W28/100)-((W28/100)-0.03574)*$E$25)-0.03574-0.00619)/0.344)</f>
        <v>28.34265195288776</v>
      </c>
      <c r="Y28">
        <v>0</v>
      </c>
      <c r="Z28" s="5">
        <f>X28+Y28</f>
        <v>28.34265195288776</v>
      </c>
      <c r="AA28" s="5">
        <f>100*($E$21*$E$23+($E$22*(Z28/100))/(1-$E$25))</f>
        <v>23.626064774345132</v>
      </c>
      <c r="AB28" s="27">
        <f>AA28/U28</f>
        <v>0.10534278170322156</v>
      </c>
      <c r="AC28" s="26">
        <f>$E$12/(1-AB28)</f>
        <v>213245.90630794849</v>
      </c>
      <c r="AD28" t="str">
        <f>IF(OR(OR(AC28=AC22,AC28=(AC22+1)),AC28=(AC22-1)),"yes","not yet")</f>
        <v>not yet</v>
      </c>
      <c r="AE28" s="5">
        <f>100*(1-AB28)</f>
        <v>89.465721829677847</v>
      </c>
    </row>
    <row r="29" spans="2:42">
      <c r="F29" s="15" t="s">
        <v>200</v>
      </c>
      <c r="H29" s="27">
        <f>((+H19/100)-H27)</f>
        <v>0.86073903640133287</v>
      </c>
      <c r="U29" s="5">
        <f>100*(+AC23/$E$13)</f>
        <v>223.98305306855434</v>
      </c>
      <c r="V29" s="30">
        <f>EXP(5.6985-(0.68367*LN(U29)))</f>
        <v>7.3799854671101039</v>
      </c>
      <c r="W29" s="27">
        <f>(+V29*U29)/100</f>
        <v>16.529916765248821</v>
      </c>
      <c r="X29" s="5">
        <f>100*((((W29/100)-((W29/100)-0.03574)*$E$25)-0.03574-0.00619)/0.344)</f>
        <v>27.953994896937701</v>
      </c>
      <c r="Y29">
        <v>0</v>
      </c>
      <c r="Z29" s="5">
        <f>X29+Y29</f>
        <v>27.953994896937701</v>
      </c>
      <c r="AA29" s="5">
        <f>100*($E$21*$E$23+($E$22*(Z29/100))/(1-$E$25))</f>
        <v>23.330882200205846</v>
      </c>
      <c r="AB29" s="27">
        <f>AA29/U29</f>
        <v>0.10416360470390132</v>
      </c>
      <c r="AC29" s="26">
        <f>$E$12/(1-AB29)</f>
        <v>212965.21368456559</v>
      </c>
      <c r="AD29" t="str">
        <f>IF(OR(OR(AC29=AC23,AC29=(AC23+1)),AC29=(AC23-1)),"yes","not yet")</f>
        <v>not yet</v>
      </c>
      <c r="AE29" s="5">
        <f>100*(1-AB29)</f>
        <v>89.583639529609869</v>
      </c>
      <c r="AI29" s="15" t="s">
        <v>632</v>
      </c>
    </row>
    <row r="30" spans="2:42">
      <c r="U30" s="5">
        <f>100*(+AC24/$E$13)</f>
        <v>223.79452800418122</v>
      </c>
      <c r="V30" s="30">
        <f>EXP(5.6922-(0.68367*LN(U30)))</f>
        <v>7.3378607723626139</v>
      </c>
      <c r="W30" s="27">
        <f>(+V30*U30)/100</f>
        <v>16.421730881112879</v>
      </c>
      <c r="X30" s="5">
        <f>100*((((W30/100)-((W30/100)-0.03574)*$E$25)-0.03574-0.00619)/0.344)</f>
        <v>27.705544756044116</v>
      </c>
      <c r="Y30">
        <v>0</v>
      </c>
      <c r="Z30" s="5">
        <f>X30+Y30</f>
        <v>27.705544756044116</v>
      </c>
      <c r="AA30" s="5">
        <f>100*($E$21*$E$23+($E$22*(Z30/100))/(1-$E$25))</f>
        <v>23.142185890666415</v>
      </c>
      <c r="AB30" s="27">
        <f>AA30/U30</f>
        <v>0.10340818471769803</v>
      </c>
      <c r="AC30" s="26">
        <f>$E$12/(1-AB30)</f>
        <v>212785.78066271415</v>
      </c>
      <c r="AD30" t="str">
        <f>IF(OR(OR(AC30=AC24,AC30=(AC24+1)),AC30=(AC24-1)),"yes","not yet")</f>
        <v>not yet</v>
      </c>
      <c r="AE30" s="5">
        <f>100*(1-AB30)</f>
        <v>89.659181528230206</v>
      </c>
      <c r="AI30" s="5">
        <f>HLOOKUP($AI$29,$AI$23:$AQ$27,$E$16+1)</f>
        <v>89.583903640133286</v>
      </c>
    </row>
    <row r="31" spans="2:42">
      <c r="E31" s="26"/>
      <c r="Z31" s="5"/>
    </row>
    <row r="32" spans="2:42">
      <c r="U32" s="15" t="s">
        <v>633</v>
      </c>
      <c r="V32" s="530" t="s">
        <v>596</v>
      </c>
      <c r="W32" s="530" t="s">
        <v>597</v>
      </c>
      <c r="X32" s="530" t="s">
        <v>122</v>
      </c>
      <c r="Z32" s="5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212965</v>
      </c>
      <c r="AO32">
        <f>HLOOKUP(8,$AI$17:$AQ$21,$E$16+1)</f>
        <v>212965</v>
      </c>
      <c r="AP32">
        <f>HLOOKUP(9,$AI$17:$AQ$21,$E$16+1)</f>
        <v>212965</v>
      </c>
    </row>
    <row r="33" spans="5:42">
      <c r="E33" s="26"/>
      <c r="U33" s="5">
        <f>100*(+AC27/$E$13)</f>
        <v>224.72630881129524</v>
      </c>
      <c r="V33" s="30">
        <f>EXP(5.7226-(0.68367*LN(+U33)))</f>
        <v>7.5429003060137996</v>
      </c>
      <c r="W33" s="27">
        <f>(+V33*U33)/100</f>
        <v>16.950881435020705</v>
      </c>
      <c r="X33" s="5">
        <f>100*((((W33/100)-((W33/100)-0.03574)*$E$25)-0.03574-0.00619)/0.344)</f>
        <v>28.920745156006848</v>
      </c>
      <c r="Y33">
        <v>0</v>
      </c>
      <c r="Z33" s="5">
        <f>X33+Y33</f>
        <v>28.920745156006848</v>
      </c>
      <c r="AA33" s="5">
        <f>100*($E$21*$E$23+($E$22*(Z33/100))/(1-$E$25))</f>
        <v>24.065122903296338</v>
      </c>
      <c r="AB33" s="27">
        <f>AA33/U33</f>
        <v>0.10708636220917082</v>
      </c>
      <c r="AC33" s="26">
        <f>$E$12/(1-AB33)</f>
        <v>213662.30873420319</v>
      </c>
      <c r="AD33" t="str">
        <f>IF(OR(OR(AC33=AC27,AC33=(AC27+1)),AC33=(AC19-1)),"yes","not yet")</f>
        <v>not yet</v>
      </c>
      <c r="AE33" s="5">
        <f>100*(1-AB33)</f>
        <v>89.291363779082928</v>
      </c>
      <c r="AH33">
        <v>1</v>
      </c>
      <c r="AI33" s="5">
        <f>U9</f>
        <v>250.8256548620742</v>
      </c>
      <c r="AJ33" s="5">
        <f>U15</f>
        <v>222.98401593854513</v>
      </c>
      <c r="AK33" s="5">
        <f>U21</f>
        <v>224.85416742241512</v>
      </c>
      <c r="AL33" s="5">
        <f>U27</f>
        <v>224.71619727569586</v>
      </c>
      <c r="AM33" s="5">
        <f>U33</f>
        <v>224.72630881129524</v>
      </c>
      <c r="AN33" s="5">
        <f>T45</f>
        <v>0</v>
      </c>
      <c r="AO33" s="5">
        <f>T51</f>
        <v>0</v>
      </c>
      <c r="AP33" s="5">
        <f>T57</f>
        <v>0</v>
      </c>
    </row>
    <row r="34" spans="5:42">
      <c r="E34" s="26"/>
      <c r="U34" s="5">
        <f>100*(+AC28/$E$13)</f>
        <v>224.2876039961661</v>
      </c>
      <c r="V34" s="30">
        <f>EXP(5.70827-(0.68367*LN(+U34)))</f>
        <v>7.445521503203997</v>
      </c>
      <c r="W34" s="27">
        <f>(+V34*U34)/100</f>
        <v>16.699381784555573</v>
      </c>
      <c r="X34" s="5">
        <f>100*((((W34/100)-((W34/100)-0.03574)*$E$25)-0.03574-0.00619)/0.344)</f>
        <v>28.343173284299134</v>
      </c>
      <c r="Y34">
        <v>0</v>
      </c>
      <c r="Z34" s="5">
        <f>X34+Y34</f>
        <v>28.343173284299134</v>
      </c>
      <c r="AA34" s="5">
        <f>100*($E$21*$E$23+($E$22*(Z34/100))/(1-$E$25))</f>
        <v>23.626460722252503</v>
      </c>
      <c r="AB34" s="27">
        <f>AA34/U34</f>
        <v>0.10534002014064213</v>
      </c>
      <c r="AC34" s="26">
        <f>$E$12/(1-AB34)</f>
        <v>213245.2480780865</v>
      </c>
      <c r="AD34" t="str">
        <f>IF(OR(OR(AC34=AC28,AC34=(AC28+1)),AC34=(AC28-1)),"yes","not yet")</f>
        <v>not yet</v>
      </c>
      <c r="AE34" s="5">
        <f>100*(1-AB34)</f>
        <v>89.465997985935786</v>
      </c>
      <c r="AH34">
        <v>2</v>
      </c>
      <c r="AI34" s="5">
        <f>U10</f>
        <v>250.8256548620742</v>
      </c>
      <c r="AJ34" s="5">
        <f>U16</f>
        <v>222.55458403406797</v>
      </c>
      <c r="AK34" s="5">
        <f>U22</f>
        <v>224.41221442974714</v>
      </c>
      <c r="AL34" s="5">
        <f>U28</f>
        <v>224.27796563134243</v>
      </c>
      <c r="AM34" s="5">
        <f>U34</f>
        <v>224.2876039961661</v>
      </c>
      <c r="AN34" s="5">
        <f>T46</f>
        <v>0</v>
      </c>
      <c r="AO34" s="5">
        <f>T52</f>
        <v>0</v>
      </c>
      <c r="AP34" s="5">
        <f>T58</f>
        <v>0</v>
      </c>
    </row>
    <row r="35" spans="5:42">
      <c r="E35" s="26"/>
      <c r="U35" s="5">
        <f>100*(+AC29/$E$13)</f>
        <v>223.99237733954257</v>
      </c>
      <c r="V35" s="30">
        <f>EXP(5.6985-(0.68367*LN(U35)))</f>
        <v>7.3797754345931645</v>
      </c>
      <c r="W35" s="27">
        <f>(+V35*U35)/100</f>
        <v>16.530134438264788</v>
      </c>
      <c r="X35" s="5">
        <f>100*((((W35/100)-((W35/100)-0.03574)*$E$25)-0.03574-0.00619)/0.344)</f>
        <v>27.954494785549951</v>
      </c>
      <c r="Y35">
        <v>0</v>
      </c>
      <c r="Z35" s="5">
        <f>X35+Y35</f>
        <v>27.954494785549951</v>
      </c>
      <c r="AA35" s="5">
        <f>100*($E$21*$E$23+($E$22*(Z35/100))/(1-$E$25))</f>
        <v>23.331261862442997</v>
      </c>
      <c r="AB35" s="27">
        <f>AA35/U35</f>
        <v>0.10416096359866708</v>
      </c>
      <c r="AC35" s="26">
        <f>$E$12/(1-AB35)</f>
        <v>212964.58582228486</v>
      </c>
      <c r="AD35" t="str">
        <f>IF(OR(OR(AC35=AC29,AC35=(AC29+1)),AC35=(AC29-1)),"yes","not yet")</f>
        <v>not yet</v>
      </c>
      <c r="AE35" s="5">
        <f>100*(1-AB35)</f>
        <v>89.583903640133286</v>
      </c>
      <c r="AH35">
        <v>3</v>
      </c>
      <c r="AI35" s="5">
        <f>U11</f>
        <v>250.8256548620742</v>
      </c>
      <c r="AJ35" s="5">
        <f>U17</f>
        <v>222.26624249116423</v>
      </c>
      <c r="AK35" s="5">
        <f>U23</f>
        <v>224.11477036546498</v>
      </c>
      <c r="AL35" s="5">
        <f>U29</f>
        <v>223.98305306855434</v>
      </c>
      <c r="AM35" s="5">
        <f>U35</f>
        <v>223.99237733954257</v>
      </c>
      <c r="AN35" s="5">
        <f>T47</f>
        <v>0</v>
      </c>
      <c r="AO35" s="5">
        <f>T53</f>
        <v>0</v>
      </c>
      <c r="AP35" s="5">
        <f>T59</f>
        <v>0</v>
      </c>
    </row>
    <row r="36" spans="5:42">
      <c r="E36" s="26"/>
      <c r="U36" s="5">
        <f>100*(+AC30/$E$13)</f>
        <v>223.80365342335756</v>
      </c>
      <c r="V36" s="30">
        <f>EXP(5.6922-(0.68367*LN(U36)))</f>
        <v>7.3376562200271751</v>
      </c>
      <c r="W36" s="27">
        <f>(+V36*U36)/100</f>
        <v>16.42194269606706</v>
      </c>
      <c r="X36" s="5">
        <f>100*((((W36/100)-((W36/100)-0.03574)*$E$25)-0.03574-0.00619)/0.344)</f>
        <v>27.70603119154935</v>
      </c>
      <c r="Y36">
        <v>0</v>
      </c>
      <c r="Z36" s="5">
        <f>X36+Y36</f>
        <v>27.70603119154935</v>
      </c>
      <c r="AA36" s="5">
        <f>100*($E$21*$E$23+($E$22*(Z36/100))/(1-$E$25))</f>
        <v>23.142555335353936</v>
      </c>
      <c r="AB36" s="27">
        <f>AA36/U36</f>
        <v>0.10340561908333278</v>
      </c>
      <c r="AC36" s="26">
        <f>$E$12/(1-AB36)</f>
        <v>212785.17176919116</v>
      </c>
      <c r="AD36" t="str">
        <f>IF(OR(OR(AC36=AC30,AC36=(AC30+1)),AC36=(AC30-1)),"yes","not yet")</f>
        <v>not yet</v>
      </c>
      <c r="AE36" s="5">
        <f>100*(1-AB36)</f>
        <v>89.659438091666715</v>
      </c>
      <c r="AH36">
        <v>4</v>
      </c>
      <c r="AI36" s="5">
        <f>U12</f>
        <v>250.8256548620742</v>
      </c>
      <c r="AJ36" s="5">
        <f>U18</f>
        <v>222.0821907935609</v>
      </c>
      <c r="AK36" s="5">
        <f>U24</f>
        <v>223.92461660644486</v>
      </c>
      <c r="AL36" s="5">
        <f>U30</f>
        <v>223.79452800418122</v>
      </c>
      <c r="AM36" s="5">
        <f>U36</f>
        <v>223.80365342335756</v>
      </c>
      <c r="AN36" s="5">
        <f>T48</f>
        <v>0</v>
      </c>
      <c r="AO36" s="5">
        <f>T54</f>
        <v>0</v>
      </c>
      <c r="AP36" s="5">
        <f>T60</f>
        <v>0</v>
      </c>
    </row>
    <row r="37" spans="5:42">
      <c r="E37" s="26"/>
      <c r="Z37" s="5"/>
    </row>
    <row r="38" spans="5:42">
      <c r="U38" s="15" t="s">
        <v>634</v>
      </c>
      <c r="V38" s="530" t="s">
        <v>596</v>
      </c>
      <c r="W38" s="530" t="s">
        <v>597</v>
      </c>
      <c r="X38" s="530" t="s">
        <v>122</v>
      </c>
      <c r="Z38" s="5"/>
      <c r="AI38" s="15" t="s">
        <v>632</v>
      </c>
    </row>
    <row r="39" spans="5:42">
      <c r="U39" s="5">
        <f>100*(+AC33/$E$13)</f>
        <v>224.72556739766739</v>
      </c>
      <c r="V39" s="30">
        <f>EXP(5.7226-(0.68367*LN(+U39)))</f>
        <v>7.5429173194776666</v>
      </c>
      <c r="W39" s="27">
        <f>(+V39*U39)/100</f>
        <v>16.950863744533109</v>
      </c>
      <c r="X39" s="5">
        <f>100*((((W39/100)-((W39/100)-0.03574)*$E$25)-0.03574-0.00619)/0.344)</f>
        <v>28.920704529596392</v>
      </c>
      <c r="Y39">
        <v>0</v>
      </c>
      <c r="Z39" s="5">
        <f>X39+Y39</f>
        <v>28.920704529596392</v>
      </c>
      <c r="AA39" s="5">
        <f>100*($E$21*$E$23+($E$22*(Z39/100))/(1-$E$25))</f>
        <v>24.065092047794725</v>
      </c>
      <c r="AB39" s="27">
        <f>AA39/U39</f>
        <v>0.10708657820500631</v>
      </c>
      <c r="AC39" s="26">
        <f>ROUND($E$12/(1-AB39),0)</f>
        <v>213662</v>
      </c>
      <c r="AD39" t="str">
        <f>IF(OR(OR(AC39=AC33,AC39=(AC33+1)),AC39=(AC25-1)),"yes","not yet")</f>
        <v>not yet</v>
      </c>
      <c r="AE39" s="5">
        <f>100*(1-AB39)</f>
        <v>89.291342179499367</v>
      </c>
      <c r="AI39" s="5">
        <f>HLOOKUP($AI$38,$AI$32:$AQ$36,$E$16+1)</f>
        <v>223.99237733954257</v>
      </c>
    </row>
    <row r="40" spans="5:42">
      <c r="U40" s="5">
        <f>100*(+AC34/$E$13)</f>
        <v>224.28691168370304</v>
      </c>
      <c r="V40" s="30">
        <f>EXP(5.70827-(0.68367*LN(+U40)))</f>
        <v>7.4455372155000052</v>
      </c>
      <c r="W40" s="27">
        <f>(+V40*U40)/100</f>
        <v>16.699365478905737</v>
      </c>
      <c r="X40" s="5">
        <f>100*((((W40/100)-((W40/100)-0.03574)*$E$25)-0.03574-0.00619)/0.344)</f>
        <v>28.34313583818469</v>
      </c>
      <c r="Y40">
        <v>0</v>
      </c>
      <c r="Z40" s="5">
        <f>X40+Y40</f>
        <v>28.34313583818469</v>
      </c>
      <c r="AA40" s="5">
        <f>100*($E$21*$E$23+($E$22*(Z40/100))/(1-$E$25))</f>
        <v>23.626432282165585</v>
      </c>
      <c r="AB40" s="27">
        <f>AA40/U40</f>
        <v>0.10534021849426674</v>
      </c>
      <c r="AC40" s="26">
        <f>ROUND($E$12/(1-AB40),0)</f>
        <v>213245</v>
      </c>
      <c r="AD40" t="str">
        <f>IF(OR(OR(AC40=AC34,AC40=(AC34+1)),AC40=(AC34-1)),"yes","not yet")</f>
        <v>not yet</v>
      </c>
      <c r="AE40" s="5">
        <f>100*(1-AB40)</f>
        <v>89.465978150573321</v>
      </c>
    </row>
    <row r="41" spans="5:42">
      <c r="U41" s="5">
        <f>100*(+AC35/$E$13)</f>
        <v>223.99171696706918</v>
      </c>
      <c r="V41" s="30">
        <f>EXP(5.6985-(0.68367*LN(U41)))</f>
        <v>7.3797903092333996</v>
      </c>
      <c r="W41" s="27">
        <f>(+V41*U41)/100</f>
        <v>16.530119022221278</v>
      </c>
      <c r="X41" s="5">
        <f>100*((((W41/100)-((W41/100)-0.03574)*$E$25)-0.03574-0.00619)/0.344)</f>
        <v>27.954459382426776</v>
      </c>
      <c r="Y41">
        <v>0</v>
      </c>
      <c r="Z41" s="5">
        <f>X41+Y41</f>
        <v>27.954459382426776</v>
      </c>
      <c r="AA41" s="5">
        <f>100*($E$21*$E$23+($E$22*(Z41/100))/(1-$E$25))</f>
        <v>23.33123497399502</v>
      </c>
      <c r="AB41" s="27">
        <f>AA41/U41</f>
        <v>0.10416115064391034</v>
      </c>
      <c r="AC41" s="26">
        <f>ROUND($E$12/(1-AB41),0)</f>
        <v>212965</v>
      </c>
      <c r="AD41" t="str">
        <f>IF(OR(OR(AC41=AC35,AC41=(AC35+1)),AC41=(AC35-1)),"yes","not yet")</f>
        <v>not yet</v>
      </c>
      <c r="AE41" s="5">
        <f>100*(1-AB41)</f>
        <v>89.583884935608964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212965</v>
      </c>
      <c r="AO41">
        <f>HLOOKUP(8,$AI$17:$AQ$21,$E$16+1)</f>
        <v>212965</v>
      </c>
      <c r="AP41">
        <f>HLOOKUP(9,$AI$17:$AQ$21,$E$16+1)</f>
        <v>212965</v>
      </c>
    </row>
    <row r="42" spans="5:42">
      <c r="U42" s="5">
        <f>100*(+AC36/$E$13)</f>
        <v>223.80301300182865</v>
      </c>
      <c r="V42" s="30">
        <f>EXP(5.6922-(0.68367*LN(U42)))</f>
        <v>7.3376705750431839</v>
      </c>
      <c r="W42" s="27">
        <f>(+V42*U42)/100</f>
        <v>16.421927831095253</v>
      </c>
      <c r="X42" s="5">
        <f>100*((((W42/100)-((W42/100)-0.03574)*$E$25)-0.03574-0.00619)/0.344)</f>
        <v>27.705997053968751</v>
      </c>
      <c r="Y42">
        <v>0</v>
      </c>
      <c r="Z42" s="5">
        <f>X42+Y42</f>
        <v>27.705997053968751</v>
      </c>
      <c r="AA42" s="5">
        <f>100*($E$21*$E$23+($E$22*(Z42/100))/(1-$E$25))</f>
        <v>23.142529408077532</v>
      </c>
      <c r="AB42" s="27">
        <f>AA42/U42</f>
        <v>0.10340579913411818</v>
      </c>
      <c r="AC42" s="26">
        <f>ROUND($E$12/(1-AB42),0)</f>
        <v>212785</v>
      </c>
      <c r="AD42" t="str">
        <f>IF(OR(OR(AC42=AC36,AC42=(AC36+1)),AC42=(AC36-1)),"yes","not yet")</f>
        <v>not yet</v>
      </c>
      <c r="AE42" s="5">
        <f>100*(1-AB42)</f>
        <v>89.659420086588185</v>
      </c>
      <c r="AH42">
        <v>1</v>
      </c>
      <c r="AI42" s="26">
        <f>AC9</f>
        <v>212006.49400050618</v>
      </c>
      <c r="AJ42" s="26">
        <f>AC15</f>
        <v>213784.57776887092</v>
      </c>
      <c r="AK42" s="26">
        <f>AC21</f>
        <v>213653.39990412776</v>
      </c>
      <c r="AL42" s="26">
        <f>AC27</f>
        <v>213663.01364797552</v>
      </c>
      <c r="AM42" s="26">
        <f>AC33</f>
        <v>213662.30873420319</v>
      </c>
      <c r="AN42" s="26">
        <f>AB45</f>
        <v>0.10708667280600923</v>
      </c>
      <c r="AO42" s="26">
        <f>AB51</f>
        <v>0.10708667280600923</v>
      </c>
      <c r="AP42" s="26">
        <f>AB57</f>
        <v>0.10708667280600923</v>
      </c>
    </row>
    <row r="43" spans="5:42">
      <c r="Z43" s="5"/>
      <c r="AH43">
        <v>2</v>
      </c>
      <c r="AI43" s="26">
        <f>AC10</f>
        <v>211598.20306495653</v>
      </c>
      <c r="AJ43" s="26">
        <f>AC16</f>
        <v>213364.38215935967</v>
      </c>
      <c r="AK43" s="26">
        <f>AC22</f>
        <v>213236.74244063915</v>
      </c>
      <c r="AL43" s="26">
        <f>AC28</f>
        <v>213245.90630794849</v>
      </c>
      <c r="AM43" s="26">
        <f>AC34</f>
        <v>213245.2480780865</v>
      </c>
      <c r="AN43" s="26">
        <f>AB46</f>
        <v>0.10534029325135985</v>
      </c>
      <c r="AO43" s="26">
        <f>AB52</f>
        <v>0.10534029325135985</v>
      </c>
      <c r="AP43" s="26">
        <f>AB58</f>
        <v>0.10534029325135985</v>
      </c>
    </row>
    <row r="44" spans="5:42">
      <c r="U44" s="15" t="s">
        <v>635</v>
      </c>
      <c r="V44" s="530" t="s">
        <v>596</v>
      </c>
      <c r="W44" s="530" t="s">
        <v>597</v>
      </c>
      <c r="X44" s="530" t="s">
        <v>122</v>
      </c>
      <c r="Z44" s="5"/>
      <c r="AH44">
        <v>3</v>
      </c>
      <c r="AI44" s="26">
        <f>AC11</f>
        <v>211324.05660056346</v>
      </c>
      <c r="AJ44" s="26">
        <f>AC17</f>
        <v>213081.58129148447</v>
      </c>
      <c r="AK44" s="26">
        <f>AC23</f>
        <v>212956.34844822568</v>
      </c>
      <c r="AL44" s="26">
        <f>AC29</f>
        <v>212965.21368456559</v>
      </c>
      <c r="AM44" s="26">
        <f>AC35</f>
        <v>212964.58582228486</v>
      </c>
      <c r="AN44" s="26">
        <f>AB47</f>
        <v>0.10416102725692798</v>
      </c>
      <c r="AO44" s="26">
        <f>AB53</f>
        <v>0.10416102725692798</v>
      </c>
      <c r="AP44" s="26">
        <f>AB59</f>
        <v>0.10416102725692798</v>
      </c>
    </row>
    <row r="45" spans="5:42">
      <c r="U45" s="5">
        <f>100*(+AC39/$E$13)</f>
        <v>224.72524267746104</v>
      </c>
      <c r="V45" s="30">
        <f>EXP(5.7226-(0.68367*LN(+U45)))</f>
        <v>7.5429247709694618</v>
      </c>
      <c r="W45" s="27">
        <f>(+V45*U45)/100</f>
        <v>16.950855996539445</v>
      </c>
      <c r="X45" s="5">
        <f>100*((((W45/100)-((W45/100)-0.03574)*$E$25)-0.03574-0.00619)/0.344)</f>
        <v>28.920686736238853</v>
      </c>
      <c r="Y45">
        <v>0</v>
      </c>
      <c r="Z45" s="5">
        <f>X45+Y45</f>
        <v>28.920686736238853</v>
      </c>
      <c r="AA45" s="5">
        <f>100*($E$21*$E$23+($E$22*(Z45/100))/(1-$E$25))</f>
        <v>24.06507853385229</v>
      </c>
      <c r="AB45" s="27">
        <f>AA45/U45</f>
        <v>0.10708667280600923</v>
      </c>
      <c r="AC45" s="26">
        <f>ROUND($E$12/(1-AB45),0)</f>
        <v>213662</v>
      </c>
      <c r="AD45" t="str">
        <f>IF(OR(OR(AC45=AC39,AC45=(AC39+1)),AC45=(AC31-1)),"yes","not yet")</f>
        <v>yes</v>
      </c>
      <c r="AE45" s="5">
        <f>100*(1-AB45)</f>
        <v>89.29133271939908</v>
      </c>
      <c r="AH45">
        <v>4</v>
      </c>
      <c r="AI45" s="26">
        <f>AC12</f>
        <v>211149.06578357826</v>
      </c>
      <c r="AJ45" s="26">
        <f>AC18</f>
        <v>212900.78881808138</v>
      </c>
      <c r="AK45" s="26">
        <f>AC24</f>
        <v>212777.10448869457</v>
      </c>
      <c r="AL45" s="26">
        <f>AC30</f>
        <v>212785.78066271415</v>
      </c>
      <c r="AM45" s="26">
        <f>AC36</f>
        <v>212785.17176919116</v>
      </c>
      <c r="AN45" s="26">
        <f>AB48</f>
        <v>0.10340584992668717</v>
      </c>
      <c r="AO45" s="26">
        <f>AB54</f>
        <v>0.10340584992668717</v>
      </c>
      <c r="AP45" s="26">
        <f>AB60</f>
        <v>0.10340584992668717</v>
      </c>
    </row>
    <row r="46" spans="5:42">
      <c r="U46" s="5">
        <f>100*(+AC40/$E$13)</f>
        <v>224.28665076033724</v>
      </c>
      <c r="V46" s="30">
        <f>EXP(5.70827-(0.68367*LN(+U46)))</f>
        <v>7.4455431372767249</v>
      </c>
      <c r="W46" s="27">
        <f>(+V46*U46)/100</f>
        <v>16.699359333514106</v>
      </c>
      <c r="X46" s="5">
        <f>100*((((W46/100)-((W46/100)-0.03574)*$E$25)-0.03574-0.00619)/0.344)</f>
        <v>28.343121725221359</v>
      </c>
      <c r="Y46">
        <v>0</v>
      </c>
      <c r="Z46" s="5">
        <f>X46+Y46</f>
        <v>28.343121725221359</v>
      </c>
      <c r="AA46" s="5">
        <f>100*($E$21*$E$23+($E$22*(Z46/100))/(1-$E$25))</f>
        <v>23.626421563459257</v>
      </c>
      <c r="AB46" s="27">
        <f>AA46/U46</f>
        <v>0.10534029325135985</v>
      </c>
      <c r="AC46" s="26">
        <f>ROUND($E$12/(1-AB46),0)</f>
        <v>213245</v>
      </c>
      <c r="AD46" t="str">
        <f>IF(OR(OR(AC46=AC40,AC46=(AC40+1)),AC46=(AC40-1)),"yes","not yet")</f>
        <v>yes</v>
      </c>
      <c r="AE46" s="5">
        <f>100*(1-AB46)</f>
        <v>89.46597067486401</v>
      </c>
    </row>
    <row r="47" spans="5:42">
      <c r="U47" s="5">
        <f>100*(+AC41/$E$13)</f>
        <v>223.99215259056589</v>
      </c>
      <c r="V47" s="30">
        <f>EXP(5.6985-(0.68367*LN(U47)))</f>
        <v>7.3797804969705849</v>
      </c>
      <c r="W47" s="27">
        <f>(+V47*U47)/100</f>
        <v>16.530129191623175</v>
      </c>
      <c r="X47" s="5">
        <f>100*((((W47/100)-((W47/100)-0.03574)*$E$25)-0.03574-0.00619)/0.344)</f>
        <v>27.95448273657648</v>
      </c>
      <c r="Y47">
        <v>0</v>
      </c>
      <c r="Z47" s="5">
        <f>X47+Y47</f>
        <v>27.95448273657648</v>
      </c>
      <c r="AA47" s="5">
        <f>100*($E$21*$E$23+($E$22*(Z47/100))/(1-$E$25))</f>
        <v>23.331252711323906</v>
      </c>
      <c r="AB47" s="27">
        <f>AA47/U47</f>
        <v>0.10416102725692798</v>
      </c>
      <c r="AC47" s="26">
        <f>ROUND($E$12/(1-AB47),0)</f>
        <v>212965</v>
      </c>
      <c r="AD47" t="str">
        <f>IF(OR(OR(AC47=AC41,AC47=(AC41+1)),AC47=(AC41-1)),"yes","not yet")</f>
        <v>yes</v>
      </c>
      <c r="AE47" s="5">
        <f>100*(1-AB47)</f>
        <v>89.583897274307205</v>
      </c>
      <c r="AI47" s="15" t="s">
        <v>632</v>
      </c>
    </row>
    <row r="48" spans="5:42">
      <c r="U48" s="5">
        <f>100*(+AC42/$E$13)</f>
        <v>223.80283233857</v>
      </c>
      <c r="V48" s="30">
        <f>EXP(5.6922-(0.68367*LN(U48)))</f>
        <v>7.3376746246134479</v>
      </c>
      <c r="W48" s="27">
        <f>(+V48*U48)/100</f>
        <v>16.42192363767343</v>
      </c>
      <c r="X48" s="5">
        <f>100*((((W48/100)-((W48/100)-0.03574)*$E$25)-0.03574-0.00619)/0.344)</f>
        <v>27.705987423726775</v>
      </c>
      <c r="Y48">
        <v>0</v>
      </c>
      <c r="Z48" s="5">
        <f>X48+Y48</f>
        <v>27.705987423726775</v>
      </c>
      <c r="AA48" s="5">
        <f>100*($E$21*$E$23+($E$22*(Z48/100))/(1-$E$25))</f>
        <v>23.142522093969699</v>
      </c>
      <c r="AB48" s="27">
        <f>AA48/U48</f>
        <v>0.10340584992668717</v>
      </c>
      <c r="AC48" s="26">
        <f>ROUND($E$12/(1-AB48),0)</f>
        <v>212785</v>
      </c>
      <c r="AD48" t="str">
        <f>IF(OR(OR(AC48=AC42,AC48=(AC42+1)),AC48=(AC42-1)),"yes","not yet")</f>
        <v>yes</v>
      </c>
      <c r="AE48" s="5">
        <f>100*(1-AB48)</f>
        <v>89.659415007331276</v>
      </c>
      <c r="AI48" s="26">
        <f>HLOOKUP($AI$38,$AI$41:$AQ$45,$E$16+1)</f>
        <v>212964.58582228486</v>
      </c>
    </row>
    <row r="49" spans="4:31">
      <c r="Z49" s="5"/>
    </row>
    <row r="50" spans="4:31">
      <c r="D50" s="26"/>
      <c r="E50" s="26"/>
      <c r="F50" s="26"/>
      <c r="U50" s="15" t="s">
        <v>636</v>
      </c>
      <c r="V50" s="530" t="s">
        <v>596</v>
      </c>
      <c r="W50" s="530" t="s">
        <v>597</v>
      </c>
      <c r="X50" s="530" t="s">
        <v>122</v>
      </c>
      <c r="Z50" s="5"/>
    </row>
    <row r="51" spans="4:31">
      <c r="D51" s="26"/>
      <c r="E51" s="26"/>
      <c r="F51" s="26"/>
      <c r="U51" s="5">
        <f>100*(+AC45/$E$13)</f>
        <v>224.72524267746104</v>
      </c>
      <c r="V51" s="30">
        <f>EXP(5.7226-(0.68367*LN(+U51)))</f>
        <v>7.5429247709694618</v>
      </c>
      <c r="W51" s="27">
        <f>(+V51*U51)/100</f>
        <v>16.950855996539445</v>
      </c>
      <c r="X51" s="5">
        <f>100*((((W51/100)-((W51/100)-0.03574)*$E$25)-0.03574-0.00619)/0.344)</f>
        <v>28.920686736238853</v>
      </c>
      <c r="Y51">
        <v>0</v>
      </c>
      <c r="Z51" s="5">
        <f>X51+Y51</f>
        <v>28.920686736238853</v>
      </c>
      <c r="AA51" s="5">
        <f>100*($E$21*$E$23+($E$22*(Z51/100))/(1-$E$25))</f>
        <v>24.06507853385229</v>
      </c>
      <c r="AB51" s="27">
        <f>AA51/U51</f>
        <v>0.10708667280600923</v>
      </c>
      <c r="AC51" s="26">
        <f>ROUND($E$12/(1-AB51),0)</f>
        <v>213662</v>
      </c>
      <c r="AD51" t="str">
        <f>IF(OR(OR(AC51=AC45,AC51=(AC45+1)),AC51=(AC37-1)),"yes","not yet")</f>
        <v>yes</v>
      </c>
      <c r="AE51" s="5">
        <f>100*(1-AB51)</f>
        <v>89.29133271939908</v>
      </c>
    </row>
    <row r="52" spans="4:31">
      <c r="U52" s="5">
        <f>100*(+AC46/$E$13)</f>
        <v>224.28665076033724</v>
      </c>
      <c r="V52" s="30">
        <f>EXP(5.70827-(0.68367*LN(+U52)))</f>
        <v>7.4455431372767249</v>
      </c>
      <c r="W52" s="27">
        <f>(+V52*U52)/100</f>
        <v>16.699359333514106</v>
      </c>
      <c r="X52" s="5">
        <f>100*((((W52/100)-((W52/100)-0.03574)*$E$25)-0.03574-0.00619)/0.344)</f>
        <v>28.343121725221359</v>
      </c>
      <c r="Y52">
        <v>0</v>
      </c>
      <c r="Z52" s="5">
        <f>X52+Y52</f>
        <v>28.343121725221359</v>
      </c>
      <c r="AA52" s="5">
        <f>100*($E$21*$E$23+($E$22*(Z52/100))/(1-$E$25))</f>
        <v>23.626421563459257</v>
      </c>
      <c r="AB52" s="27">
        <f>AA52/U52</f>
        <v>0.10534029325135985</v>
      </c>
      <c r="AC52" s="26">
        <f>ROUND($E$12/(1-AB52),0)</f>
        <v>213245</v>
      </c>
      <c r="AD52" t="str">
        <f>IF(OR(OR(AC52=AC46,AC52=(AC46+1)),AC52=(AC46-1)),"yes","not yet")</f>
        <v>yes</v>
      </c>
      <c r="AE52" s="5">
        <f>100*(1-AB52)</f>
        <v>89.46597067486401</v>
      </c>
    </row>
    <row r="53" spans="4:31">
      <c r="U53" s="5">
        <f>100*(+AC47/$E$13)</f>
        <v>223.99215259056589</v>
      </c>
      <c r="V53" s="30">
        <f>EXP(5.6985-(0.68367*LN(U53)))</f>
        <v>7.3797804969705849</v>
      </c>
      <c r="W53" s="27">
        <f>(+V53*U53)/100</f>
        <v>16.530129191623175</v>
      </c>
      <c r="X53" s="5">
        <f>100*((((W53/100)-((W53/100)-0.03574)*$E$25)-0.03574-0.00619)/0.344)</f>
        <v>27.95448273657648</v>
      </c>
      <c r="Y53">
        <v>0</v>
      </c>
      <c r="Z53" s="5">
        <f>X53+Y53</f>
        <v>27.95448273657648</v>
      </c>
      <c r="AA53" s="5">
        <f>100*($E$21*$E$23+($E$22*(Z53/100))/(1-$E$25))</f>
        <v>23.331252711323906</v>
      </c>
      <c r="AB53" s="27">
        <f>AA53/U53</f>
        <v>0.10416102725692798</v>
      </c>
      <c r="AC53" s="26">
        <f>ROUND($E$12/(1-AB53),0)</f>
        <v>212965</v>
      </c>
      <c r="AD53" t="str">
        <f>IF(OR(OR(AC53=AC47,AC53=(AC47+1)),AC53=(AC47-1)),"yes","not yet")</f>
        <v>yes</v>
      </c>
      <c r="AE53" s="5">
        <f>100*(1-AB53)</f>
        <v>89.583897274307205</v>
      </c>
    </row>
    <row r="54" spans="4:31">
      <c r="U54" s="5">
        <f>100*(+AC48/$E$13)</f>
        <v>223.80283233857</v>
      </c>
      <c r="V54" s="30">
        <f>EXP(5.6922-(0.68367*LN(U54)))</f>
        <v>7.3376746246134479</v>
      </c>
      <c r="W54" s="27">
        <f>(+V54*U54)/100</f>
        <v>16.42192363767343</v>
      </c>
      <c r="X54" s="5">
        <f>100*((((W54/100)-((W54/100)-0.03574)*$E$25)-0.03574-0.00619)/0.344)</f>
        <v>27.705987423726775</v>
      </c>
      <c r="Y54">
        <v>0</v>
      </c>
      <c r="Z54" s="5">
        <f>X54+Y54</f>
        <v>27.705987423726775</v>
      </c>
      <c r="AA54" s="5">
        <f>100*($E$21*$E$23+($E$22*(Z54/100))/(1-$E$25))</f>
        <v>23.142522093969699</v>
      </c>
      <c r="AB54" s="27">
        <f>AA54/U54</f>
        <v>0.10340584992668717</v>
      </c>
      <c r="AC54" s="26">
        <f>ROUND($E$12/(1-AB54),0)</f>
        <v>212785</v>
      </c>
      <c r="AD54" t="str">
        <f>IF(OR(OR(AC54=AC48,AC54=(AC48+1)),AC54=(AC48-1)),"yes","not yet")</f>
        <v>yes</v>
      </c>
      <c r="AE54" s="5">
        <f>100*(1-AB54)</f>
        <v>89.659415007331276</v>
      </c>
    </row>
    <row r="55" spans="4:31">
      <c r="Z55" s="5"/>
    </row>
    <row r="56" spans="4:31">
      <c r="U56" s="15" t="s">
        <v>637</v>
      </c>
      <c r="V56" s="530" t="s">
        <v>596</v>
      </c>
      <c r="W56" s="530" t="s">
        <v>597</v>
      </c>
      <c r="X56" s="530" t="s">
        <v>122</v>
      </c>
      <c r="Z56" s="5"/>
    </row>
    <row r="57" spans="4:31">
      <c r="U57" s="5">
        <f>100*(+AC51/$E$13)</f>
        <v>224.72524267746104</v>
      </c>
      <c r="V57" s="30">
        <f>EXP(5.7226-(0.68367*LN(+U57)))</f>
        <v>7.5429247709694618</v>
      </c>
      <c r="W57" s="27">
        <f>(+V57*U57)/100</f>
        <v>16.950855996539445</v>
      </c>
      <c r="X57" s="5">
        <f>100*((((W57/100)-((W57/100)-0.03574)*$E$25)-0.03574-0.00619)/0.344)</f>
        <v>28.920686736238853</v>
      </c>
      <c r="Y57">
        <v>0</v>
      </c>
      <c r="Z57" s="5">
        <f>X57+Y57</f>
        <v>28.920686736238853</v>
      </c>
      <c r="AA57" s="5">
        <f>100*($E$21*$E$23+($E$22*(Z57/100))/(1-$E$25))</f>
        <v>24.06507853385229</v>
      </c>
      <c r="AB57" s="27">
        <f>AA57/U57</f>
        <v>0.10708667280600923</v>
      </c>
      <c r="AC57" s="26">
        <f>ROUND($E$12/(1-AB57),0)</f>
        <v>213662</v>
      </c>
      <c r="AD57" t="str">
        <f>IF(OR(OR(AC57=AC51,AC57=(AC51+1)),AC57=(AC43-1)),"yes","not yet")</f>
        <v>yes</v>
      </c>
      <c r="AE57" s="5">
        <f>100*(1-AB57)</f>
        <v>89.29133271939908</v>
      </c>
    </row>
    <row r="58" spans="4:31">
      <c r="U58" s="5">
        <f>100*(+AC52/$E$13)</f>
        <v>224.28665076033724</v>
      </c>
      <c r="V58" s="30">
        <f>EXP(5.70827-(0.68367*LN(+U58)))</f>
        <v>7.4455431372767249</v>
      </c>
      <c r="W58" s="27">
        <f>(+V58*U58)/100</f>
        <v>16.699359333514106</v>
      </c>
      <c r="X58" s="5">
        <f>100*((((W58/100)-((W58/100)-0.03574)*$E$25)-0.03574-0.00619)/0.344)</f>
        <v>28.343121725221359</v>
      </c>
      <c r="Y58">
        <v>0</v>
      </c>
      <c r="Z58" s="5">
        <f>X58+Y58</f>
        <v>28.343121725221359</v>
      </c>
      <c r="AA58" s="5">
        <f>100*($E$21*$E$23+($E$22*(Z58/100))/(1-$E$25))</f>
        <v>23.626421563459257</v>
      </c>
      <c r="AB58" s="27">
        <f>AA58/U58</f>
        <v>0.10534029325135985</v>
      </c>
      <c r="AC58" s="26">
        <f>ROUND($E$12/(1-AB58),0)</f>
        <v>213245</v>
      </c>
      <c r="AD58" t="str">
        <f>IF(OR(OR(AC58=AC52,AC58=(AC52+1)),AC58=(AC52-1)),"yes","not yet")</f>
        <v>yes</v>
      </c>
      <c r="AE58" s="5">
        <f>100*(1-AB58)</f>
        <v>89.46597067486401</v>
      </c>
    </row>
    <row r="59" spans="4:31">
      <c r="U59" s="5">
        <f>100*(+AC53/$E$13)</f>
        <v>223.99215259056589</v>
      </c>
      <c r="V59" s="30">
        <f>EXP(5.6985-(0.68367*LN(U59)))</f>
        <v>7.3797804969705849</v>
      </c>
      <c r="W59" s="27">
        <f>(+V59*U59)/100</f>
        <v>16.530129191623175</v>
      </c>
      <c r="X59" s="5">
        <f>100*((((W59/100)-((W59/100)-0.03574)*$E$25)-0.03574-0.00619)/0.344)</f>
        <v>27.95448273657648</v>
      </c>
      <c r="Y59">
        <v>0</v>
      </c>
      <c r="Z59" s="5">
        <f>X59+Y59</f>
        <v>27.95448273657648</v>
      </c>
      <c r="AA59" s="5">
        <f>100*($E$21*$E$23+($E$22*(Z59/100))/(1-$E$25))</f>
        <v>23.331252711323906</v>
      </c>
      <c r="AB59" s="27">
        <f>AA59/U59</f>
        <v>0.10416102725692798</v>
      </c>
      <c r="AC59" s="26">
        <f>ROUND($E$12/(1-AB59),0)</f>
        <v>212965</v>
      </c>
      <c r="AD59" t="str">
        <f>IF(OR(OR(AC59=AC53,AC59=(AC53+1)),AC59=(AC53-1)),"yes","not yet")</f>
        <v>yes</v>
      </c>
      <c r="AE59" s="5">
        <f>100*(1-AB59)</f>
        <v>89.583897274307205</v>
      </c>
    </row>
    <row r="60" spans="4:31">
      <c r="U60" s="5">
        <f>100*(+AC54/$E$13)</f>
        <v>223.80283233857</v>
      </c>
      <c r="V60" s="30">
        <f>EXP(5.6922-(0.68367*LN(U60)))</f>
        <v>7.3376746246134479</v>
      </c>
      <c r="W60" s="27">
        <f>(+V60*U60)/100</f>
        <v>16.42192363767343</v>
      </c>
      <c r="X60" s="5">
        <f>100*((((W60/100)-((W60/100)-0.03574)*$E$25)-0.03574-0.00619)/0.344)</f>
        <v>27.705987423726775</v>
      </c>
      <c r="Y60">
        <v>0</v>
      </c>
      <c r="Z60" s="5">
        <f>X60+Y60</f>
        <v>27.705987423726775</v>
      </c>
      <c r="AA60" s="5">
        <f>100*($E$21*$E$23+($E$22*(Z60/100))/(1-$E$25))</f>
        <v>23.142522093969699</v>
      </c>
      <c r="AB60" s="27">
        <f>AA60/U60</f>
        <v>0.10340584992668717</v>
      </c>
      <c r="AC60" s="26">
        <f>ROUND($E$12/(1-AB60),0)</f>
        <v>212785</v>
      </c>
      <c r="AD60" t="str">
        <f>IF(OR(OR(AC60=AC54,AC60=(AC54+1)),AC60=(AC54-1)),"yes","not yet")</f>
        <v>yes</v>
      </c>
      <c r="AE60" s="5">
        <f>100*(1-AB60)</f>
        <v>89.659415007331276</v>
      </c>
    </row>
    <row r="61" spans="4:31">
      <c r="Z61" s="5"/>
    </row>
    <row r="63" spans="4:31">
      <c r="U63" s="5"/>
      <c r="V63" s="30"/>
      <c r="W63" s="27"/>
      <c r="X63" s="5"/>
      <c r="AA63" s="5"/>
      <c r="AB63" s="27"/>
      <c r="AC63" s="26"/>
    </row>
    <row r="64" spans="4:31">
      <c r="U64" s="5"/>
      <c r="V64" s="30"/>
      <c r="W64" s="27"/>
      <c r="X64" s="5"/>
      <c r="AA64" s="5"/>
      <c r="AB64" s="27"/>
      <c r="AC64" s="26"/>
    </row>
    <row r="65" spans="20:29">
      <c r="U65" s="5"/>
      <c r="V65" s="30"/>
      <c r="W65" s="27"/>
      <c r="X65" s="5"/>
      <c r="AA65" s="5"/>
      <c r="AB65" s="27"/>
      <c r="AC65" s="26"/>
    </row>
    <row r="66" spans="20:29">
      <c r="U66" s="5"/>
      <c r="V66" s="30"/>
      <c r="W66" s="27"/>
      <c r="X66" s="5"/>
      <c r="AA66" s="5"/>
      <c r="AB66" s="27"/>
      <c r="AC66" s="26"/>
    </row>
    <row r="69" spans="20:29">
      <c r="U69" s="5"/>
      <c r="V69" s="30"/>
      <c r="W69" s="27"/>
      <c r="X69" s="5"/>
      <c r="AA69" s="5"/>
      <c r="AB69" s="27"/>
      <c r="AC69" s="26"/>
    </row>
    <row r="70" spans="20:29">
      <c r="U70" s="5"/>
      <c r="V70" s="30"/>
      <c r="W70" s="27"/>
      <c r="X70" s="5"/>
      <c r="AA70" s="5"/>
      <c r="AB70" s="27"/>
      <c r="AC70" s="26"/>
    </row>
    <row r="71" spans="20:29">
      <c r="T71" s="5"/>
      <c r="U71" s="30"/>
      <c r="V71" s="27"/>
      <c r="W71" s="5"/>
      <c r="Z71" s="5"/>
      <c r="AA71" s="27"/>
      <c r="AB71" s="26"/>
    </row>
    <row r="72" spans="20:29">
      <c r="T72" s="5"/>
      <c r="U72" s="30"/>
      <c r="V72" s="27"/>
      <c r="W72" s="5"/>
      <c r="Z72" s="5"/>
      <c r="AA72" s="27"/>
      <c r="AB72" s="26"/>
    </row>
    <row r="75" spans="20:29">
      <c r="T75" s="5"/>
      <c r="U75" s="30"/>
      <c r="V75" s="27"/>
      <c r="W75" s="5"/>
      <c r="Z75" s="5"/>
      <c r="AA75" s="27"/>
      <c r="AB75" s="26"/>
    </row>
    <row r="76" spans="20:29">
      <c r="T76" s="5"/>
      <c r="U76" s="30"/>
      <c r="V76" s="27"/>
      <c r="W76" s="5"/>
      <c r="Z76" s="5"/>
      <c r="AA76" s="27"/>
      <c r="AB76" s="26"/>
    </row>
    <row r="77" spans="20:29">
      <c r="T77" s="5"/>
      <c r="U77" s="30"/>
      <c r="V77" s="27"/>
      <c r="W77" s="5"/>
      <c r="Z77" s="5"/>
      <c r="AA77" s="27"/>
      <c r="AB77" s="26"/>
    </row>
    <row r="78" spans="20:29">
      <c r="T78" s="5"/>
      <c r="U78" s="30"/>
      <c r="V78" s="27"/>
      <c r="W78" s="5"/>
      <c r="Z78" s="5"/>
      <c r="AA78" s="27"/>
      <c r="AB78" s="26"/>
    </row>
    <row r="81" spans="20:28">
      <c r="T81" s="5"/>
      <c r="U81" s="30"/>
      <c r="V81" s="27"/>
      <c r="W81" s="5"/>
      <c r="Z81" s="5"/>
      <c r="AA81" s="27"/>
      <c r="AB81" s="26"/>
    </row>
    <row r="82" spans="20:28">
      <c r="T82" s="5"/>
      <c r="U82" s="30"/>
      <c r="V82" s="27"/>
      <c r="W82" s="5"/>
      <c r="Z82" s="5"/>
      <c r="AA82" s="27"/>
      <c r="AB82" s="26"/>
    </row>
    <row r="83" spans="20:28">
      <c r="T83" s="5"/>
      <c r="U83" s="30"/>
      <c r="V83" s="27"/>
      <c r="W83" s="5"/>
      <c r="Z83" s="5"/>
      <c r="AA83" s="27"/>
      <c r="AB83" s="26"/>
    </row>
    <row r="84" spans="20:28">
      <c r="T84" s="5"/>
      <c r="U84" s="30"/>
      <c r="V84" s="27"/>
      <c r="W84" s="5"/>
      <c r="Z84" s="5"/>
      <c r="AA84" s="27"/>
      <c r="AB84" s="26"/>
    </row>
    <row r="87" spans="20:28">
      <c r="T87" s="5"/>
      <c r="U87" s="30"/>
      <c r="V87" s="27"/>
      <c r="W87" s="5"/>
      <c r="Z87" s="5"/>
      <c r="AA87" s="27"/>
      <c r="AB87" s="26"/>
    </row>
    <row r="88" spans="20:28">
      <c r="T88" s="5"/>
      <c r="U88" s="30"/>
      <c r="V88" s="27"/>
      <c r="W88" s="5"/>
      <c r="Z88" s="5"/>
      <c r="AA88" s="27"/>
      <c r="AB88" s="26"/>
    </row>
    <row r="89" spans="20:28">
      <c r="T89" s="5"/>
      <c r="U89" s="30"/>
      <c r="V89" s="27"/>
      <c r="W89" s="5"/>
      <c r="Z89" s="5"/>
      <c r="AA89" s="27"/>
      <c r="AB89" s="26"/>
    </row>
    <row r="90" spans="20:28">
      <c r="T90" s="5"/>
      <c r="U90" s="30"/>
      <c r="V90" s="27"/>
      <c r="W90" s="5"/>
      <c r="Z90" s="5"/>
      <c r="AA90" s="27"/>
      <c r="AB90" s="26"/>
    </row>
    <row r="93" spans="20:28">
      <c r="T93" s="5"/>
      <c r="U93" s="30"/>
      <c r="V93" s="27"/>
      <c r="W93" s="5"/>
      <c r="Z93" s="5"/>
      <c r="AA93" s="27"/>
      <c r="AB93" s="26"/>
    </row>
    <row r="94" spans="20:28">
      <c r="T94" s="5"/>
      <c r="U94" s="30"/>
      <c r="V94" s="27"/>
      <c r="W94" s="5"/>
      <c r="Z94" s="5"/>
      <c r="AA94" s="27"/>
      <c r="AB94" s="26"/>
    </row>
    <row r="95" spans="20:28">
      <c r="T95" s="5"/>
      <c r="U95" s="30"/>
      <c r="V95" s="27"/>
      <c r="W95" s="5"/>
      <c r="Z95" s="5"/>
      <c r="AA95" s="27"/>
      <c r="AB95" s="26"/>
    </row>
    <row r="96" spans="20:28">
      <c r="T96" s="5"/>
      <c r="U96" s="30"/>
      <c r="V96" s="27"/>
      <c r="W96" s="5"/>
      <c r="Z96" s="5"/>
      <c r="AA96" s="27"/>
      <c r="AB96" s="2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39997558519241921"/>
    <pageSetUpPr fitToPage="1"/>
  </sheetPr>
  <dimension ref="A1:AP96"/>
  <sheetViews>
    <sheetView workbookViewId="0">
      <selection activeCell="E4" sqref="E4"/>
    </sheetView>
  </sheetViews>
  <sheetFormatPr defaultRowHeight="12.75"/>
  <cols>
    <col min="1" max="1" width="10.140625" bestFit="1" customWidth="1"/>
    <col min="5" max="5" width="10.28515625" customWidth="1"/>
  </cols>
  <sheetData>
    <row r="1" spans="1:35">
      <c r="A1" t="s">
        <v>4</v>
      </c>
    </row>
    <row r="3" spans="1:35">
      <c r="A3" t="s">
        <v>996</v>
      </c>
      <c r="D3" s="459" t="s">
        <v>11</v>
      </c>
      <c r="E3" s="459" t="s">
        <v>12</v>
      </c>
    </row>
    <row r="5" spans="1:35">
      <c r="A5" s="480">
        <v>45473</v>
      </c>
    </row>
    <row r="7" spans="1:35">
      <c r="B7" s="15" t="s">
        <v>589</v>
      </c>
      <c r="AD7" s="530" t="s">
        <v>590</v>
      </c>
      <c r="AE7" s="530" t="s">
        <v>591</v>
      </c>
      <c r="AH7" s="15" t="s">
        <v>592</v>
      </c>
    </row>
    <row r="8" spans="1:35">
      <c r="E8" s="25"/>
      <c r="M8" s="15" t="s">
        <v>593</v>
      </c>
      <c r="T8" s="530" t="s">
        <v>594</v>
      </c>
      <c r="U8" s="530" t="s">
        <v>595</v>
      </c>
      <c r="V8" s="530" t="s">
        <v>596</v>
      </c>
      <c r="W8" s="530" t="s">
        <v>597</v>
      </c>
      <c r="X8" s="530" t="s">
        <v>122</v>
      </c>
      <c r="Z8" s="530" t="s">
        <v>598</v>
      </c>
      <c r="AA8" s="15" t="s">
        <v>599</v>
      </c>
      <c r="AB8" s="530" t="s">
        <v>600</v>
      </c>
      <c r="AC8" s="530" t="s">
        <v>601</v>
      </c>
      <c r="AD8" s="530" t="s">
        <v>602</v>
      </c>
      <c r="AH8" s="15" t="s">
        <v>603</v>
      </c>
    </row>
    <row r="9" spans="1:35">
      <c r="B9" s="15" t="s">
        <v>604</v>
      </c>
      <c r="C9" s="15" t="s">
        <v>152</v>
      </c>
      <c r="E9" s="25">
        <f>E11+E10</f>
        <v>529244.93175467383</v>
      </c>
      <c r="F9" s="15" t="s">
        <v>605</v>
      </c>
      <c r="K9" s="9"/>
      <c r="M9" s="15" t="s">
        <v>606</v>
      </c>
      <c r="P9" s="15" t="s">
        <v>199</v>
      </c>
      <c r="T9" s="26">
        <f>$E$12*1.25</f>
        <v>597640.50456327852</v>
      </c>
      <c r="U9" s="5">
        <f>100*(+T9/$E$13)</f>
        <v>277.89115136221989</v>
      </c>
      <c r="V9" s="27">
        <f>EXP(5.7226-(0.68367*LN(+U9)))</f>
        <v>6.5236367948148724</v>
      </c>
      <c r="W9" s="27">
        <f>(+V9*U9)/100</f>
        <v>18.128609399800467</v>
      </c>
      <c r="X9" s="5">
        <f>100*((((W9/100)-((W9/100)-0.03574)*$E$25)-0.03574-0.00619)/0.344)</f>
        <v>31.625411121634787</v>
      </c>
      <c r="Y9">
        <v>0</v>
      </c>
      <c r="Z9" s="5">
        <f>X9+Y9</f>
        <v>31.625411121634787</v>
      </c>
      <c r="AA9" s="5">
        <f>100*($E$21*$E$23+($E$22*(Z9/100))/(1-$E$25))</f>
        <v>26.119299586051735</v>
      </c>
      <c r="AB9" s="27">
        <f>AA9/U9</f>
        <v>9.3991116514560352E-2</v>
      </c>
      <c r="AC9" s="26">
        <f>$E$12/(1-AB9)</f>
        <v>527712.71051042236</v>
      </c>
      <c r="AD9" t="str">
        <f>IF(AC9=$T$9,"yes","not yet")</f>
        <v>not yet</v>
      </c>
      <c r="AE9" s="5">
        <f>100*(1-AB9)</f>
        <v>90.600888348543961</v>
      </c>
      <c r="AH9">
        <v>0</v>
      </c>
      <c r="AI9">
        <v>1</v>
      </c>
    </row>
    <row r="10" spans="1:35">
      <c r="B10" s="15" t="s">
        <v>604</v>
      </c>
      <c r="C10" s="15" t="s">
        <v>607</v>
      </c>
      <c r="E10" s="25">
        <f>(+E12-((H19/100)*E11))/H29</f>
        <v>-24501.532767531811</v>
      </c>
      <c r="F10" s="28" t="s">
        <v>605</v>
      </c>
      <c r="K10" s="9"/>
      <c r="M10" s="15" t="s">
        <v>608</v>
      </c>
      <c r="P10" s="15" t="s">
        <v>202</v>
      </c>
      <c r="T10" s="26">
        <f>$E$12*1.25</f>
        <v>597640.50456327852</v>
      </c>
      <c r="U10" s="5">
        <f>100*(+T10/$E$13)</f>
        <v>277.89115136221989</v>
      </c>
      <c r="V10" s="27">
        <f>EXP(5.70827-(0.68367*LN(+U10)))</f>
        <v>6.4308197023313696</v>
      </c>
      <c r="W10" s="27">
        <f>(+V10*U10)/100</f>
        <v>17.870678912837125</v>
      </c>
      <c r="X10" s="5">
        <f>100*((((W10/100)-((W10/100)-0.03574)*$E$25)-0.03574-0.00619)/0.344)</f>
        <v>31.033070759131764</v>
      </c>
      <c r="Y10">
        <v>0</v>
      </c>
      <c r="Z10" s="5">
        <f>X10+Y10</f>
        <v>31.033070759131764</v>
      </c>
      <c r="AA10" s="5">
        <f>100*($E$21*$E$23+($E$22*(Z10/100))/(1-$E$25))</f>
        <v>25.669420829720323</v>
      </c>
      <c r="AB10" s="27">
        <f>AA10/U10</f>
        <v>9.2372213738685302E-2</v>
      </c>
      <c r="AC10" s="26">
        <f>$E$12/(1-AB10)</f>
        <v>526771.4484811615</v>
      </c>
      <c r="AD10" t="str">
        <f>IF(AC10=$T$10,"yes","not yet")</f>
        <v>not yet</v>
      </c>
      <c r="AE10" s="5">
        <f>100*(1-AB10)</f>
        <v>90.762778626131464</v>
      </c>
      <c r="AH10">
        <v>50</v>
      </c>
      <c r="AI10">
        <v>2</v>
      </c>
    </row>
    <row r="11" spans="1:35">
      <c r="B11" s="29" t="s">
        <v>609</v>
      </c>
      <c r="C11" s="15" t="s">
        <v>29</v>
      </c>
      <c r="D11" s="29" t="s">
        <v>610</v>
      </c>
      <c r="E11" s="25">
        <f>+'Results of Operations Regulated'!J21</f>
        <v>553746.46452220564</v>
      </c>
      <c r="F11" s="15" t="s">
        <v>611</v>
      </c>
      <c r="K11" s="9"/>
      <c r="M11" s="15" t="s">
        <v>612</v>
      </c>
      <c r="P11" s="15" t="s">
        <v>203</v>
      </c>
      <c r="T11" s="26">
        <f>$E$12*1.25</f>
        <v>597640.50456327852</v>
      </c>
      <c r="U11" s="5">
        <f>100*(+T11/$E$13)</f>
        <v>277.89115136221989</v>
      </c>
      <c r="V11" s="27">
        <f>EXP(5.6985-(0.68367*LN(U11)))</f>
        <v>6.3682965169344143</v>
      </c>
      <c r="W11" s="27">
        <f>(+V11*U11)/100</f>
        <v>17.696932513069193</v>
      </c>
      <c r="X11" s="5">
        <f>100*((((W11/100)-((W11/100)-0.03574)*$E$25)-0.03574-0.00619)/0.344)</f>
        <v>30.634060131757746</v>
      </c>
      <c r="Y11">
        <v>0</v>
      </c>
      <c r="Z11" s="5">
        <f>X11+Y11</f>
        <v>30.634060131757746</v>
      </c>
      <c r="AA11" s="5">
        <f>100*($E$21*$E$23+($E$22*(Z11/100))/(1-$E$25))</f>
        <v>25.366374783613477</v>
      </c>
      <c r="AB11" s="27">
        <f>AA11/U11</f>
        <v>9.128169306315706E-2</v>
      </c>
      <c r="AC11" s="26">
        <f>$E$12/(1-AB11)</f>
        <v>526139.28871122899</v>
      </c>
      <c r="AD11" t="str">
        <f>IF(AC11=$T$11,"yes","not yet")</f>
        <v>not yet</v>
      </c>
      <c r="AE11" s="5">
        <f>100*(1-AB11)</f>
        <v>90.871830693684302</v>
      </c>
      <c r="AH11">
        <v>125</v>
      </c>
      <c r="AI11">
        <v>3</v>
      </c>
    </row>
    <row r="12" spans="1:35">
      <c r="B12" s="29" t="s">
        <v>609</v>
      </c>
      <c r="C12" s="15" t="s">
        <v>613</v>
      </c>
      <c r="D12" s="29" t="s">
        <v>610</v>
      </c>
      <c r="E12" s="25">
        <f>+'Results of Operations Regulated'!J102</f>
        <v>478112.40365062281</v>
      </c>
      <c r="F12" s="15" t="s">
        <v>611</v>
      </c>
      <c r="K12" s="9"/>
      <c r="M12" s="15" t="s">
        <v>614</v>
      </c>
      <c r="P12" s="15" t="s">
        <v>204</v>
      </c>
      <c r="T12" s="26">
        <f>$E$12*1.25</f>
        <v>597640.50456327852</v>
      </c>
      <c r="U12" s="5">
        <f>100*(+T12/$E$13)</f>
        <v>277.89115136221989</v>
      </c>
      <c r="V12" s="27">
        <f>EXP(5.6922-(0.68367*LN(U12)))</f>
        <v>6.3283023627440027</v>
      </c>
      <c r="W12" s="27">
        <f>(+V12*U12)/100</f>
        <v>17.585792297511873</v>
      </c>
      <c r="X12" s="5">
        <f>100*((((W12/100)-((W12/100)-0.03574)*$E$25)-0.03574-0.00619)/0.344)</f>
        <v>30.378825334402272</v>
      </c>
      <c r="Y12">
        <v>0</v>
      </c>
      <c r="Z12" s="5">
        <f>X12+Y12</f>
        <v>30.378825334402272</v>
      </c>
      <c r="AA12" s="5">
        <f>100*($E$21*$E$23+($E$22*(Z12/100))/(1-$E$25))</f>
        <v>25.172525570432104</v>
      </c>
      <c r="AB12" s="27">
        <f>AA12/U12</f>
        <v>9.0584120606347532E-2</v>
      </c>
      <c r="AC12" s="26">
        <f>$E$12/(1-AB12)</f>
        <v>525735.71067331859</v>
      </c>
      <c r="AD12" t="str">
        <f>IF(AC12=$T$12,"yes","not yet")</f>
        <v>not yet</v>
      </c>
      <c r="AE12" s="5">
        <f>100*(1-AB12)</f>
        <v>90.941587939365249</v>
      </c>
      <c r="AH12">
        <v>401</v>
      </c>
      <c r="AI12">
        <v>4</v>
      </c>
    </row>
    <row r="13" spans="1:35">
      <c r="B13" s="29" t="s">
        <v>609</v>
      </c>
      <c r="C13" s="15" t="s">
        <v>615</v>
      </c>
      <c r="E13" s="25">
        <f>+'Results of Operations Regulated'!J108</f>
        <v>215062.80485494056</v>
      </c>
      <c r="F13" s="15" t="s">
        <v>611</v>
      </c>
      <c r="K13" s="9"/>
      <c r="Z13" s="5"/>
    </row>
    <row r="14" spans="1:35">
      <c r="C14" s="15" t="s">
        <v>616</v>
      </c>
      <c r="E14" s="5">
        <f>U9</f>
        <v>277.89115136221989</v>
      </c>
      <c r="F14" s="15" t="s">
        <v>617</v>
      </c>
      <c r="H14" s="5"/>
      <c r="U14" s="530" t="s">
        <v>618</v>
      </c>
      <c r="V14" s="530" t="s">
        <v>596</v>
      </c>
      <c r="W14" s="530" t="s">
        <v>597</v>
      </c>
      <c r="X14" s="530" t="s">
        <v>122</v>
      </c>
      <c r="Z14" s="5"/>
      <c r="AH14" s="15" t="s">
        <v>619</v>
      </c>
    </row>
    <row r="15" spans="1:35">
      <c r="C15" s="15" t="s">
        <v>620</v>
      </c>
      <c r="E15" s="5">
        <f>HLOOKUP($AI$38,$AI$32:$AQ$36,$E$16+1)</f>
        <v>246.53259590237954</v>
      </c>
      <c r="F15" s="15" t="s">
        <v>617</v>
      </c>
      <c r="U15" s="5">
        <f>100*(+AC9/$E$13)</f>
        <v>245.3760941443889</v>
      </c>
      <c r="V15" s="30">
        <f>EXP(5.7226-(0.68367*LN(+U15)))</f>
        <v>7.1029210648547094</v>
      </c>
      <c r="W15" s="27">
        <f>(+V15*U15)/100</f>
        <v>17.42887027909952</v>
      </c>
      <c r="X15" s="5">
        <f>100*((((W15/100)-((W15/100)-0.03574)*$E$25)-0.03574-0.00619)/0.344)</f>
        <v>30.018452094443671</v>
      </c>
      <c r="Y15">
        <v>0</v>
      </c>
      <c r="Z15" s="5">
        <f>X15+Y15</f>
        <v>30.018452094443671</v>
      </c>
      <c r="AA15" s="5">
        <f>100*($E$21*$E$23+($E$22*(Z15/100))/(1-$E$25))</f>
        <v>24.898824375526836</v>
      </c>
      <c r="AB15" s="27">
        <f>AA15/U15</f>
        <v>0.10147208701135894</v>
      </c>
      <c r="AC15" s="26">
        <f>$E$12/(1-AB15)</f>
        <v>532106.34498860245</v>
      </c>
      <c r="AD15" t="str">
        <f>IF(OR(OR(AC15=AC9,AC15=(AC9+1)),AC15=(AC8193-1)),"yes","not yet")</f>
        <v>not yet</v>
      </c>
      <c r="AE15" s="5">
        <f>100*(1-AB15)</f>
        <v>89.852791298864105</v>
      </c>
    </row>
    <row r="16" spans="1:35">
      <c r="C16" s="15" t="s">
        <v>621</v>
      </c>
      <c r="E16">
        <f>VLOOKUP(E14,AH9:AI12,2)</f>
        <v>3</v>
      </c>
      <c r="F16" s="15" t="s">
        <v>617</v>
      </c>
      <c r="U16" s="5">
        <f>100*(+AC10/$E$13)</f>
        <v>244.93842570149113</v>
      </c>
      <c r="V16" s="30">
        <f>EXP(5.70827-(0.68367*LN(+U16)))</f>
        <v>7.0104131969796928</v>
      </c>
      <c r="W16" s="27">
        <f>(+V16*U16)/100</f>
        <v>17.171195719851635</v>
      </c>
      <c r="X16" s="5">
        <f>100*((((W16/100)-((W16/100)-0.03574)*$E$25)-0.03574-0.00619)/0.344)</f>
        <v>29.426699472915097</v>
      </c>
      <c r="Y16">
        <v>0</v>
      </c>
      <c r="Z16" s="5">
        <f>X16+Y16</f>
        <v>29.426699472915097</v>
      </c>
      <c r="AA16" s="5">
        <f>100*($E$21*$E$23+($E$22*(Z16/100))/(1-$E$25))</f>
        <v>24.44939200474564</v>
      </c>
      <c r="AB16" s="27">
        <f>AA16/U16</f>
        <v>9.9818523511465515E-2</v>
      </c>
      <c r="AC16" s="26">
        <f>$E$12/(1-AB16)</f>
        <v>531128.90693514782</v>
      </c>
      <c r="AD16" t="str">
        <f>IF(OR(OR(AC16=AC10,AC16=(AC10+1)),AC16=(AC10-1)),"yes","not yet")</f>
        <v>not yet</v>
      </c>
      <c r="AE16" s="5">
        <f>100*(1-AB16)</f>
        <v>90.018147648853457</v>
      </c>
    </row>
    <row r="17" spans="2:42">
      <c r="U17" s="5">
        <f>100*(+AC11/$E$13)</f>
        <v>244.64448376654849</v>
      </c>
      <c r="V17" s="30">
        <f>EXP(5.6985-(0.68367*LN(U17)))</f>
        <v>6.9479564759366603</v>
      </c>
      <c r="W17" s="27">
        <f>(+V17*U17)/100</f>
        <v>16.997792252879716</v>
      </c>
      <c r="X17" s="5">
        <f>100*((((W17/100)-((W17/100)-0.03574)*$E$25)-0.03574-0.00619)/0.344)</f>
        <v>29.028476394694696</v>
      </c>
      <c r="Y17">
        <v>0</v>
      </c>
      <c r="Z17" s="5">
        <f>X17+Y17</f>
        <v>29.028476394694696</v>
      </c>
      <c r="AA17" s="5">
        <f>100*($E$21*$E$23+($E$22*(Z17/100))/(1-$E$25))</f>
        <v>24.146944097236474</v>
      </c>
      <c r="AB17" s="27">
        <f>AA17/U17</f>
        <v>9.870218091767255E-2</v>
      </c>
      <c r="AC17" s="26">
        <f>$E$12/(1-AB17)</f>
        <v>530471.05354967085</v>
      </c>
      <c r="AD17" t="str">
        <f>IF(OR(OR(AC17=AC11,AC17=(AC11+1)),AC17=(AC11-1)),"yes","not yet")</f>
        <v>not yet</v>
      </c>
      <c r="AE17" s="5">
        <f>100*(1-AB17)</f>
        <v>90.129781908232744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5" t="s">
        <v>622</v>
      </c>
      <c r="U18" s="5">
        <f>100*(+AC12/$E$13)</f>
        <v>244.45682786845742</v>
      </c>
      <c r="V18" s="30">
        <f>EXP(5.6922-(0.68367*LN(U18)))</f>
        <v>6.907944997921736</v>
      </c>
      <c r="W18" s="27">
        <f>(+V18*U18)/100</f>
        <v>16.886943212817254</v>
      </c>
      <c r="X18" s="5">
        <f>100*((((W18/100)-((W18/100)-0.03574)*$E$25)-0.03574-0.00619)/0.344)</f>
        <v>28.773910285248927</v>
      </c>
      <c r="Y18">
        <v>0</v>
      </c>
      <c r="Z18" s="5">
        <f>X18+Y18</f>
        <v>28.773910285248927</v>
      </c>
      <c r="AA18" s="5">
        <f>100*($E$21*$E$23+($E$22*(Z18/100))/(1-$E$25))</f>
        <v>23.953602748290322</v>
      </c>
      <c r="AB18" s="27">
        <f>AA18/U18</f>
        <v>9.7987047271920716E-2</v>
      </c>
      <c r="AC18" s="26">
        <f>$E$12/(1-AB18)</f>
        <v>530050.48564391793</v>
      </c>
      <c r="AD18" t="str">
        <f>IF(OR(OR(AC18=AC12,AC18=(AC12+1)),AC18=(AC12-1)),"yes","not yet")</f>
        <v>not yet</v>
      </c>
      <c r="AE18" s="5">
        <f>100*(1-AB18)</f>
        <v>90.201295272807926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531821</v>
      </c>
      <c r="AO18">
        <f>AC51</f>
        <v>531821</v>
      </c>
      <c r="AP18">
        <f>AC57</f>
        <v>531821</v>
      </c>
    </row>
    <row r="19" spans="2:42">
      <c r="C19" s="15" t="s">
        <v>623</v>
      </c>
      <c r="E19" s="29" t="s">
        <v>604</v>
      </c>
      <c r="F19" s="15" t="s">
        <v>624</v>
      </c>
      <c r="H19" s="5">
        <f>HLOOKUP($AI$29,$AI$23:$AQ$27,$E$16+1)</f>
        <v>90.176092620894096</v>
      </c>
      <c r="I19" s="15" t="s">
        <v>605</v>
      </c>
      <c r="J19" s="31"/>
      <c r="Z19" s="5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530851</v>
      </c>
      <c r="AO19">
        <f>AC52</f>
        <v>530851</v>
      </c>
      <c r="AP19">
        <f>AC58</f>
        <v>530851</v>
      </c>
    </row>
    <row r="20" spans="2:42">
      <c r="C20" s="32" t="s">
        <v>610</v>
      </c>
      <c r="D20" s="32" t="s">
        <v>610</v>
      </c>
      <c r="E20" s="33"/>
      <c r="H20" s="32" t="s">
        <v>625</v>
      </c>
      <c r="U20" s="15" t="s">
        <v>626</v>
      </c>
      <c r="V20" s="530" t="s">
        <v>596</v>
      </c>
      <c r="W20" s="530" t="s">
        <v>597</v>
      </c>
      <c r="X20" s="530" t="s">
        <v>122</v>
      </c>
      <c r="Z20" s="5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530199</v>
      </c>
      <c r="AO20">
        <f>AC53</f>
        <v>530199</v>
      </c>
      <c r="AP20">
        <f>AC59</f>
        <v>530199</v>
      </c>
    </row>
    <row r="21" spans="2:42">
      <c r="B21" s="29" t="s">
        <v>609</v>
      </c>
      <c r="C21" s="15" t="s">
        <v>627</v>
      </c>
      <c r="E21" s="35">
        <v>0.4</v>
      </c>
      <c r="F21" s="15" t="s">
        <v>628</v>
      </c>
      <c r="U21" s="5">
        <f>100*(+AC15/$E$13)</f>
        <v>247.41904828568897</v>
      </c>
      <c r="V21" s="30">
        <f>EXP(5.7226-(0.68367*LN(+U21)))</f>
        <v>7.0627717749515586</v>
      </c>
      <c r="W21" s="27">
        <f>(+V21*U21)/100</f>
        <v>17.474642708175409</v>
      </c>
      <c r="X21" s="5">
        <f>100*((((W21/100)-((W21/100)-0.03574)*$E$25)-0.03574-0.00619)/0.344)</f>
        <v>30.123569010053998</v>
      </c>
      <c r="Y21">
        <v>0</v>
      </c>
      <c r="Z21" s="5">
        <f>X21+Y21</f>
        <v>30.123569010053998</v>
      </c>
      <c r="AA21" s="5">
        <f>100*($E$21*$E$23+($E$22*(Z21/100))/(1-$E$25))</f>
        <v>24.978660007635945</v>
      </c>
      <c r="AB21" s="27">
        <f>AA21/U21</f>
        <v>0.10095689956253356</v>
      </c>
      <c r="AC21" s="26">
        <f>$E$12/(1-AB21)</f>
        <v>531801.4268926346</v>
      </c>
      <c r="AD21" t="str">
        <f>IF(OR(OR(AC21=AC15,AC21=(AC15+1)),AC21=(AC7-1)),"yes","not yet")</f>
        <v>not yet</v>
      </c>
      <c r="AE21" s="5">
        <f>100*(1-AB21)</f>
        <v>89.904310043746634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529782</v>
      </c>
      <c r="AO21">
        <f>AC54</f>
        <v>529781</v>
      </c>
      <c r="AP21">
        <f>AC60</f>
        <v>529782</v>
      </c>
    </row>
    <row r="22" spans="2:42">
      <c r="B22" s="29" t="s">
        <v>609</v>
      </c>
      <c r="C22" s="15" t="s">
        <v>629</v>
      </c>
      <c r="E22" s="35">
        <v>0.6</v>
      </c>
      <c r="F22" s="15" t="s">
        <v>192</v>
      </c>
      <c r="H22" s="41">
        <v>1.7999999999999999E-2</v>
      </c>
      <c r="I22" s="15" t="s">
        <v>609</v>
      </c>
      <c r="U22" s="5">
        <f>100*(+AC16/$E$13)</f>
        <v>246.96455869874532</v>
      </c>
      <c r="V22" s="30">
        <f>EXP(5.70827-(0.68367*LN(+U22)))</f>
        <v>6.9710410887499989</v>
      </c>
      <c r="W22" s="27">
        <f>(+V22*U22)/100</f>
        <v>17.216000861539648</v>
      </c>
      <c r="X22" s="5">
        <f>100*((((W22/100)-((W22/100)-0.03574)*$E$25)-0.03574-0.00619)/0.344)</f>
        <v>29.529595001791638</v>
      </c>
      <c r="Y22">
        <v>0</v>
      </c>
      <c r="Z22" s="5">
        <f>X22+Y22</f>
        <v>29.529595001791638</v>
      </c>
      <c r="AA22" s="5">
        <f>100*($E$21*$E$23+($E$22*(Z22/100))/(1-$E$25))</f>
        <v>24.527540507689849</v>
      </c>
      <c r="AB22" s="27">
        <f>AA22/U22</f>
        <v>9.9316033996640254E-2</v>
      </c>
      <c r="AC22" s="26">
        <f>$E$12/(1-AB22)</f>
        <v>530832.59133852436</v>
      </c>
      <c r="AD22" t="str">
        <f>IF(OR(OR(AC22=AC16,AC22=(AC16+1)),AC22=(AC16-1)),"yes","not yet")</f>
        <v>not yet</v>
      </c>
      <c r="AE22" s="5">
        <f>100*(1-AB22)</f>
        <v>90.068396600335973</v>
      </c>
    </row>
    <row r="23" spans="2:42">
      <c r="B23" s="29" t="s">
        <v>609</v>
      </c>
      <c r="C23" s="15" t="s">
        <v>630</v>
      </c>
      <c r="E23" s="36">
        <v>5.2499999999999998E-2</v>
      </c>
      <c r="F23" s="15" t="s">
        <v>193</v>
      </c>
      <c r="H23" s="66">
        <v>5.1000000000000004E-3</v>
      </c>
      <c r="I23" s="15" t="s">
        <v>609</v>
      </c>
      <c r="U23" s="5">
        <f>100*(+AC17/$E$13)</f>
        <v>246.65866973485836</v>
      </c>
      <c r="V23" s="30">
        <f>EXP(5.6985-(0.68367*LN(U23)))</f>
        <v>6.9091173574462275</v>
      </c>
      <c r="W23" s="27">
        <f>(+V23*U23)/100</f>
        <v>17.041936964297062</v>
      </c>
      <c r="X23" s="5">
        <f>100*((((W23/100)-((W23/100)-0.03574)*$E$25)-0.03574-0.00619)/0.344)</f>
        <v>29.129855237775232</v>
      </c>
      <c r="Y23">
        <v>0</v>
      </c>
      <c r="Z23" s="5">
        <f>X23+Y23</f>
        <v>29.129855237775232</v>
      </c>
      <c r="AA23" s="5">
        <f>100*($E$21*$E$23+($E$22*(Z23/100))/(1-$E$25))</f>
        <v>24.223940686917896</v>
      </c>
      <c r="AB23" s="27">
        <f>AA23/U23</f>
        <v>9.8208348861027334E-2</v>
      </c>
      <c r="AC23" s="26">
        <f>$E$12/(1-AB23)</f>
        <v>530180.56116039853</v>
      </c>
      <c r="AD23" t="str">
        <f>IF(OR(OR(AC23=AC17,AC23=(AC17+1)),AC23=(AC17-1)),"yes","not yet")</f>
        <v>not yet</v>
      </c>
      <c r="AE23" s="5">
        <f>100*(1-AB23)</f>
        <v>90.17916511389727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530199</v>
      </c>
      <c r="AO23">
        <f>HLOOKUP(8,$AI$17:$AQ$21,$E$16+1)</f>
        <v>530199</v>
      </c>
      <c r="AP23">
        <f>HLOOKUP(9,$AI$17:$AQ$21,$E$16+1)</f>
        <v>530199</v>
      </c>
    </row>
    <row r="24" spans="2:42">
      <c r="E24" s="34"/>
      <c r="F24" s="15" t="s">
        <v>194</v>
      </c>
      <c r="H24" s="41">
        <v>0</v>
      </c>
      <c r="I24" s="15" t="s">
        <v>609</v>
      </c>
      <c r="U24" s="5">
        <f>100*(+AC18/$E$13)</f>
        <v>246.46311388035508</v>
      </c>
      <c r="V24" s="30">
        <f>EXP(5.6922-(0.68367*LN(U24)))</f>
        <v>6.8694506371760689</v>
      </c>
      <c r="W24" s="27">
        <f>(+V24*U24)/100</f>
        <v>16.930661946858034</v>
      </c>
      <c r="X24" s="5">
        <f>100*((((W24/100)-((W24/100)-0.03574)*$E$25)-0.03574-0.00619)/0.344)</f>
        <v>28.874310866330955</v>
      </c>
      <c r="Y24">
        <v>0</v>
      </c>
      <c r="Z24" s="5">
        <f>X24+Y24</f>
        <v>28.874310866330955</v>
      </c>
      <c r="AA24" s="5">
        <f>100*($E$21*$E$23+($E$22*(Z24/100))/(1-$E$25))</f>
        <v>24.029856354175404</v>
      </c>
      <c r="AB24" s="27">
        <f>AA24/U24</f>
        <v>9.7498793940583903E-2</v>
      </c>
      <c r="AC24" s="26">
        <f>$E$12/(1-AB24)</f>
        <v>529763.72822613863</v>
      </c>
      <c r="AD24" t="str">
        <f>IF(OR(OR(AC24=AC18,AC24=(AC18+1)),AC24=(AC18-1)),"yes","not yet")</f>
        <v>not yet</v>
      </c>
      <c r="AE24" s="5">
        <f>100*(1-AB24)</f>
        <v>90.250120605941603</v>
      </c>
      <c r="AH24">
        <v>1</v>
      </c>
      <c r="AI24" s="5">
        <f>AE9</f>
        <v>90.600888348543961</v>
      </c>
      <c r="AJ24" s="5">
        <f>AE15</f>
        <v>89.852791298864105</v>
      </c>
      <c r="AK24" s="5">
        <f>AE21</f>
        <v>89.904310043746634</v>
      </c>
      <c r="AL24" s="5">
        <f>AE27</f>
        <v>89.900756235634958</v>
      </c>
      <c r="AM24" s="5">
        <f>AE33</f>
        <v>89.901001352318318</v>
      </c>
      <c r="AN24" s="5" t="str">
        <f>AD45</f>
        <v>yes</v>
      </c>
      <c r="AO24" s="5" t="str">
        <f>AD51</f>
        <v>yes</v>
      </c>
      <c r="AP24" s="5" t="str">
        <f>AD57</f>
        <v>yes</v>
      </c>
    </row>
    <row r="25" spans="2:42">
      <c r="B25" s="29" t="s">
        <v>609</v>
      </c>
      <c r="C25" s="15" t="s">
        <v>188</v>
      </c>
      <c r="E25" s="35">
        <v>0.21</v>
      </c>
      <c r="F25" s="15" t="s">
        <v>196</v>
      </c>
      <c r="H25" s="41">
        <v>1.2E-2</v>
      </c>
      <c r="I25" s="15" t="s">
        <v>609</v>
      </c>
      <c r="Z25" s="5"/>
      <c r="AH25">
        <v>2</v>
      </c>
      <c r="AI25" s="5">
        <f>AE10</f>
        <v>90.762778626131464</v>
      </c>
      <c r="AJ25" s="5">
        <f>AE16</f>
        <v>90.018147648853457</v>
      </c>
      <c r="AK25" s="5">
        <f>AE22</f>
        <v>90.068396600335973</v>
      </c>
      <c r="AL25" s="5">
        <f>AE28</f>
        <v>90.065000077101146</v>
      </c>
      <c r="AM25" s="5">
        <f>AE34</f>
        <v>90.065229635588167</v>
      </c>
      <c r="AN25" s="5" t="str">
        <f>AD46</f>
        <v>yes</v>
      </c>
      <c r="AO25" s="5" t="str">
        <f>AD52</f>
        <v>yes</v>
      </c>
      <c r="AP25" s="5" t="str">
        <f>AD58</f>
        <v>yes</v>
      </c>
    </row>
    <row r="26" spans="2:42">
      <c r="H26" s="32" t="s">
        <v>610</v>
      </c>
      <c r="U26" s="15" t="s">
        <v>631</v>
      </c>
      <c r="V26" s="530" t="s">
        <v>596</v>
      </c>
      <c r="W26" s="530" t="s">
        <v>597</v>
      </c>
      <c r="X26" s="530" t="s">
        <v>122</v>
      </c>
      <c r="Z26" s="5"/>
      <c r="AH26">
        <v>3</v>
      </c>
      <c r="AI26" s="5">
        <f>AE11</f>
        <v>90.871830693684302</v>
      </c>
      <c r="AJ26" s="5">
        <f>AE17</f>
        <v>90.129781908232744</v>
      </c>
      <c r="AK26" s="5">
        <f>AE23</f>
        <v>90.17916511389727</v>
      </c>
      <c r="AL26" s="5">
        <f>AE29</f>
        <v>90.175873204939606</v>
      </c>
      <c r="AM26" s="5">
        <f>AE35</f>
        <v>90.176092620894096</v>
      </c>
      <c r="AN26" s="5" t="str">
        <f>AD47</f>
        <v>yes</v>
      </c>
      <c r="AO26" s="5" t="str">
        <f>AD53</f>
        <v>yes</v>
      </c>
      <c r="AP26" s="5" t="str">
        <f>AD59</f>
        <v>yes</v>
      </c>
    </row>
    <row r="27" spans="2:42">
      <c r="F27" s="15" t="s">
        <v>197</v>
      </c>
      <c r="H27" s="9">
        <f>SUM(H22:H25)</f>
        <v>3.5099999999999999E-2</v>
      </c>
      <c r="U27" s="5">
        <f>100*(+AC21/$E$13)</f>
        <v>247.27726733190036</v>
      </c>
      <c r="V27" s="30">
        <f>EXP(5.7226-(0.68367*LN(+U27)))</f>
        <v>7.0655400932293855</v>
      </c>
      <c r="W27" s="27">
        <f>(+V27*U27)/100</f>
        <v>17.47147446477743</v>
      </c>
      <c r="X27" s="5">
        <f>100*((((W27/100)-((W27/100)-0.03574)*$E$25)-0.03574-0.00619)/0.344)</f>
        <v>30.116293102250491</v>
      </c>
      <c r="Y27">
        <v>0</v>
      </c>
      <c r="Z27" s="5">
        <f>X27+Y27</f>
        <v>30.116293102250491</v>
      </c>
      <c r="AA27" s="5">
        <f>100*($E$21*$E$23+($E$22*(Z27/100))/(1-$E$25))</f>
        <v>24.97313400170923</v>
      </c>
      <c r="AB27" s="27">
        <f>AA27/U27</f>
        <v>0.10099243764365046</v>
      </c>
      <c r="AC27" s="26">
        <f>$E$12/(1-AB27)</f>
        <v>531822.44918770564</v>
      </c>
      <c r="AD27" t="str">
        <f>IF(OR(OR(AC27=AC21,AC27=(AC21+1)),AC27=(AC13-1)),"yes","not yet")</f>
        <v>not yet</v>
      </c>
      <c r="AE27" s="5">
        <f>100*(1-AB27)</f>
        <v>89.900756235634958</v>
      </c>
      <c r="AH27">
        <v>4</v>
      </c>
      <c r="AI27" s="5">
        <f>AE12</f>
        <v>90.941587939365249</v>
      </c>
      <c r="AJ27" s="5">
        <f>AE18</f>
        <v>90.201295272807926</v>
      </c>
      <c r="AK27" s="5">
        <f>AE24</f>
        <v>90.250120605941603</v>
      </c>
      <c r="AL27" s="5">
        <f>AE30</f>
        <v>90.24689501975503</v>
      </c>
      <c r="AM27" s="5">
        <f>AE36</f>
        <v>90.247108090768279</v>
      </c>
      <c r="AN27" s="5" t="str">
        <f>AD48</f>
        <v>yes</v>
      </c>
      <c r="AO27" s="5" t="str">
        <f>AD54</f>
        <v>yes</v>
      </c>
      <c r="AP27" s="5" t="str">
        <f>AD60</f>
        <v>yes</v>
      </c>
    </row>
    <row r="28" spans="2:42">
      <c r="U28" s="5">
        <f>100*(+AC22/$E$13)</f>
        <v>246.82677773898183</v>
      </c>
      <c r="V28" s="30">
        <f>EXP(5.70827-(0.68367*LN(+U28)))</f>
        <v>6.9737012181428435</v>
      </c>
      <c r="W28" s="27">
        <f>(+V28*U28)/100</f>
        <v>17.212962005886105</v>
      </c>
      <c r="X28" s="5">
        <f>100*((((W28/100)-((W28/100)-0.03574)*$E$25)-0.03574-0.00619)/0.344)</f>
        <v>29.522616234447746</v>
      </c>
      <c r="Y28">
        <v>0</v>
      </c>
      <c r="Z28" s="5">
        <f>X28+Y28</f>
        <v>29.522616234447746</v>
      </c>
      <c r="AA28" s="5">
        <f>100*($E$21*$E$23+($E$22*(Z28/100))/(1-$E$25))</f>
        <v>24.522240178061576</v>
      </c>
      <c r="AB28" s="27">
        <f>AA28/U28</f>
        <v>9.9349999228988559E-2</v>
      </c>
      <c r="AC28" s="26">
        <f>$E$12/(1-AB28)</f>
        <v>530852.61004977452</v>
      </c>
      <c r="AD28" t="str">
        <f>IF(OR(OR(AC28=AC22,AC28=(AC22+1)),AC28=(AC22-1)),"yes","not yet")</f>
        <v>not yet</v>
      </c>
      <c r="AE28" s="5">
        <f>100*(1-AB28)</f>
        <v>90.065000077101146</v>
      </c>
    </row>
    <row r="29" spans="2:42">
      <c r="F29" s="15" t="s">
        <v>200</v>
      </c>
      <c r="H29" s="27">
        <f>((+H19/100)-H27)</f>
        <v>0.86666092620894097</v>
      </c>
      <c r="U29" s="5">
        <f>100*(+AC23/$E$13)</f>
        <v>246.52359645267543</v>
      </c>
      <c r="V29" s="30">
        <f>EXP(5.6985-(0.68367*LN(U29)))</f>
        <v>6.9117052272440782</v>
      </c>
      <c r="W29" s="27">
        <f>(+V29*U29)/100</f>
        <v>17.038984302409666</v>
      </c>
      <c r="X29" s="5">
        <f>100*((((W29/100)-((W29/100)-0.03574)*$E$25)-0.03574-0.00619)/0.344)</f>
        <v>29.123074415417555</v>
      </c>
      <c r="Y29">
        <v>0</v>
      </c>
      <c r="Z29" s="5">
        <f>X29+Y29</f>
        <v>29.123074415417555</v>
      </c>
      <c r="AA29" s="5">
        <f>100*($E$21*$E$23+($E$22*(Z29/100))/(1-$E$25))</f>
        <v>24.218790695253841</v>
      </c>
      <c r="AB29" s="27">
        <f>AA29/U29</f>
        <v>9.8241267950603936E-2</v>
      </c>
      <c r="AC29" s="26">
        <f>$E$12/(1-AB29)</f>
        <v>530199.91562935372</v>
      </c>
      <c r="AD29" t="str">
        <f>IF(OR(OR(AC29=AC23,AC29=(AC23+1)),AC29=(AC23-1)),"yes","not yet")</f>
        <v>not yet</v>
      </c>
      <c r="AE29" s="5">
        <f>100*(1-AB29)</f>
        <v>90.175873204939606</v>
      </c>
      <c r="AI29" s="15" t="s">
        <v>632</v>
      </c>
    </row>
    <row r="30" spans="2:42">
      <c r="U30" s="5">
        <f>100*(+AC24/$E$13)</f>
        <v>246.32977728690148</v>
      </c>
      <c r="V30" s="30">
        <f>EXP(5.6922-(0.68367*LN(U30)))</f>
        <v>6.8719925684075234</v>
      </c>
      <c r="W30" s="27">
        <f>(+V30*U30)/100</f>
        <v>16.927763988930675</v>
      </c>
      <c r="X30" s="5">
        <f>100*((((W30/100)-((W30/100)-0.03574)*$E$25)-0.03574-0.00619)/0.344)</f>
        <v>28.867655672253591</v>
      </c>
      <c r="Y30">
        <v>0</v>
      </c>
      <c r="Z30" s="5">
        <f>X30+Y30</f>
        <v>28.867655672253591</v>
      </c>
      <c r="AA30" s="5">
        <f>100*($E$21*$E$23+($E$22*(Z30/100))/(1-$E$25))</f>
        <v>24.024801776395126</v>
      </c>
      <c r="AB30" s="27">
        <f>AA30/U30</f>
        <v>9.7531049802449685E-2</v>
      </c>
      <c r="AC30" s="26">
        <f>$E$12/(1-AB30)</f>
        <v>529782.66293368221</v>
      </c>
      <c r="AD30" t="str">
        <f>IF(OR(OR(AC30=AC24,AC30=(AC24+1)),AC30=(AC24-1)),"yes","not yet")</f>
        <v>not yet</v>
      </c>
      <c r="AE30" s="5">
        <f>100*(1-AB30)</f>
        <v>90.24689501975503</v>
      </c>
      <c r="AI30" s="5">
        <f>HLOOKUP($AI$29,$AI$23:$AQ$27,$E$16+1)</f>
        <v>90.176092620894096</v>
      </c>
    </row>
    <row r="31" spans="2:42">
      <c r="E31" s="26"/>
      <c r="Z31" s="5"/>
    </row>
    <row r="32" spans="2:42">
      <c r="U32" s="15" t="s">
        <v>633</v>
      </c>
      <c r="V32" s="530" t="s">
        <v>596</v>
      </c>
      <c r="W32" s="530" t="s">
        <v>597</v>
      </c>
      <c r="X32" s="530" t="s">
        <v>122</v>
      </c>
      <c r="Z32" s="5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530199</v>
      </c>
      <c r="AO32">
        <f>HLOOKUP(8,$AI$17:$AQ$21,$E$16+1)</f>
        <v>530199</v>
      </c>
      <c r="AP32">
        <f>HLOOKUP(9,$AI$17:$AQ$21,$E$16+1)</f>
        <v>530199</v>
      </c>
    </row>
    <row r="33" spans="5:42">
      <c r="E33" s="26"/>
      <c r="U33" s="5">
        <f>100*(+AC27/$E$13)</f>
        <v>247.28704228814408</v>
      </c>
      <c r="V33" s="30">
        <f>EXP(5.7226-(0.68367*LN(+U33)))</f>
        <v>7.0653491483284121</v>
      </c>
      <c r="W33" s="27">
        <f>(+V33*U33)/100</f>
        <v>17.471692936231907</v>
      </c>
      <c r="X33" s="5">
        <f>100*((((W33/100)-((W33/100)-0.03574)*$E$25)-0.03574-0.00619)/0.344)</f>
        <v>30.116794824486075</v>
      </c>
      <c r="Y33">
        <v>0</v>
      </c>
      <c r="Z33" s="5">
        <f>X33+Y33</f>
        <v>30.116794824486075</v>
      </c>
      <c r="AA33" s="5">
        <f>100*($E$21*$E$23+($E$22*(Z33/100))/(1-$E$25))</f>
        <v>24.973515056571699</v>
      </c>
      <c r="AB33" s="27">
        <f>AA33/U33</f>
        <v>0.10098998647681681</v>
      </c>
      <c r="AC33" s="26">
        <f>$E$12/(1-AB33)</f>
        <v>531820.99916431413</v>
      </c>
      <c r="AD33" t="str">
        <f>IF(OR(OR(AC33=AC27,AC33=(AC27+1)),AC33=(AC19-1)),"yes","not yet")</f>
        <v>not yet</v>
      </c>
      <c r="AE33" s="5">
        <f>100*(1-AB33)</f>
        <v>89.901001352318318</v>
      </c>
      <c r="AH33">
        <v>1</v>
      </c>
      <c r="AI33" s="5">
        <f>U9</f>
        <v>277.89115136221989</v>
      </c>
      <c r="AJ33" s="5">
        <f>U15</f>
        <v>245.3760941443889</v>
      </c>
      <c r="AK33" s="5">
        <f>U21</f>
        <v>247.41904828568897</v>
      </c>
      <c r="AL33" s="5">
        <f>U27</f>
        <v>247.27726733190036</v>
      </c>
      <c r="AM33" s="5">
        <f>U33</f>
        <v>247.28704228814408</v>
      </c>
      <c r="AN33" s="5">
        <f>T45</f>
        <v>0</v>
      </c>
      <c r="AO33" s="5">
        <f>T51</f>
        <v>0</v>
      </c>
      <c r="AP33" s="5">
        <f>T57</f>
        <v>0</v>
      </c>
    </row>
    <row r="34" spans="5:42">
      <c r="E34" s="26"/>
      <c r="U34" s="5">
        <f>100*(+AC28/$E$13)</f>
        <v>246.83608604836786</v>
      </c>
      <c r="V34" s="30">
        <f>EXP(5.70827-(0.68367*LN(+U34)))</f>
        <v>6.9735214243855426</v>
      </c>
      <c r="W34" s="27">
        <f>(+V34*U34)/100</f>
        <v>17.213167343697666</v>
      </c>
      <c r="X34" s="5">
        <f>100*((((W34/100)-((W34/100)-0.03574)*$E$25)-0.03574-0.00619)/0.344)</f>
        <v>29.523087795119647</v>
      </c>
      <c r="Y34">
        <v>0</v>
      </c>
      <c r="Z34" s="5">
        <f>X34+Y34</f>
        <v>29.523087795119647</v>
      </c>
      <c r="AA34" s="5">
        <f>100*($E$21*$E$23+($E$22*(Z34/100))/(1-$E$25))</f>
        <v>24.522598325407323</v>
      </c>
      <c r="AB34" s="27">
        <f>AA34/U34</f>
        <v>9.9347703644118254E-2</v>
      </c>
      <c r="AC34" s="26">
        <f>$E$12/(1-AB34)</f>
        <v>530851.25701128796</v>
      </c>
      <c r="AD34" t="str">
        <f>IF(OR(OR(AC34=AC28,AC34=(AC28+1)),AC34=(AC28-1)),"yes","not yet")</f>
        <v>not yet</v>
      </c>
      <c r="AE34" s="5">
        <f>100*(1-AB34)</f>
        <v>90.065229635588167</v>
      </c>
      <c r="AH34">
        <v>2</v>
      </c>
      <c r="AI34" s="5">
        <f>U10</f>
        <v>277.89115136221989</v>
      </c>
      <c r="AJ34" s="5">
        <f>U16</f>
        <v>244.93842570149113</v>
      </c>
      <c r="AK34" s="5">
        <f>U22</f>
        <v>246.96455869874532</v>
      </c>
      <c r="AL34" s="5">
        <f>U28</f>
        <v>246.82677773898183</v>
      </c>
      <c r="AM34" s="5">
        <f>U34</f>
        <v>246.83608604836786</v>
      </c>
      <c r="AN34" s="5">
        <f>T46</f>
        <v>0</v>
      </c>
      <c r="AO34" s="5">
        <f>T52</f>
        <v>0</v>
      </c>
      <c r="AP34" s="5">
        <f>T58</f>
        <v>0</v>
      </c>
    </row>
    <row r="35" spans="5:42">
      <c r="E35" s="26"/>
      <c r="U35" s="5">
        <f>100*(+AC29/$E$13)</f>
        <v>246.53259590237954</v>
      </c>
      <c r="V35" s="30">
        <f>EXP(5.6985-(0.68367*LN(U35)))</f>
        <v>6.9115327325090039</v>
      </c>
      <c r="W35" s="27">
        <f>(+V35*U35)/100</f>
        <v>17.039181062097114</v>
      </c>
      <c r="X35" s="5">
        <f>100*((((W35/100)-((W35/100)-0.03574)*$E$25)-0.03574-0.00619)/0.344)</f>
        <v>29.123526276327677</v>
      </c>
      <c r="Y35">
        <v>0</v>
      </c>
      <c r="Z35" s="5">
        <f>X35+Y35</f>
        <v>29.123526276327677</v>
      </c>
      <c r="AA35" s="5">
        <f>100*($E$21*$E$23+($E$22*(Z35/100))/(1-$E$25))</f>
        <v>24.219133880755194</v>
      </c>
      <c r="AB35" s="27">
        <f>AA35/U35</f>
        <v>9.8239073791059006E-2</v>
      </c>
      <c r="AC35" s="26">
        <f>$E$12/(1-AB35)</f>
        <v>530198.62554994156</v>
      </c>
      <c r="AD35" t="str">
        <f>IF(OR(OR(AC35=AC29,AC35=(AC29+1)),AC35=(AC29-1)),"yes","not yet")</f>
        <v>not yet</v>
      </c>
      <c r="AE35" s="5">
        <f>100*(1-AB35)</f>
        <v>90.176092620894096</v>
      </c>
      <c r="AH35">
        <v>3</v>
      </c>
      <c r="AI35" s="5">
        <f>U11</f>
        <v>277.89115136221989</v>
      </c>
      <c r="AJ35" s="5">
        <f>U17</f>
        <v>244.64448376654849</v>
      </c>
      <c r="AK35" s="5">
        <f>U23</f>
        <v>246.65866973485836</v>
      </c>
      <c r="AL35" s="5">
        <f>U29</f>
        <v>246.52359645267543</v>
      </c>
      <c r="AM35" s="5">
        <f>U35</f>
        <v>246.53259590237954</v>
      </c>
      <c r="AN35" s="5">
        <f>T47</f>
        <v>0</v>
      </c>
      <c r="AO35" s="5">
        <f>T53</f>
        <v>0</v>
      </c>
      <c r="AP35" s="5">
        <f>T59</f>
        <v>0</v>
      </c>
    </row>
    <row r="36" spans="5:42">
      <c r="E36" s="26"/>
      <c r="U36" s="5">
        <f>100*(+AC30/$E$13)</f>
        <v>246.3385815557551</v>
      </c>
      <c r="V36" s="30">
        <f>EXP(5.6922-(0.68367*LN(U36)))</f>
        <v>6.8718246522378639</v>
      </c>
      <c r="W36" s="27">
        <f>(+V36*U36)/100</f>
        <v>16.927955375321456</v>
      </c>
      <c r="X36" s="5">
        <f>100*((((W36/100)-((W36/100)-0.03574)*$E$25)-0.03574-0.00619)/0.344)</f>
        <v>28.868095193325445</v>
      </c>
      <c r="Y36">
        <v>0</v>
      </c>
      <c r="Z36" s="5">
        <f>X36+Y36</f>
        <v>28.868095193325445</v>
      </c>
      <c r="AA36" s="5">
        <f>100*($E$21*$E$23+($E$22*(Z36/100))/(1-$E$25))</f>
        <v>24.025135589867425</v>
      </c>
      <c r="AB36" s="27">
        <f>AA36/U36</f>
        <v>9.7528919092317215E-2</v>
      </c>
      <c r="AC36" s="26">
        <f>$E$12/(1-AB36)</f>
        <v>529781.41213095642</v>
      </c>
      <c r="AD36" t="str">
        <f>IF(OR(OR(AC36=AC30,AC36=(AC30+1)),AC36=(AC30-1)),"yes","not yet")</f>
        <v>not yet</v>
      </c>
      <c r="AE36" s="5">
        <f>100*(1-AB36)</f>
        <v>90.247108090768279</v>
      </c>
      <c r="AH36">
        <v>4</v>
      </c>
      <c r="AI36" s="5">
        <f>U12</f>
        <v>277.89115136221989</v>
      </c>
      <c r="AJ36" s="5">
        <f>U18</f>
        <v>244.45682786845742</v>
      </c>
      <c r="AK36" s="5">
        <f>U24</f>
        <v>246.46311388035508</v>
      </c>
      <c r="AL36" s="5">
        <f>U30</f>
        <v>246.32977728690148</v>
      </c>
      <c r="AM36" s="5">
        <f>U36</f>
        <v>246.3385815557551</v>
      </c>
      <c r="AN36" s="5">
        <f>T48</f>
        <v>0</v>
      </c>
      <c r="AO36" s="5">
        <f>T54</f>
        <v>0</v>
      </c>
      <c r="AP36" s="5">
        <f>T60</f>
        <v>0</v>
      </c>
    </row>
    <row r="37" spans="5:42">
      <c r="E37" s="26"/>
      <c r="Z37" s="5"/>
    </row>
    <row r="38" spans="5:42">
      <c r="U38" s="15" t="s">
        <v>634</v>
      </c>
      <c r="V38" s="530" t="s">
        <v>596</v>
      </c>
      <c r="W38" s="530" t="s">
        <v>597</v>
      </c>
      <c r="X38" s="530" t="s">
        <v>122</v>
      </c>
      <c r="Z38" s="5"/>
      <c r="AI38" s="15" t="s">
        <v>632</v>
      </c>
    </row>
    <row r="39" spans="5:42">
      <c r="U39" s="5">
        <f>100*(+AC33/$E$13)</f>
        <v>247.28636805561348</v>
      </c>
      <c r="V39" s="30">
        <f>EXP(5.7226-(0.68367*LN(+U39)))</f>
        <v>7.0653623184410952</v>
      </c>
      <c r="W39" s="27">
        <f>(+V39*U39)/100</f>
        <v>17.471677867242871</v>
      </c>
      <c r="X39" s="5">
        <f>100*((((W39/100)-((W39/100)-0.03574)*$E$25)-0.03574-0.00619)/0.344)</f>
        <v>30.116760218377532</v>
      </c>
      <c r="Y39">
        <v>0</v>
      </c>
      <c r="Z39" s="5">
        <f>X39+Y39</f>
        <v>30.116760218377532</v>
      </c>
      <c r="AA39" s="5">
        <f>100*($E$21*$E$23+($E$22*(Z39/100))/(1-$E$25))</f>
        <v>24.973488773451287</v>
      </c>
      <c r="AB39" s="27">
        <f>AA39/U39</f>
        <v>0.10099015554239882</v>
      </c>
      <c r="AC39" s="26">
        <f>ROUND($E$12/(1-AB39),0)</f>
        <v>531821</v>
      </c>
      <c r="AD39" t="str">
        <f>IF(OR(OR(AC39=AC33,AC39=(AC33+1)),AC39=(AC25-1)),"yes","not yet")</f>
        <v>not yet</v>
      </c>
      <c r="AE39" s="5">
        <f>100*(1-AB39)</f>
        <v>89.900984445760116</v>
      </c>
      <c r="AI39" s="5">
        <f>HLOOKUP($AI$38,$AI$32:$AQ$36,$E$16+1)</f>
        <v>246.53259590237954</v>
      </c>
    </row>
    <row r="40" spans="5:42">
      <c r="U40" s="5">
        <f>100*(+AC34/$E$13)</f>
        <v>246.83545691192214</v>
      </c>
      <c r="V40" s="30">
        <f>EXP(5.70827-(0.68367*LN(+U40)))</f>
        <v>6.9735335760505173</v>
      </c>
      <c r="W40" s="27">
        <f>(+V40*U40)/100</f>
        <v>17.213153465350597</v>
      </c>
      <c r="X40" s="5">
        <f>100*((((W40/100)-((W40/100)-0.03574)*$E$25)-0.03574-0.00619)/0.344)</f>
        <v>29.523055923334223</v>
      </c>
      <c r="Y40">
        <v>0</v>
      </c>
      <c r="Z40" s="5">
        <f>X40+Y40</f>
        <v>29.523055923334223</v>
      </c>
      <c r="AA40" s="5">
        <f>100*($E$21*$E$23+($E$22*(Z40/100))/(1-$E$25))</f>
        <v>24.522574118988015</v>
      </c>
      <c r="AB40" s="27">
        <f>AA40/U40</f>
        <v>9.9347858795417548E-2</v>
      </c>
      <c r="AC40" s="26">
        <f>ROUND($E$12/(1-AB40),0)</f>
        <v>530851</v>
      </c>
      <c r="AD40" t="str">
        <f>IF(OR(OR(AC40=AC34,AC40=(AC34+1)),AC40=(AC34-1)),"yes","not yet")</f>
        <v>not yet</v>
      </c>
      <c r="AE40" s="5">
        <f>100*(1-AB40)</f>
        <v>90.065214120458251</v>
      </c>
    </row>
    <row r="41" spans="5:42">
      <c r="U41" s="5">
        <f>100*(+AC35/$E$13)</f>
        <v>246.53199604067262</v>
      </c>
      <c r="V41" s="30">
        <f>EXP(5.6985-(0.68367*LN(U41)))</f>
        <v>6.9115442298807039</v>
      </c>
      <c r="W41" s="27">
        <f>(+V41*U41)/100</f>
        <v>17.039167947158834</v>
      </c>
      <c r="X41" s="5">
        <f>100*((((W41/100)-((W41/100)-0.03574)*$E$25)-0.03574-0.00619)/0.344)</f>
        <v>29.123496157719419</v>
      </c>
      <c r="Y41">
        <v>0</v>
      </c>
      <c r="Z41" s="5">
        <f>X41+Y41</f>
        <v>29.123496157719419</v>
      </c>
      <c r="AA41" s="5">
        <f>100*($E$21*$E$23+($E$22*(Z41/100))/(1-$E$25))</f>
        <v>24.21911100586285</v>
      </c>
      <c r="AB41" s="27">
        <f>AA41/U41</f>
        <v>9.8239220039686867E-2</v>
      </c>
      <c r="AC41" s="26">
        <f>ROUND($E$12/(1-AB41),0)</f>
        <v>530199</v>
      </c>
      <c r="AD41" t="str">
        <f>IF(OR(OR(AC41=AC35,AC41=(AC35+1)),AC41=(AC35-1)),"yes","not yet")</f>
        <v>not yet</v>
      </c>
      <c r="AE41" s="5">
        <f>100*(1-AB41)</f>
        <v>90.17607799603131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530199</v>
      </c>
      <c r="AO41">
        <f>HLOOKUP(8,$AI$17:$AQ$21,$E$16+1)</f>
        <v>530199</v>
      </c>
      <c r="AP41">
        <f>HLOOKUP(9,$AI$17:$AQ$21,$E$16+1)</f>
        <v>530199</v>
      </c>
    </row>
    <row r="42" spans="5:42">
      <c r="U42" s="5">
        <f>100*(+AC36/$E$13)</f>
        <v>246.33799995693954</v>
      </c>
      <c r="V42" s="30">
        <f>EXP(5.6922-(0.68367*LN(U42)))</f>
        <v>6.8718357442550184</v>
      </c>
      <c r="W42" s="27">
        <f>(+V42*U42)/100</f>
        <v>16.927942732723885</v>
      </c>
      <c r="X42" s="5">
        <f>100*((((W42/100)-((W42/100)-0.03574)*$E$25)-0.03574-0.00619)/0.344)</f>
        <v>28.868066159453114</v>
      </c>
      <c r="Y42">
        <v>0</v>
      </c>
      <c r="Z42" s="5">
        <f>X42+Y42</f>
        <v>28.868066159453114</v>
      </c>
      <c r="AA42" s="5">
        <f>100*($E$21*$E$23+($E$22*(Z42/100))/(1-$E$25))</f>
        <v>24.025113538825149</v>
      </c>
      <c r="AB42" s="27">
        <f>AA42/U42</f>
        <v>9.7529059840644944E-2</v>
      </c>
      <c r="AC42" s="26">
        <f>ROUND($E$12/(1-AB42),0)</f>
        <v>529781</v>
      </c>
      <c r="AD42" t="str">
        <f>IF(OR(OR(AC42=AC36,AC42=(AC36+1)),AC42=(AC36-1)),"yes","not yet")</f>
        <v>not yet</v>
      </c>
      <c r="AE42" s="5">
        <f>100*(1-AB42)</f>
        <v>90.247094015935502</v>
      </c>
      <c r="AH42">
        <v>1</v>
      </c>
      <c r="AI42" s="26">
        <f>AC9</f>
        <v>527712.71051042236</v>
      </c>
      <c r="AJ42" s="26">
        <f>AC15</f>
        <v>532106.34498860245</v>
      </c>
      <c r="AK42" s="26">
        <f>AC21</f>
        <v>531801.4268926346</v>
      </c>
      <c r="AL42" s="26">
        <f>AC27</f>
        <v>531822.44918770564</v>
      </c>
      <c r="AM42" s="26">
        <f>AC33</f>
        <v>531820.99916431413</v>
      </c>
      <c r="AN42" s="26">
        <f>AB45</f>
        <v>0.10099015544496169</v>
      </c>
      <c r="AO42" s="26">
        <f>AB51</f>
        <v>0.10099015544496169</v>
      </c>
      <c r="AP42" s="26">
        <f>AB57</f>
        <v>0.10099015544496169</v>
      </c>
    </row>
    <row r="43" spans="5:42">
      <c r="Z43" s="5"/>
      <c r="AH43">
        <v>2</v>
      </c>
      <c r="AI43" s="26">
        <f>AC10</f>
        <v>526771.4484811615</v>
      </c>
      <c r="AJ43" s="26">
        <f>AC16</f>
        <v>531128.90693514782</v>
      </c>
      <c r="AK43" s="26">
        <f>AC22</f>
        <v>530832.59133852436</v>
      </c>
      <c r="AL43" s="26">
        <f>AC28</f>
        <v>530852.61004977452</v>
      </c>
      <c r="AM43" s="26">
        <f>AC34</f>
        <v>530851.25701128796</v>
      </c>
      <c r="AN43" s="26">
        <f>AB46</f>
        <v>9.9347888266663659E-2</v>
      </c>
      <c r="AO43" s="26">
        <f>AB52</f>
        <v>9.9347888266663659E-2</v>
      </c>
      <c r="AP43" s="26">
        <f>AB58</f>
        <v>9.9347888266663659E-2</v>
      </c>
    </row>
    <row r="44" spans="5:42">
      <c r="U44" s="15" t="s">
        <v>635</v>
      </c>
      <c r="V44" s="530" t="s">
        <v>596</v>
      </c>
      <c r="W44" s="530" t="s">
        <v>597</v>
      </c>
      <c r="X44" s="530" t="s">
        <v>122</v>
      </c>
      <c r="Z44" s="5"/>
      <c r="AH44">
        <v>3</v>
      </c>
      <c r="AI44" s="26">
        <f>AC11</f>
        <v>526139.28871122899</v>
      </c>
      <c r="AJ44" s="26">
        <f>AC17</f>
        <v>530471.05354967085</v>
      </c>
      <c r="AK44" s="26">
        <f>AC23</f>
        <v>530180.56116039853</v>
      </c>
      <c r="AL44" s="26">
        <f>AC29</f>
        <v>530199.91562935372</v>
      </c>
      <c r="AM44" s="26">
        <f>AC35</f>
        <v>530198.62554994156</v>
      </c>
      <c r="AN44" s="26">
        <f>AB47</f>
        <v>9.8239177590454099E-2</v>
      </c>
      <c r="AO44" s="26">
        <f>AB53</f>
        <v>9.8239177590454099E-2</v>
      </c>
      <c r="AP44" s="26">
        <f>AB59</f>
        <v>9.8239177590454099E-2</v>
      </c>
    </row>
    <row r="45" spans="5:42">
      <c r="U45" s="5">
        <f>100*(+AC39/$E$13)</f>
        <v>247.28636844419108</v>
      </c>
      <c r="V45" s="30">
        <f>EXP(5.7226-(0.68367*LN(+U45)))</f>
        <v>7.0653623108508006</v>
      </c>
      <c r="W45" s="27">
        <f>(+V45*U45)/100</f>
        <v>17.471677875927522</v>
      </c>
      <c r="X45" s="5">
        <f>100*((((W45/100)-((W45/100)-0.03574)*$E$25)-0.03574-0.00619)/0.344)</f>
        <v>30.116760238321927</v>
      </c>
      <c r="Y45">
        <v>0</v>
      </c>
      <c r="Z45" s="5">
        <f>X45+Y45</f>
        <v>30.116760238321927</v>
      </c>
      <c r="AA45" s="5">
        <f>100*($E$21*$E$23+($E$22*(Z45/100))/(1-$E$25))</f>
        <v>24.973488788598928</v>
      </c>
      <c r="AB45" s="27">
        <f>AA45/U45</f>
        <v>0.10099015544496169</v>
      </c>
      <c r="AC45" s="26">
        <f>ROUND($E$12/(1-AB45),0)</f>
        <v>531821</v>
      </c>
      <c r="AD45" t="str">
        <f>IF(OR(OR(AC45=AC39,AC45=(AC39+1)),AC45=(AC31-1)),"yes","not yet")</f>
        <v>yes</v>
      </c>
      <c r="AE45" s="5">
        <f>100*(1-AB45)</f>
        <v>89.900984455503831</v>
      </c>
      <c r="AH45">
        <v>4</v>
      </c>
      <c r="AI45" s="26">
        <f>AC12</f>
        <v>525735.71067331859</v>
      </c>
      <c r="AJ45" s="26">
        <f>AC18</f>
        <v>530050.48564391793</v>
      </c>
      <c r="AK45" s="26">
        <f>AC24</f>
        <v>529763.72822613863</v>
      </c>
      <c r="AL45" s="26">
        <f>AC30</f>
        <v>529782.66293368221</v>
      </c>
      <c r="AM45" s="26">
        <f>AC36</f>
        <v>529781.41213095642</v>
      </c>
      <c r="AN45" s="26">
        <f>AB48</f>
        <v>9.7529106216371605E-2</v>
      </c>
      <c r="AO45" s="26">
        <f>AB54</f>
        <v>9.7528993689793092E-2</v>
      </c>
      <c r="AP45" s="26">
        <f>AB60</f>
        <v>9.7529106216371605E-2</v>
      </c>
    </row>
    <row r="46" spans="5:42">
      <c r="U46" s="5">
        <f>100*(+AC40/$E$13)</f>
        <v>246.83533740669753</v>
      </c>
      <c r="V46" s="30">
        <f>EXP(5.70827-(0.68367*LN(+U46)))</f>
        <v>6.9735358842797943</v>
      </c>
      <c r="W46" s="27">
        <f>(+V46*U46)/100</f>
        <v>17.21315082913916</v>
      </c>
      <c r="X46" s="5">
        <f>100*((((W46/100)-((W46/100)-0.03574)*$E$25)-0.03574-0.00619)/0.344)</f>
        <v>29.523049869244002</v>
      </c>
      <c r="Y46">
        <v>0</v>
      </c>
      <c r="Z46" s="5">
        <f>X46+Y46</f>
        <v>29.523049869244002</v>
      </c>
      <c r="AA46" s="5">
        <f>100*($E$21*$E$23+($E$22*(Z46/100))/(1-$E$25))</f>
        <v>24.52256952094481</v>
      </c>
      <c r="AB46" s="27">
        <f>AA46/U46</f>
        <v>9.9347888266663659E-2</v>
      </c>
      <c r="AC46" s="26">
        <f>ROUND($E$12/(1-AB46),0)</f>
        <v>530851</v>
      </c>
      <c r="AD46" t="str">
        <f>IF(OR(OR(AC46=AC40,AC46=(AC40+1)),AC46=(AC40-1)),"yes","not yet")</f>
        <v>yes</v>
      </c>
      <c r="AE46" s="5">
        <f>100*(1-AB46)</f>
        <v>90.065211173333637</v>
      </c>
    </row>
    <row r="47" spans="5:42">
      <c r="U47" s="5">
        <f>100*(+AC41/$E$13)</f>
        <v>246.5321701526297</v>
      </c>
      <c r="V47" s="30">
        <f>EXP(5.6985-(0.68367*LN(U47)))</f>
        <v>6.9115408927235347</v>
      </c>
      <c r="W47" s="27">
        <f>(+V47*U47)/100</f>
        <v>17.039171753817765</v>
      </c>
      <c r="X47" s="5">
        <f>100*((((W47/100)-((W47/100)-0.03574)*$E$25)-0.03574-0.00619)/0.344)</f>
        <v>29.123504899755918</v>
      </c>
      <c r="Y47">
        <v>0</v>
      </c>
      <c r="Z47" s="5">
        <f>X47+Y47</f>
        <v>29.123504899755918</v>
      </c>
      <c r="AA47" s="5">
        <f>100*($E$21*$E$23+($E$22*(Z47/100))/(1-$E$25))</f>
        <v>24.219117645384237</v>
      </c>
      <c r="AB47" s="27">
        <f>AA47/U47</f>
        <v>9.8239177590454099E-2</v>
      </c>
      <c r="AC47" s="26">
        <f>ROUND($E$12/(1-AB47),0)</f>
        <v>530199</v>
      </c>
      <c r="AD47" t="str">
        <f>IF(OR(OR(AC47=AC41,AC47=(AC41+1)),AC47=(AC41-1)),"yes","not yet")</f>
        <v>yes</v>
      </c>
      <c r="AE47" s="5">
        <f>100*(1-AB47)</f>
        <v>90.176082240954585</v>
      </c>
      <c r="AI47" s="15" t="s">
        <v>632</v>
      </c>
    </row>
    <row r="48" spans="5:42">
      <c r="U48" s="5">
        <f>100*(+AC42/$E$13)</f>
        <v>246.33780832410156</v>
      </c>
      <c r="V48" s="30">
        <f>EXP(5.6922-(0.68367*LN(U48)))</f>
        <v>6.8718393990085769</v>
      </c>
      <c r="W48" s="27">
        <f>(+V48*U48)/100</f>
        <v>16.927938567069841</v>
      </c>
      <c r="X48" s="5">
        <f>100*((((W48/100)-((W48/100)-0.03574)*$E$25)-0.03574-0.00619)/0.344)</f>
        <v>28.868056592980164</v>
      </c>
      <c r="Y48">
        <v>0</v>
      </c>
      <c r="Z48" s="5">
        <f>X48+Y48</f>
        <v>28.868056592980164</v>
      </c>
      <c r="AA48" s="5">
        <f>100*($E$21*$E$23+($E$22*(Z48/100))/(1-$E$25))</f>
        <v>24.02510627314949</v>
      </c>
      <c r="AB48" s="27">
        <f>AA48/U48</f>
        <v>9.7529106216371605E-2</v>
      </c>
      <c r="AC48" s="26">
        <f>ROUND($E$12/(1-AB48),0)</f>
        <v>529782</v>
      </c>
      <c r="AD48" t="str">
        <f>IF(OR(OR(AC48=AC42,AC48=(AC42+1)),AC48=(AC42-1)),"yes","not yet")</f>
        <v>yes</v>
      </c>
      <c r="AE48" s="5">
        <f>100*(1-AB48)</f>
        <v>90.247089378362844</v>
      </c>
      <c r="AI48" s="26">
        <f>HLOOKUP($AI$38,$AI$41:$AQ$45,$E$16+1)</f>
        <v>530198.62554994156</v>
      </c>
    </row>
    <row r="49" spans="4:31">
      <c r="Z49" s="5"/>
    </row>
    <row r="50" spans="4:31">
      <c r="D50" s="26"/>
      <c r="E50" s="26"/>
      <c r="F50" s="26"/>
      <c r="U50" s="15" t="s">
        <v>636</v>
      </c>
      <c r="V50" s="530" t="s">
        <v>596</v>
      </c>
      <c r="W50" s="530" t="s">
        <v>597</v>
      </c>
      <c r="X50" s="530" t="s">
        <v>122</v>
      </c>
      <c r="Z50" s="5"/>
    </row>
    <row r="51" spans="4:31">
      <c r="D51" s="26"/>
      <c r="E51" s="26"/>
      <c r="F51" s="26"/>
      <c r="U51" s="5">
        <f>100*(+AC45/$E$13)</f>
        <v>247.28636844419108</v>
      </c>
      <c r="V51" s="30">
        <f>EXP(5.7226-(0.68367*LN(+U51)))</f>
        <v>7.0653623108508006</v>
      </c>
      <c r="W51" s="27">
        <f>(+V51*U51)/100</f>
        <v>17.471677875927522</v>
      </c>
      <c r="X51" s="5">
        <f>100*((((W51/100)-((W51/100)-0.03574)*$E$25)-0.03574-0.00619)/0.344)</f>
        <v>30.116760238321927</v>
      </c>
      <c r="Y51">
        <v>0</v>
      </c>
      <c r="Z51" s="5">
        <f>X51+Y51</f>
        <v>30.116760238321927</v>
      </c>
      <c r="AA51" s="5">
        <f>100*($E$21*$E$23+($E$22*(Z51/100))/(1-$E$25))</f>
        <v>24.973488788598928</v>
      </c>
      <c r="AB51" s="27">
        <f>AA51/U51</f>
        <v>0.10099015544496169</v>
      </c>
      <c r="AC51" s="26">
        <f>ROUND($E$12/(1-AB51),0)</f>
        <v>531821</v>
      </c>
      <c r="AD51" t="str">
        <f>IF(OR(OR(AC51=AC45,AC51=(AC45+1)),AC51=(AC37-1)),"yes","not yet")</f>
        <v>yes</v>
      </c>
      <c r="AE51" s="5">
        <f>100*(1-AB51)</f>
        <v>89.900984455503831</v>
      </c>
    </row>
    <row r="52" spans="4:31">
      <c r="U52" s="5">
        <f>100*(+AC46/$E$13)</f>
        <v>246.83533740669753</v>
      </c>
      <c r="V52" s="30">
        <f>EXP(5.70827-(0.68367*LN(+U52)))</f>
        <v>6.9735358842797943</v>
      </c>
      <c r="W52" s="27">
        <f>(+V52*U52)/100</f>
        <v>17.21315082913916</v>
      </c>
      <c r="X52" s="5">
        <f>100*((((W52/100)-((W52/100)-0.03574)*$E$25)-0.03574-0.00619)/0.344)</f>
        <v>29.523049869244002</v>
      </c>
      <c r="Y52">
        <v>0</v>
      </c>
      <c r="Z52" s="5">
        <f>X52+Y52</f>
        <v>29.523049869244002</v>
      </c>
      <c r="AA52" s="5">
        <f>100*($E$21*$E$23+($E$22*(Z52/100))/(1-$E$25))</f>
        <v>24.52256952094481</v>
      </c>
      <c r="AB52" s="27">
        <f>AA52/U52</f>
        <v>9.9347888266663659E-2</v>
      </c>
      <c r="AC52" s="26">
        <f>ROUND($E$12/(1-AB52),0)</f>
        <v>530851</v>
      </c>
      <c r="AD52" t="str">
        <f>IF(OR(OR(AC52=AC46,AC52=(AC46+1)),AC52=(AC46-1)),"yes","not yet")</f>
        <v>yes</v>
      </c>
      <c r="AE52" s="5">
        <f>100*(1-AB52)</f>
        <v>90.065211173333637</v>
      </c>
    </row>
    <row r="53" spans="4:31">
      <c r="U53" s="5">
        <f>100*(+AC47/$E$13)</f>
        <v>246.5321701526297</v>
      </c>
      <c r="V53" s="30">
        <f>EXP(5.6985-(0.68367*LN(U53)))</f>
        <v>6.9115408927235347</v>
      </c>
      <c r="W53" s="27">
        <f>(+V53*U53)/100</f>
        <v>17.039171753817765</v>
      </c>
      <c r="X53" s="5">
        <f>100*((((W53/100)-((W53/100)-0.03574)*$E$25)-0.03574-0.00619)/0.344)</f>
        <v>29.123504899755918</v>
      </c>
      <c r="Y53">
        <v>0</v>
      </c>
      <c r="Z53" s="5">
        <f>X53+Y53</f>
        <v>29.123504899755918</v>
      </c>
      <c r="AA53" s="5">
        <f>100*($E$21*$E$23+($E$22*(Z53/100))/(1-$E$25))</f>
        <v>24.219117645384237</v>
      </c>
      <c r="AB53" s="27">
        <f>AA53/U53</f>
        <v>9.8239177590454099E-2</v>
      </c>
      <c r="AC53" s="26">
        <f>ROUND($E$12/(1-AB53),0)</f>
        <v>530199</v>
      </c>
      <c r="AD53" t="str">
        <f>IF(OR(OR(AC53=AC47,AC53=(AC47+1)),AC53=(AC47-1)),"yes","not yet")</f>
        <v>yes</v>
      </c>
      <c r="AE53" s="5">
        <f>100*(1-AB53)</f>
        <v>90.176082240954585</v>
      </c>
    </row>
    <row r="54" spans="4:31">
      <c r="U54" s="5">
        <f>100*(+AC48/$E$13)</f>
        <v>246.33827330455253</v>
      </c>
      <c r="V54" s="30">
        <f>EXP(5.6922-(0.68367*LN(U54)))</f>
        <v>6.8718305310745169</v>
      </c>
      <c r="W54" s="27">
        <f>(+V54*U54)/100</f>
        <v>16.927948674664027</v>
      </c>
      <c r="X54" s="5">
        <f>100*((((W54/100)-((W54/100)-0.03574)*$E$25)-0.03574-0.00619)/0.344)</f>
        <v>28.86807980518774</v>
      </c>
      <c r="Y54">
        <v>0</v>
      </c>
      <c r="Z54" s="5">
        <f>X54+Y54</f>
        <v>28.86807980518774</v>
      </c>
      <c r="AA54" s="5">
        <f>100*($E$21*$E$23+($E$22*(Z54/100))/(1-$E$25))</f>
        <v>24.025123902674231</v>
      </c>
      <c r="AB54" s="27">
        <f>AA54/U54</f>
        <v>9.7528993689793092E-2</v>
      </c>
      <c r="AC54" s="26">
        <f>ROUND($E$12/(1-AB54),0)</f>
        <v>529781</v>
      </c>
      <c r="AD54" t="str">
        <f>IF(OR(OR(AC54=AC48,AC54=(AC48+1)),AC54=(AC48-1)),"yes","not yet")</f>
        <v>yes</v>
      </c>
      <c r="AE54" s="5">
        <f>100*(1-AB54)</f>
        <v>90.2471006310207</v>
      </c>
    </row>
    <row r="55" spans="4:31">
      <c r="Z55" s="5"/>
    </row>
    <row r="56" spans="4:31">
      <c r="U56" s="15" t="s">
        <v>637</v>
      </c>
      <c r="V56" s="530" t="s">
        <v>596</v>
      </c>
      <c r="W56" s="530" t="s">
        <v>597</v>
      </c>
      <c r="X56" s="530" t="s">
        <v>122</v>
      </c>
      <c r="Z56" s="5"/>
    </row>
    <row r="57" spans="4:31">
      <c r="U57" s="5">
        <f>100*(+AC51/$E$13)</f>
        <v>247.28636844419108</v>
      </c>
      <c r="V57" s="30">
        <f>EXP(5.7226-(0.68367*LN(+U57)))</f>
        <v>7.0653623108508006</v>
      </c>
      <c r="W57" s="27">
        <f>(+V57*U57)/100</f>
        <v>17.471677875927522</v>
      </c>
      <c r="X57" s="5">
        <f>100*((((W57/100)-((W57/100)-0.03574)*$E$25)-0.03574-0.00619)/0.344)</f>
        <v>30.116760238321927</v>
      </c>
      <c r="Y57">
        <v>0</v>
      </c>
      <c r="Z57" s="5">
        <f>X57+Y57</f>
        <v>30.116760238321927</v>
      </c>
      <c r="AA57" s="5">
        <f>100*($E$21*$E$23+($E$22*(Z57/100))/(1-$E$25))</f>
        <v>24.973488788598928</v>
      </c>
      <c r="AB57" s="27">
        <f>AA57/U57</f>
        <v>0.10099015544496169</v>
      </c>
      <c r="AC57" s="26">
        <f>ROUND($E$12/(1-AB57),0)</f>
        <v>531821</v>
      </c>
      <c r="AD57" t="str">
        <f>IF(OR(OR(AC57=AC51,AC57=(AC51+1)),AC57=(AC43-1)),"yes","not yet")</f>
        <v>yes</v>
      </c>
      <c r="AE57" s="5">
        <f>100*(1-AB57)</f>
        <v>89.900984455503831</v>
      </c>
    </row>
    <row r="58" spans="4:31">
      <c r="U58" s="5">
        <f>100*(+AC52/$E$13)</f>
        <v>246.83533740669753</v>
      </c>
      <c r="V58" s="30">
        <f>EXP(5.70827-(0.68367*LN(+U58)))</f>
        <v>6.9735358842797943</v>
      </c>
      <c r="W58" s="27">
        <f>(+V58*U58)/100</f>
        <v>17.21315082913916</v>
      </c>
      <c r="X58" s="5">
        <f>100*((((W58/100)-((W58/100)-0.03574)*$E$25)-0.03574-0.00619)/0.344)</f>
        <v>29.523049869244002</v>
      </c>
      <c r="Y58">
        <v>0</v>
      </c>
      <c r="Z58" s="5">
        <f>X58+Y58</f>
        <v>29.523049869244002</v>
      </c>
      <c r="AA58" s="5">
        <f>100*($E$21*$E$23+($E$22*(Z58/100))/(1-$E$25))</f>
        <v>24.52256952094481</v>
      </c>
      <c r="AB58" s="27">
        <f>AA58/U58</f>
        <v>9.9347888266663659E-2</v>
      </c>
      <c r="AC58" s="26">
        <f>ROUND($E$12/(1-AB58),0)</f>
        <v>530851</v>
      </c>
      <c r="AD58" t="str">
        <f>IF(OR(OR(AC58=AC52,AC58=(AC52+1)),AC58=(AC52-1)),"yes","not yet")</f>
        <v>yes</v>
      </c>
      <c r="AE58" s="5">
        <f>100*(1-AB58)</f>
        <v>90.065211173333637</v>
      </c>
    </row>
    <row r="59" spans="4:31">
      <c r="U59" s="5">
        <f>100*(+AC53/$E$13)</f>
        <v>246.5321701526297</v>
      </c>
      <c r="V59" s="30">
        <f>EXP(5.6985-(0.68367*LN(U59)))</f>
        <v>6.9115408927235347</v>
      </c>
      <c r="W59" s="27">
        <f>(+V59*U59)/100</f>
        <v>17.039171753817765</v>
      </c>
      <c r="X59" s="5">
        <f>100*((((W59/100)-((W59/100)-0.03574)*$E$25)-0.03574-0.00619)/0.344)</f>
        <v>29.123504899755918</v>
      </c>
      <c r="Y59">
        <v>0</v>
      </c>
      <c r="Z59" s="5">
        <f>X59+Y59</f>
        <v>29.123504899755918</v>
      </c>
      <c r="AA59" s="5">
        <f>100*($E$21*$E$23+($E$22*(Z59/100))/(1-$E$25))</f>
        <v>24.219117645384237</v>
      </c>
      <c r="AB59" s="27">
        <f>AA59/U59</f>
        <v>9.8239177590454099E-2</v>
      </c>
      <c r="AC59" s="26">
        <f>ROUND($E$12/(1-AB59),0)</f>
        <v>530199</v>
      </c>
      <c r="AD59" t="str">
        <f>IF(OR(OR(AC59=AC53,AC59=(AC53+1)),AC59=(AC53-1)),"yes","not yet")</f>
        <v>yes</v>
      </c>
      <c r="AE59" s="5">
        <f>100*(1-AB59)</f>
        <v>90.176082240954585</v>
      </c>
    </row>
    <row r="60" spans="4:31">
      <c r="U60" s="5">
        <f>100*(+AC54/$E$13)</f>
        <v>246.33780832410156</v>
      </c>
      <c r="V60" s="30">
        <f>EXP(5.6922-(0.68367*LN(U60)))</f>
        <v>6.8718393990085769</v>
      </c>
      <c r="W60" s="27">
        <f>(+V60*U60)/100</f>
        <v>16.927938567069841</v>
      </c>
      <c r="X60" s="5">
        <f>100*((((W60/100)-((W60/100)-0.03574)*$E$25)-0.03574-0.00619)/0.344)</f>
        <v>28.868056592980164</v>
      </c>
      <c r="Y60">
        <v>0</v>
      </c>
      <c r="Z60" s="5">
        <f>X60+Y60</f>
        <v>28.868056592980164</v>
      </c>
      <c r="AA60" s="5">
        <f>100*($E$21*$E$23+($E$22*(Z60/100))/(1-$E$25))</f>
        <v>24.02510627314949</v>
      </c>
      <c r="AB60" s="27">
        <f>AA60/U60</f>
        <v>9.7529106216371605E-2</v>
      </c>
      <c r="AC60" s="26">
        <f>ROUND($E$12/(1-AB60),0)</f>
        <v>529782</v>
      </c>
      <c r="AD60" t="str">
        <f>IF(OR(OR(AC60=AC54,AC60=(AC54+1)),AC60=(AC54-1)),"yes","not yet")</f>
        <v>yes</v>
      </c>
      <c r="AE60" s="5">
        <f>100*(1-AB60)</f>
        <v>90.247089378362844</v>
      </c>
    </row>
    <row r="61" spans="4:31">
      <c r="Z61" s="5"/>
    </row>
    <row r="63" spans="4:31">
      <c r="U63" s="5"/>
      <c r="V63" s="30"/>
      <c r="W63" s="27"/>
      <c r="X63" s="5"/>
      <c r="AA63" s="5"/>
      <c r="AB63" s="27"/>
      <c r="AC63" s="26"/>
    </row>
    <row r="64" spans="4:31">
      <c r="U64" s="5"/>
      <c r="V64" s="30"/>
      <c r="W64" s="27"/>
      <c r="X64" s="5"/>
      <c r="AA64" s="5"/>
      <c r="AB64" s="27"/>
      <c r="AC64" s="26"/>
    </row>
    <row r="65" spans="20:29">
      <c r="U65" s="5"/>
      <c r="V65" s="30"/>
      <c r="W65" s="27"/>
      <c r="X65" s="5"/>
      <c r="AA65" s="5"/>
      <c r="AB65" s="27"/>
      <c r="AC65" s="26"/>
    </row>
    <row r="66" spans="20:29">
      <c r="U66" s="5"/>
      <c r="V66" s="30"/>
      <c r="W66" s="27"/>
      <c r="X66" s="5"/>
      <c r="AA66" s="5"/>
      <c r="AB66" s="27"/>
      <c r="AC66" s="26"/>
    </row>
    <row r="69" spans="20:29">
      <c r="U69" s="5"/>
      <c r="V69" s="30"/>
      <c r="W69" s="27"/>
      <c r="X69" s="5"/>
      <c r="AA69" s="5"/>
      <c r="AB69" s="27"/>
      <c r="AC69" s="26"/>
    </row>
    <row r="70" spans="20:29">
      <c r="U70" s="5"/>
      <c r="V70" s="30"/>
      <c r="W70" s="27"/>
      <c r="X70" s="5"/>
      <c r="AA70" s="5"/>
      <c r="AB70" s="27"/>
      <c r="AC70" s="26"/>
    </row>
    <row r="71" spans="20:29">
      <c r="T71" s="5"/>
      <c r="U71" s="30"/>
      <c r="V71" s="27"/>
      <c r="W71" s="5"/>
      <c r="Z71" s="5"/>
      <c r="AA71" s="27"/>
      <c r="AB71" s="26"/>
    </row>
    <row r="72" spans="20:29">
      <c r="T72" s="5"/>
      <c r="U72" s="30"/>
      <c r="V72" s="27"/>
      <c r="W72" s="5"/>
      <c r="Z72" s="5"/>
      <c r="AA72" s="27"/>
      <c r="AB72" s="26"/>
    </row>
    <row r="75" spans="20:29">
      <c r="T75" s="5"/>
      <c r="U75" s="30"/>
      <c r="V75" s="27"/>
      <c r="W75" s="5"/>
      <c r="Z75" s="5"/>
      <c r="AA75" s="27"/>
      <c r="AB75" s="26"/>
    </row>
    <row r="76" spans="20:29">
      <c r="T76" s="5"/>
      <c r="U76" s="30"/>
      <c r="V76" s="27"/>
      <c r="W76" s="5"/>
      <c r="Z76" s="5"/>
      <c r="AA76" s="27"/>
      <c r="AB76" s="26"/>
    </row>
    <row r="77" spans="20:29">
      <c r="T77" s="5"/>
      <c r="U77" s="30"/>
      <c r="V77" s="27"/>
      <c r="W77" s="5"/>
      <c r="Z77" s="5"/>
      <c r="AA77" s="27"/>
      <c r="AB77" s="26"/>
    </row>
    <row r="78" spans="20:29">
      <c r="T78" s="5"/>
      <c r="U78" s="30"/>
      <c r="V78" s="27"/>
      <c r="W78" s="5"/>
      <c r="Z78" s="5"/>
      <c r="AA78" s="27"/>
      <c r="AB78" s="26"/>
    </row>
    <row r="81" spans="20:28">
      <c r="T81" s="5"/>
      <c r="U81" s="30"/>
      <c r="V81" s="27"/>
      <c r="W81" s="5"/>
      <c r="Z81" s="5"/>
      <c r="AA81" s="27"/>
      <c r="AB81" s="26"/>
    </row>
    <row r="82" spans="20:28">
      <c r="T82" s="5"/>
      <c r="U82" s="30"/>
      <c r="V82" s="27"/>
      <c r="W82" s="5"/>
      <c r="Z82" s="5"/>
      <c r="AA82" s="27"/>
      <c r="AB82" s="26"/>
    </row>
    <row r="83" spans="20:28">
      <c r="T83" s="5"/>
      <c r="U83" s="30"/>
      <c r="V83" s="27"/>
      <c r="W83" s="5"/>
      <c r="Z83" s="5"/>
      <c r="AA83" s="27"/>
      <c r="AB83" s="26"/>
    </row>
    <row r="84" spans="20:28">
      <c r="T84" s="5"/>
      <c r="U84" s="30"/>
      <c r="V84" s="27"/>
      <c r="W84" s="5"/>
      <c r="Z84" s="5"/>
      <c r="AA84" s="27"/>
      <c r="AB84" s="26"/>
    </row>
    <row r="87" spans="20:28">
      <c r="T87" s="5"/>
      <c r="U87" s="30"/>
      <c r="V87" s="27"/>
      <c r="W87" s="5"/>
      <c r="Z87" s="5"/>
      <c r="AA87" s="27"/>
      <c r="AB87" s="26"/>
    </row>
    <row r="88" spans="20:28">
      <c r="T88" s="5"/>
      <c r="U88" s="30"/>
      <c r="V88" s="27"/>
      <c r="W88" s="5"/>
      <c r="Z88" s="5"/>
      <c r="AA88" s="27"/>
      <c r="AB88" s="26"/>
    </row>
    <row r="89" spans="20:28">
      <c r="T89" s="5"/>
      <c r="U89" s="30"/>
      <c r="V89" s="27"/>
      <c r="W89" s="5"/>
      <c r="Z89" s="5"/>
      <c r="AA89" s="27"/>
      <c r="AB89" s="26"/>
    </row>
    <row r="90" spans="20:28">
      <c r="T90" s="5"/>
      <c r="U90" s="30"/>
      <c r="V90" s="27"/>
      <c r="W90" s="5"/>
      <c r="Z90" s="5"/>
      <c r="AA90" s="27"/>
      <c r="AB90" s="26"/>
    </row>
    <row r="93" spans="20:28">
      <c r="T93" s="5"/>
      <c r="U93" s="30"/>
      <c r="V93" s="27"/>
      <c r="W93" s="5"/>
      <c r="Z93" s="5"/>
      <c r="AA93" s="27"/>
      <c r="AB93" s="26"/>
    </row>
    <row r="94" spans="20:28">
      <c r="T94" s="5"/>
      <c r="U94" s="30"/>
      <c r="V94" s="27"/>
      <c r="W94" s="5"/>
      <c r="Z94" s="5"/>
      <c r="AA94" s="27"/>
      <c r="AB94" s="26"/>
    </row>
    <row r="95" spans="20:28">
      <c r="T95" s="5"/>
      <c r="U95" s="30"/>
      <c r="V95" s="27"/>
      <c r="W95" s="5"/>
      <c r="Z95" s="5"/>
      <c r="AA95" s="27"/>
      <c r="AB95" s="26"/>
    </row>
    <row r="96" spans="20:28">
      <c r="T96" s="5"/>
      <c r="U96" s="30"/>
      <c r="V96" s="27"/>
      <c r="W96" s="5"/>
      <c r="Z96" s="5"/>
      <c r="AA96" s="27"/>
      <c r="AB96" s="2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59999389629810485"/>
    <pageSetUpPr fitToPage="1"/>
  </sheetPr>
  <dimension ref="A1:W88"/>
  <sheetViews>
    <sheetView workbookViewId="0">
      <selection activeCell="U17" sqref="U17"/>
    </sheetView>
  </sheetViews>
  <sheetFormatPr defaultRowHeight="12.75"/>
  <cols>
    <col min="4" max="4" width="12.42578125" customWidth="1"/>
    <col min="5" max="5" width="10.28515625" bestFit="1" customWidth="1"/>
    <col min="11" max="11" width="12.5703125" customWidth="1"/>
    <col min="12" max="12" width="9.28515625" bestFit="1" customWidth="1"/>
    <col min="14" max="14" width="19.5703125" customWidth="1"/>
    <col min="15" max="15" width="9.140625" customWidth="1"/>
    <col min="16" max="17" width="10.5703125" customWidth="1"/>
    <col min="20" max="20" width="14" bestFit="1" customWidth="1"/>
    <col min="21" max="21" width="12.28515625" bestFit="1" customWidth="1"/>
    <col min="22" max="23" width="11.28515625" bestFit="1" customWidth="1"/>
  </cols>
  <sheetData>
    <row r="1" spans="1:23">
      <c r="A1" t="s">
        <v>4</v>
      </c>
    </row>
    <row r="3" spans="1:23">
      <c r="A3" t="s">
        <v>997</v>
      </c>
      <c r="E3" s="459" t="s">
        <v>11</v>
      </c>
      <c r="F3" s="459" t="s">
        <v>12</v>
      </c>
    </row>
    <row r="5" spans="1:23">
      <c r="A5" s="458" t="s">
        <v>1420</v>
      </c>
    </row>
    <row r="6" spans="1:23">
      <c r="A6" s="459" t="s">
        <v>14</v>
      </c>
    </row>
    <row r="7" spans="1:23">
      <c r="E7" s="530" t="s">
        <v>222</v>
      </c>
      <c r="F7" s="530" t="s">
        <v>223</v>
      </c>
      <c r="G7" s="530" t="s">
        <v>224</v>
      </c>
      <c r="H7" s="530"/>
      <c r="O7" t="s">
        <v>998</v>
      </c>
      <c r="P7" s="530"/>
      <c r="Q7" s="530"/>
      <c r="R7" s="530"/>
    </row>
    <row r="8" spans="1:23">
      <c r="A8" t="s">
        <v>999</v>
      </c>
      <c r="E8" s="530" t="s">
        <v>1000</v>
      </c>
      <c r="F8" s="530" t="s">
        <v>1000</v>
      </c>
      <c r="G8" s="530" t="s">
        <v>1000</v>
      </c>
      <c r="H8" s="530"/>
      <c r="K8" t="s">
        <v>999</v>
      </c>
      <c r="O8" s="530" t="s">
        <v>369</v>
      </c>
      <c r="P8" s="530" t="s">
        <v>377</v>
      </c>
      <c r="Q8" s="530" t="s">
        <v>378</v>
      </c>
      <c r="R8" s="530"/>
      <c r="T8" s="530" t="s">
        <v>369</v>
      </c>
      <c r="U8" s="530" t="s">
        <v>377</v>
      </c>
      <c r="V8" s="530" t="s">
        <v>378</v>
      </c>
    </row>
    <row r="10" spans="1:23">
      <c r="B10" t="s">
        <v>1001</v>
      </c>
      <c r="E10" s="10">
        <f>+E25</f>
        <v>0.75047327990585522</v>
      </c>
      <c r="F10" s="10">
        <f>+E26</f>
        <v>6.425864165538564E-2</v>
      </c>
      <c r="G10" s="10">
        <f>+E27</f>
        <v>0.18526807843875909</v>
      </c>
      <c r="L10" t="s">
        <v>1001</v>
      </c>
      <c r="O10" s="10">
        <f t="shared" ref="O10:Q12" si="0">T10/$W10</f>
        <v>0.85461108720725432</v>
      </c>
      <c r="P10" s="10">
        <f t="shared" si="0"/>
        <v>0.10646926579235071</v>
      </c>
      <c r="Q10" s="10">
        <f t="shared" si="0"/>
        <v>3.8919647000395054E-2</v>
      </c>
      <c r="T10" s="81">
        <f>'Results of Operations Co'!J11+'Results of Operations Co'!J14+'Results of Operations Co'!J16+'Results of Operations Co'!J17</f>
        <v>2525676.88</v>
      </c>
      <c r="U10" s="81">
        <f>-'Results of Operations Co'!K12</f>
        <v>314654.19424999994</v>
      </c>
      <c r="V10" s="81">
        <f>-'Results of Operations Co'!K13</f>
        <v>115021.26999999999</v>
      </c>
      <c r="W10" s="283">
        <f>SUM(T10:V10)</f>
        <v>2955352.3442499996</v>
      </c>
    </row>
    <row r="11" spans="1:23">
      <c r="B11" t="s">
        <v>1002</v>
      </c>
      <c r="E11" s="10">
        <f>+E35</f>
        <v>0.78948540953421964</v>
      </c>
      <c r="F11" s="10">
        <f>+E36</f>
        <v>5.6703749322138557E-2</v>
      </c>
      <c r="G11" s="10">
        <f>+E37</f>
        <v>0.15381084114364182</v>
      </c>
      <c r="L11" t="s">
        <v>1002</v>
      </c>
      <c r="O11" s="10">
        <f t="shared" si="0"/>
        <v>0.83966136891985943</v>
      </c>
      <c r="P11" s="10">
        <f t="shared" si="0"/>
        <v>0.11741704371631373</v>
      </c>
      <c r="Q11" s="10">
        <f t="shared" si="0"/>
        <v>4.2921587363826876E-2</v>
      </c>
      <c r="T11" s="81">
        <f>'Results of Operations Co'!J11+'Results of Operations Co'!J16+'Results of Operations Co'!J17</f>
        <v>2250124.54</v>
      </c>
      <c r="U11" s="81">
        <f>-'Results of Operations Co'!K12</f>
        <v>314654.19424999994</v>
      </c>
      <c r="V11" s="81">
        <f>-'Results of Operations Co'!K13</f>
        <v>115021.26999999999</v>
      </c>
      <c r="W11" s="283">
        <f t="shared" ref="W11:W12" si="1">SUM(T11:V11)</f>
        <v>2679800.0042499998</v>
      </c>
    </row>
    <row r="12" spans="1:23">
      <c r="B12" t="s">
        <v>1003</v>
      </c>
      <c r="E12" s="10">
        <f>+E44</f>
        <v>0.64718647331854706</v>
      </c>
      <c r="F12" s="10">
        <f>+E45</f>
        <v>0.11289809645522393</v>
      </c>
      <c r="G12" s="10">
        <f>+E46</f>
        <v>0.23991543022622899</v>
      </c>
      <c r="L12" t="s">
        <v>1004</v>
      </c>
      <c r="O12" s="10">
        <f t="shared" si="0"/>
        <v>0.85840220200866957</v>
      </c>
      <c r="P12" s="10">
        <f t="shared" si="0"/>
        <v>0.10351355878439257</v>
      </c>
      <c r="Q12" s="10">
        <f t="shared" si="0"/>
        <v>3.8084239206937903E-2</v>
      </c>
      <c r="T12" s="80">
        <f>'Service Counts'!I75+'Service Counts'!R75+'Service Counts'!AA75</f>
        <v>69061.228521939949</v>
      </c>
      <c r="U12" s="80">
        <f>'Bridgeport Service Counts'!P31</f>
        <v>8328</v>
      </c>
      <c r="V12" s="80">
        <f>'Pateros Service Counts'!P35</f>
        <v>3064</v>
      </c>
      <c r="W12" s="740">
        <f t="shared" si="1"/>
        <v>80453.228521939949</v>
      </c>
    </row>
    <row r="13" spans="1:23">
      <c r="B13" t="s">
        <v>1005</v>
      </c>
      <c r="E13" s="10">
        <f>+E55</f>
        <v>0.87404037531987488</v>
      </c>
      <c r="F13" s="10">
        <f>+E56</f>
        <v>6.2553312482229173E-2</v>
      </c>
      <c r="G13" s="10">
        <f>+E57</f>
        <v>6.3406312197895928E-2</v>
      </c>
      <c r="L13" s="304" t="s">
        <v>1006</v>
      </c>
      <c r="M13" s="304"/>
      <c r="O13" s="10">
        <f>'Monthly Data-Container Count'!X16+'Monthly Data-Container Count'!X17+'Monthly Data-Container Count'!X18</f>
        <v>0.84022346368715084</v>
      </c>
      <c r="P13" s="10">
        <f>'Monthly Data-Container Count'!X14</f>
        <v>0.11572226656025539</v>
      </c>
      <c r="Q13" s="10">
        <f>'Monthly Data-Container Count'!X15</f>
        <v>4.4054269752593772E-2</v>
      </c>
      <c r="T13" s="81"/>
      <c r="U13" s="81"/>
      <c r="V13" s="81"/>
      <c r="W13" s="283"/>
    </row>
    <row r="14" spans="1:23">
      <c r="B14" t="s">
        <v>244</v>
      </c>
      <c r="E14" s="10">
        <f>+E65</f>
        <v>0.77784734558373858</v>
      </c>
      <c r="F14" s="10">
        <f>+E66</f>
        <v>7.1729261513471892E-2</v>
      </c>
      <c r="G14" s="10">
        <f>+E67</f>
        <v>0.15042339290278953</v>
      </c>
      <c r="L14" t="s">
        <v>244</v>
      </c>
      <c r="O14" s="10">
        <f>'Allocations-Hours &amp; Miles'!D25</f>
        <v>0.87268768866286206</v>
      </c>
      <c r="P14" s="10">
        <f>'Allocations-Hours &amp; Miles'!E25</f>
        <v>9.2241138316527235E-2</v>
      </c>
      <c r="Q14" s="10">
        <f>'Allocations-Hours &amp; Miles'!F25</f>
        <v>3.507117302061067E-2</v>
      </c>
      <c r="T14" s="81"/>
      <c r="U14" s="81"/>
      <c r="V14" s="81"/>
      <c r="W14" s="283"/>
    </row>
    <row r="15" spans="1:23">
      <c r="B15" t="s">
        <v>1007</v>
      </c>
      <c r="E15" s="10">
        <f>+E74</f>
        <v>0.76655049245878493</v>
      </c>
      <c r="F15" s="10">
        <f>+E75</f>
        <v>8.2388018966215629E-2</v>
      </c>
      <c r="G15" s="10">
        <f>+E76</f>
        <v>0.15106148857499951</v>
      </c>
      <c r="L15" s="459" t="s">
        <v>1008</v>
      </c>
      <c r="O15" s="10">
        <f>'Allocations-Hours &amp; Miles'!D47</f>
        <v>0.87895963353755824</v>
      </c>
      <c r="P15" s="10">
        <f>'Allocations-Hours &amp; Miles'!E47</f>
        <v>8.7150015802360078E-2</v>
      </c>
      <c r="Q15" s="10">
        <f>'Allocations-Hours &amp; Miles'!F47</f>
        <v>3.3890350660081711E-2</v>
      </c>
      <c r="T15" s="81"/>
      <c r="U15" s="81"/>
      <c r="V15" s="81"/>
      <c r="W15" s="283"/>
    </row>
    <row r="16" spans="1:23">
      <c r="B16" t="s">
        <v>255</v>
      </c>
      <c r="E16" s="123">
        <f>+E83</f>
        <v>0.68919433283992393</v>
      </c>
      <c r="F16" s="123">
        <f>+E84</f>
        <v>8.8151124268696687E-2</v>
      </c>
      <c r="G16" s="123">
        <f>+E85</f>
        <v>0.22265454289137943</v>
      </c>
      <c r="L16" t="s">
        <v>255</v>
      </c>
      <c r="O16" s="123">
        <f>'Allocations-Hours &amp; Miles'!D71</f>
        <v>0.86917365093368626</v>
      </c>
      <c r="P16" s="123">
        <f>'Allocations-Hours &amp; Miles'!E71</f>
        <v>8.6641670342596677E-2</v>
      </c>
      <c r="Q16" s="123">
        <f>'Allocations-Hours &amp; Miles'!F71</f>
        <v>4.4184678723717098E-2</v>
      </c>
      <c r="T16" s="81"/>
      <c r="U16" s="81"/>
      <c r="V16" s="81"/>
      <c r="W16" s="283"/>
    </row>
    <row r="18" spans="1:23">
      <c r="E18" s="37">
        <f>SUM(E10:E16)</f>
        <v>5.294777708960944</v>
      </c>
      <c r="F18" s="37">
        <f>SUM(F10:F16)</f>
        <v>0.53868220466336147</v>
      </c>
      <c r="G18" s="37">
        <f>SUM(G10:G16)</f>
        <v>1.1665400863756941</v>
      </c>
      <c r="H18" s="37">
        <f>SUM(E18:G18)</f>
        <v>7</v>
      </c>
      <c r="O18" s="37">
        <f>SUM(O10:O16)</f>
        <v>6.0137190949570414</v>
      </c>
      <c r="P18" s="37">
        <f>SUM(P10:P16)</f>
        <v>0.70915495931479633</v>
      </c>
      <c r="Q18" s="37">
        <f>SUM(Q10:Q16)</f>
        <v>0.27712594572816307</v>
      </c>
      <c r="R18" s="37">
        <f>SUM(O18:Q18)</f>
        <v>7.0000000000000009</v>
      </c>
    </row>
    <row r="19" spans="1:23" ht="13.5" thickBot="1">
      <c r="E19" s="9"/>
      <c r="F19" s="9"/>
      <c r="G19" s="9"/>
      <c r="H19" s="723"/>
      <c r="O19" s="9"/>
      <c r="P19" s="9"/>
      <c r="Q19" s="9"/>
      <c r="R19" s="723"/>
    </row>
    <row r="20" spans="1:23" ht="13.5" thickBot="1">
      <c r="C20" t="s">
        <v>1009</v>
      </c>
      <c r="E20" s="128">
        <f>+E18/H18</f>
        <v>0.75639681556584915</v>
      </c>
      <c r="F20" s="128">
        <f>+F18/H18</f>
        <v>7.69546006661945E-2</v>
      </c>
      <c r="G20" s="128">
        <f>+G18/H18</f>
        <v>0.1666485837679563</v>
      </c>
      <c r="H20" s="127">
        <f>SUM(E20:G20)</f>
        <v>1</v>
      </c>
      <c r="M20" t="s">
        <v>1009</v>
      </c>
      <c r="O20" s="128">
        <f>+O18/R18</f>
        <v>0.85910272785100583</v>
      </c>
      <c r="P20" s="128">
        <f>+P18/R18</f>
        <v>0.10130785133068518</v>
      </c>
      <c r="Q20" s="128">
        <f>+Q18/R18</f>
        <v>3.9589420818309004E-2</v>
      </c>
      <c r="R20" s="127">
        <f>SUM(O20:Q20)</f>
        <v>1</v>
      </c>
    </row>
    <row r="23" spans="1:23">
      <c r="A23" t="s">
        <v>1010</v>
      </c>
      <c r="K23" s="459" t="s">
        <v>1011</v>
      </c>
      <c r="O23" s="459" t="s">
        <v>369</v>
      </c>
      <c r="P23" s="459" t="s">
        <v>1012</v>
      </c>
      <c r="Q23" s="459" t="s">
        <v>220</v>
      </c>
      <c r="T23" s="459"/>
      <c r="U23" s="459"/>
      <c r="V23" s="459"/>
    </row>
    <row r="25" spans="1:23" ht="13.5" thickBot="1">
      <c r="A25" t="s">
        <v>1013</v>
      </c>
      <c r="D25" s="5">
        <f>+'Service Counts'!J72</f>
        <v>1788298.1689999993</v>
      </c>
      <c r="E25" s="10">
        <f>+D25/D29</f>
        <v>0.75047327990585522</v>
      </c>
      <c r="J25" s="5"/>
      <c r="K25" s="10"/>
      <c r="L25" s="459" t="s">
        <v>1008</v>
      </c>
      <c r="O25" s="11">
        <f>'Allocations-Hours &amp; Miles'!I47</f>
        <v>0.91044116595871882</v>
      </c>
      <c r="P25" s="11">
        <f>'Allocations-Hours &amp; Miles'!K47</f>
        <v>6.619222246530479E-2</v>
      </c>
      <c r="Q25" s="11">
        <f>'Allocations-Hours &amp; Miles'!J47</f>
        <v>2.3366611575976415E-2</v>
      </c>
      <c r="T25" s="81"/>
      <c r="U25" s="81"/>
      <c r="V25" s="81"/>
      <c r="W25" s="788"/>
    </row>
    <row r="26" spans="1:23">
      <c r="A26" t="s">
        <v>223</v>
      </c>
      <c r="D26" s="5">
        <f>+'Service Counts'!S72</f>
        <v>153121.52250000002</v>
      </c>
      <c r="E26" s="10">
        <f>+D26/D29</f>
        <v>6.425864165538564E-2</v>
      </c>
      <c r="J26" s="5"/>
      <c r="K26" s="10"/>
      <c r="T26" s="80"/>
      <c r="U26" s="26"/>
      <c r="W26" s="505"/>
    </row>
    <row r="27" spans="1:23">
      <c r="A27" t="s">
        <v>224</v>
      </c>
      <c r="D27" s="38">
        <f>+'Service Counts'!AB72</f>
        <v>441474.16612586606</v>
      </c>
      <c r="E27" s="123">
        <f>+D27/D29</f>
        <v>0.18526807843875909</v>
      </c>
      <c r="J27" s="5"/>
      <c r="K27" s="10"/>
    </row>
    <row r="28" spans="1:23">
      <c r="D28" s="5"/>
      <c r="E28" s="10"/>
      <c r="J28" s="5"/>
      <c r="K28" s="10"/>
      <c r="O28" s="9"/>
      <c r="P28" s="9"/>
      <c r="Q28" s="9"/>
      <c r="R28" s="9"/>
    </row>
    <row r="29" spans="1:23" ht="13.5" thickBot="1">
      <c r="D29" s="7">
        <f>SUM(D25:D27)</f>
        <v>2382893.8576258654</v>
      </c>
      <c r="E29" s="13">
        <f>SUM(E25:E27)</f>
        <v>1</v>
      </c>
      <c r="J29" s="5"/>
      <c r="K29" s="10"/>
      <c r="O29" s="9"/>
      <c r="P29" s="9"/>
      <c r="Q29" s="9"/>
      <c r="R29" s="9"/>
    </row>
    <row r="30" spans="1:23" ht="13.5" thickTop="1">
      <c r="O30" s="10"/>
      <c r="P30" s="10"/>
      <c r="Q30" s="10"/>
      <c r="R30" s="9"/>
    </row>
    <row r="32" spans="1:23">
      <c r="H32" t="s">
        <v>1014</v>
      </c>
    </row>
    <row r="33" spans="1:12">
      <c r="A33" t="s">
        <v>1015</v>
      </c>
      <c r="H33" t="s">
        <v>1016</v>
      </c>
    </row>
    <row r="35" spans="1:12">
      <c r="A35" t="s">
        <v>1013</v>
      </c>
      <c r="D35" s="5">
        <f>SUM('Service Counts'!J10:J50)+SUM('Service Counts'!J69:J70)</f>
        <v>1664142.9189999995</v>
      </c>
      <c r="E35" s="10">
        <f>+D35/D39</f>
        <v>0.78948540953421964</v>
      </c>
      <c r="H35" t="s">
        <v>1013</v>
      </c>
      <c r="K35" s="5">
        <f>SUM('Service Counts'!J10:J50)+SUM('Service Counts'!J69:J70)+'Proforma AJEs'!$G$52</f>
        <v>1664142.9189999995</v>
      </c>
      <c r="L35" s="10">
        <f>+K35/K39</f>
        <v>0.78948540953421964</v>
      </c>
    </row>
    <row r="36" spans="1:12">
      <c r="A36" t="s">
        <v>223</v>
      </c>
      <c r="D36" s="5">
        <f>SUM('Service Counts'!S10:S50)+SUM('Service Counts'!S69:S70)</f>
        <v>119524.87250000003</v>
      </c>
      <c r="E36" s="10">
        <f>+D36/D39</f>
        <v>5.6703749322138557E-2</v>
      </c>
      <c r="H36" t="s">
        <v>223</v>
      </c>
      <c r="K36" s="5">
        <f>SUM('Service Counts'!S10:S50)+SUM('Service Counts'!S69:S70)+'Proforma AJEs'!$G$53</f>
        <v>119524.87250000003</v>
      </c>
      <c r="L36" s="10">
        <f>+K36/K39</f>
        <v>5.6703749322138557E-2</v>
      </c>
    </row>
    <row r="37" spans="1:12">
      <c r="A37" t="s">
        <v>224</v>
      </c>
      <c r="D37" s="38">
        <f>SUM('Service Counts'!AB10:AB50)+SUM('Service Counts'!AB69:AB70)</f>
        <v>324215.26612586604</v>
      </c>
      <c r="E37" s="123">
        <f>+D37/D39</f>
        <v>0.15381084114364182</v>
      </c>
      <c r="H37" t="s">
        <v>224</v>
      </c>
      <c r="K37" s="38">
        <f>SUM('Service Counts'!AB10:AB50)+SUM('Service Counts'!AB69:AB70)+'Proforma AJEs'!$G$54</f>
        <v>324215.26612586604</v>
      </c>
      <c r="L37" s="123">
        <f>+K37/K39</f>
        <v>0.15381084114364182</v>
      </c>
    </row>
    <row r="38" spans="1:12">
      <c r="D38" s="5"/>
      <c r="E38" s="10"/>
      <c r="K38" s="5"/>
      <c r="L38" s="10"/>
    </row>
    <row r="39" spans="1:12" ht="13.5" thickBot="1">
      <c r="D39" s="7">
        <f>SUM(D35:D37)</f>
        <v>2107883.0576258656</v>
      </c>
      <c r="E39" s="13">
        <f>SUM(E35:E37)</f>
        <v>1</v>
      </c>
      <c r="K39" s="7">
        <f>SUM(K35:K37)</f>
        <v>2107883.0576258656</v>
      </c>
      <c r="L39" s="13">
        <f>SUM(L35:L37)</f>
        <v>1</v>
      </c>
    </row>
    <row r="40" spans="1:12" ht="13.5" thickTop="1"/>
    <row r="42" spans="1:12">
      <c r="A42" s="459" t="s">
        <v>1017</v>
      </c>
    </row>
    <row r="44" spans="1:12">
      <c r="A44" t="s">
        <v>1013</v>
      </c>
      <c r="D44" s="26">
        <f>+'Service Counts'!I72</f>
        <v>73973.399999999994</v>
      </c>
      <c r="E44" s="10">
        <f>+D44/D48</f>
        <v>0.64718647331854706</v>
      </c>
    </row>
    <row r="45" spans="1:12">
      <c r="A45" t="s">
        <v>223</v>
      </c>
      <c r="D45" s="26">
        <f>+'Service Counts'!R72</f>
        <v>12904.25</v>
      </c>
      <c r="E45" s="10">
        <f>+D45/D48</f>
        <v>0.11289809645522393</v>
      </c>
    </row>
    <row r="46" spans="1:12">
      <c r="A46" t="s">
        <v>224</v>
      </c>
      <c r="D46" s="126">
        <f>+'Service Counts'!AA72</f>
        <v>27422.328521939955</v>
      </c>
      <c r="E46" s="123">
        <f>+D46/D48</f>
        <v>0.23991543022622899</v>
      </c>
    </row>
    <row r="47" spans="1:12">
      <c r="D47" s="26"/>
      <c r="E47" s="10"/>
    </row>
    <row r="48" spans="1:12" ht="13.5" thickBot="1">
      <c r="D48" s="125">
        <f>SUM(D44:D46)</f>
        <v>114299.97852193995</v>
      </c>
      <c r="E48" s="13">
        <f>SUM(E44:E46)</f>
        <v>1</v>
      </c>
    </row>
    <row r="49" spans="1:5" ht="13.5" thickTop="1"/>
    <row r="52" spans="1:5">
      <c r="A52" s="285" t="s">
        <v>1018</v>
      </c>
      <c r="B52" s="285"/>
      <c r="C52" s="285"/>
    </row>
    <row r="53" spans="1:5">
      <c r="A53" t="s">
        <v>1409</v>
      </c>
    </row>
    <row r="55" spans="1:5">
      <c r="A55" t="s">
        <v>1013</v>
      </c>
      <c r="D55" s="503">
        <f>+'General Data'!$D$33</f>
        <v>3074</v>
      </c>
      <c r="E55" s="10">
        <f>+D55/D59</f>
        <v>0.87404037531987488</v>
      </c>
    </row>
    <row r="56" spans="1:5">
      <c r="A56" t="s">
        <v>223</v>
      </c>
      <c r="D56" s="503">
        <f>+'General Data'!$D$34</f>
        <v>220</v>
      </c>
      <c r="E56" s="10">
        <f>+D56/D59</f>
        <v>6.2553312482229173E-2</v>
      </c>
    </row>
    <row r="57" spans="1:5">
      <c r="A57" t="s">
        <v>224</v>
      </c>
      <c r="D57" s="504">
        <f>+'General Data'!$D$35</f>
        <v>223</v>
      </c>
      <c r="E57" s="123">
        <f>+D57/D59</f>
        <v>6.3406312197895928E-2</v>
      </c>
    </row>
    <row r="58" spans="1:5">
      <c r="D58" s="74"/>
      <c r="E58" s="10"/>
    </row>
    <row r="59" spans="1:5" ht="13.5" thickBot="1">
      <c r="D59" s="124">
        <f>SUM(D55:D57)</f>
        <v>3517</v>
      </c>
      <c r="E59" s="13">
        <f>SUM(E55:E57)</f>
        <v>1</v>
      </c>
    </row>
    <row r="60" spans="1:5" ht="13.5" thickTop="1"/>
    <row r="63" spans="1:5">
      <c r="A63" t="s">
        <v>863</v>
      </c>
    </row>
    <row r="65" spans="1:5">
      <c r="A65" t="s">
        <v>1013</v>
      </c>
      <c r="D65" s="42">
        <f>+'Hours &amp; Miles by County'!D23</f>
        <v>4807.8899999999994</v>
      </c>
      <c r="E65" s="10">
        <f>+D65/D69</f>
        <v>0.77784734558373858</v>
      </c>
    </row>
    <row r="66" spans="1:5">
      <c r="A66" t="s">
        <v>223</v>
      </c>
      <c r="D66" s="42">
        <f>+'Hours &amp; Miles by County'!E23</f>
        <v>443.36</v>
      </c>
      <c r="E66" s="10">
        <f>+D66/D69</f>
        <v>7.1729261513471892E-2</v>
      </c>
    </row>
    <row r="67" spans="1:5">
      <c r="A67" t="s">
        <v>224</v>
      </c>
      <c r="D67" s="56">
        <f>+'Hours &amp; Miles by County'!F23</f>
        <v>929.7700000000001</v>
      </c>
      <c r="E67" s="123">
        <f>+D67/D69</f>
        <v>0.15042339290278953</v>
      </c>
    </row>
    <row r="68" spans="1:5">
      <c r="D68" s="42"/>
      <c r="E68" s="10"/>
    </row>
    <row r="69" spans="1:5" ht="13.5" thickBot="1">
      <c r="D69" s="122">
        <f>SUM(D65:D67)</f>
        <v>6181.0199999999995</v>
      </c>
      <c r="E69" s="13">
        <f>SUM(E65:E67)</f>
        <v>1</v>
      </c>
    </row>
    <row r="70" spans="1:5" ht="13.5" thickTop="1"/>
    <row r="72" spans="1:5">
      <c r="A72" s="459" t="s">
        <v>1019</v>
      </c>
    </row>
    <row r="74" spans="1:5">
      <c r="A74" t="s">
        <v>1013</v>
      </c>
      <c r="D74" s="42">
        <f>+'Hours &amp; Miles by County'!D44</f>
        <v>7077.76</v>
      </c>
      <c r="E74" s="10">
        <f>+D74/D78</f>
        <v>0.76655049245878493</v>
      </c>
    </row>
    <row r="75" spans="1:5">
      <c r="A75" t="s">
        <v>223</v>
      </c>
      <c r="D75" s="42">
        <f>+'Hours &amp; Miles by County'!E44</f>
        <v>760.71000000000015</v>
      </c>
      <c r="E75" s="10">
        <f>+D75/D78</f>
        <v>8.2388018966215629E-2</v>
      </c>
    </row>
    <row r="76" spans="1:5">
      <c r="A76" t="s">
        <v>224</v>
      </c>
      <c r="D76" s="56">
        <f>+'Hours &amp; Miles by County'!F44</f>
        <v>1394.79</v>
      </c>
      <c r="E76" s="123">
        <f>+D76/D78</f>
        <v>0.15106148857499951</v>
      </c>
    </row>
    <row r="77" spans="1:5">
      <c r="D77" s="42"/>
      <c r="E77" s="10"/>
    </row>
    <row r="78" spans="1:5" ht="13.5" thickBot="1">
      <c r="D78" s="122">
        <f>SUM(D74:D76)</f>
        <v>9233.26</v>
      </c>
      <c r="E78" s="13">
        <f>SUM(E74:E76)</f>
        <v>1</v>
      </c>
    </row>
    <row r="79" spans="1:5" ht="13.5" thickTop="1"/>
    <row r="81" spans="1:5">
      <c r="A81" t="s">
        <v>869</v>
      </c>
    </row>
    <row r="83" spans="1:5">
      <c r="A83" t="s">
        <v>1013</v>
      </c>
      <c r="D83" s="42">
        <f>+'Hours &amp; Miles by County'!D66</f>
        <v>48888</v>
      </c>
      <c r="E83" s="10">
        <f>+D83/D87</f>
        <v>0.68919433283992393</v>
      </c>
    </row>
    <row r="84" spans="1:5">
      <c r="A84" t="s">
        <v>223</v>
      </c>
      <c r="D84" s="42">
        <f>+'Hours &amp; Miles by County'!E66</f>
        <v>6253</v>
      </c>
      <c r="E84" s="10">
        <f>+D84/D87</f>
        <v>8.8151124268696687E-2</v>
      </c>
    </row>
    <row r="85" spans="1:5">
      <c r="A85" t="s">
        <v>224</v>
      </c>
      <c r="D85" s="56">
        <f>+'Hours &amp; Miles by County'!F66</f>
        <v>15794</v>
      </c>
      <c r="E85" s="123">
        <f>+D85/D87</f>
        <v>0.22265454289137943</v>
      </c>
    </row>
    <row r="86" spans="1:5">
      <c r="D86" s="42"/>
      <c r="E86" s="10"/>
    </row>
    <row r="87" spans="1:5" ht="13.5" thickBot="1">
      <c r="D87" s="122">
        <f>SUM(D83:D85)</f>
        <v>70935</v>
      </c>
      <c r="E87" s="13">
        <f>SUM(E83:E85)</f>
        <v>1</v>
      </c>
    </row>
    <row r="88" spans="1:5" ht="13.5" thickTop="1"/>
  </sheetData>
  <pageMargins left="0.2" right="0.3" top="0.49" bottom="0.49" header="0.5" footer="0.5"/>
  <pageSetup scale="49" orientation="landscape" horizontalDpi="4294967293" vertic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59999389629810485"/>
    <pageSetUpPr fitToPage="1"/>
  </sheetPr>
  <dimension ref="A1:G69"/>
  <sheetViews>
    <sheetView topLeftCell="A25" workbookViewId="0">
      <selection activeCell="G16" sqref="G16:G17"/>
    </sheetView>
  </sheetViews>
  <sheetFormatPr defaultRowHeight="12.75"/>
  <cols>
    <col min="3" max="3" width="10" customWidth="1"/>
    <col min="4" max="4" width="9.42578125" customWidth="1"/>
    <col min="5" max="6" width="10" customWidth="1"/>
  </cols>
  <sheetData>
    <row r="1" spans="1:7">
      <c r="A1" t="s">
        <v>4</v>
      </c>
    </row>
    <row r="3" spans="1:7">
      <c r="A3" t="s">
        <v>861</v>
      </c>
      <c r="F3" s="459" t="s">
        <v>11</v>
      </c>
      <c r="G3" s="459" t="s">
        <v>12</v>
      </c>
    </row>
    <row r="5" spans="1:7">
      <c r="A5" s="458" t="s">
        <v>1420</v>
      </c>
    </row>
    <row r="8" spans="1:7" ht="13.5" thickBot="1">
      <c r="A8" t="s">
        <v>863</v>
      </c>
      <c r="C8" s="18" t="s">
        <v>27</v>
      </c>
      <c r="D8" s="18" t="s">
        <v>222</v>
      </c>
      <c r="E8" s="18" t="s">
        <v>223</v>
      </c>
      <c r="F8" s="18" t="s">
        <v>224</v>
      </c>
    </row>
    <row r="9" spans="1:7">
      <c r="E9" s="16"/>
    </row>
    <row r="10" spans="1:7">
      <c r="A10" t="str">
        <f>+'Monthly Data-Hours &amp; Miles'!$C$24</f>
        <v>July</v>
      </c>
      <c r="C10" s="16">
        <f t="shared" ref="C10:C21" si="0">+D10+E10+F10</f>
        <v>620.71</v>
      </c>
      <c r="D10" s="16">
        <f>+'Monthly Data-Hours &amp; Miles'!C$28</f>
        <v>486.45</v>
      </c>
      <c r="E10" s="16">
        <f>+'Monthly Data-Hours &amp; Miles'!C$29</f>
        <v>35</v>
      </c>
      <c r="F10" s="16">
        <f>+'Monthly Data-Hours &amp; Miles'!C$30</f>
        <v>99.26</v>
      </c>
    </row>
    <row r="11" spans="1:7">
      <c r="A11" t="str">
        <f>+'Monthly Data-Hours &amp; Miles'!$D$24</f>
        <v>August</v>
      </c>
      <c r="C11" s="16">
        <f t="shared" si="0"/>
        <v>638.67999999999995</v>
      </c>
      <c r="D11" s="16">
        <f>+'Monthly Data-Hours &amp; Miles'!D$28</f>
        <v>488.33</v>
      </c>
      <c r="E11" s="16">
        <f>+'Monthly Data-Hours &amp; Miles'!D$29</f>
        <v>40.61</v>
      </c>
      <c r="F11" s="16">
        <f>+'Monthly Data-Hours &amp; Miles'!D$30</f>
        <v>109.74</v>
      </c>
    </row>
    <row r="12" spans="1:7">
      <c r="A12" t="str">
        <f>+'Monthly Data-Hours &amp; Miles'!$E$24</f>
        <v>September</v>
      </c>
      <c r="C12" s="16">
        <f t="shared" si="0"/>
        <v>544.57000000000005</v>
      </c>
      <c r="D12" s="16">
        <f>+'Monthly Data-Hours &amp; Miles'!E$28</f>
        <v>409.67</v>
      </c>
      <c r="E12" s="16">
        <f>+'Monthly Data-Hours &amp; Miles'!E$29</f>
        <v>37.11</v>
      </c>
      <c r="F12" s="16">
        <f>+'Monthly Data-Hours &amp; Miles'!E$30</f>
        <v>97.79</v>
      </c>
    </row>
    <row r="13" spans="1:7">
      <c r="A13" t="str">
        <f>+'Monthly Data-Hours &amp; Miles'!$F$24</f>
        <v>October</v>
      </c>
      <c r="C13" s="16">
        <f t="shared" si="0"/>
        <v>558.02</v>
      </c>
      <c r="D13" s="16">
        <f>+'Monthly Data-Hours &amp; Miles'!F$28</f>
        <v>407.59</v>
      </c>
      <c r="E13" s="16">
        <f>+'Monthly Data-Hours &amp; Miles'!F$29</f>
        <v>40.74</v>
      </c>
      <c r="F13" s="16">
        <f>+'Monthly Data-Hours &amp; Miles'!F$30</f>
        <v>109.69</v>
      </c>
    </row>
    <row r="14" spans="1:7">
      <c r="A14" t="str">
        <f>+'Monthly Data-Hours &amp; Miles'!$G$24</f>
        <v>November</v>
      </c>
      <c r="C14" s="16">
        <f t="shared" si="0"/>
        <v>496.12</v>
      </c>
      <c r="D14" s="16">
        <f>+'Monthly Data-Hours &amp; Miles'!G$28</f>
        <v>384.25</v>
      </c>
      <c r="E14" s="16">
        <f>+'Monthly Data-Hours &amp; Miles'!G$29</f>
        <v>34.49</v>
      </c>
      <c r="F14" s="16">
        <f>+'Monthly Data-Hours &amp; Miles'!G$30</f>
        <v>77.38</v>
      </c>
    </row>
    <row r="15" spans="1:7">
      <c r="A15" t="str">
        <f>+'Monthly Data-Hours &amp; Miles'!$H$24</f>
        <v>December</v>
      </c>
      <c r="C15" s="16">
        <f t="shared" si="0"/>
        <v>411.96000000000004</v>
      </c>
      <c r="D15" s="16">
        <f>+'Monthly Data-Hours &amp; Miles'!H$28</f>
        <v>319.75</v>
      </c>
      <c r="E15" s="16">
        <f>+'Monthly Data-Hours &amp; Miles'!H$29</f>
        <v>33.549999999999997</v>
      </c>
      <c r="F15" s="16">
        <f>+'Monthly Data-Hours &amp; Miles'!H$30</f>
        <v>58.66</v>
      </c>
    </row>
    <row r="16" spans="1:7">
      <c r="A16" t="str">
        <f>+'Monthly Data-Hours &amp; Miles'!$I$24</f>
        <v>January</v>
      </c>
      <c r="C16" s="16">
        <f t="shared" si="0"/>
        <v>487.39</v>
      </c>
      <c r="D16" s="16">
        <f>+'Monthly Data-Hours &amp; Miles'!I$28</f>
        <v>393.5</v>
      </c>
      <c r="E16" s="16">
        <f>+'Monthly Data-Hours &amp; Miles'!I$29</f>
        <v>38.770000000000003</v>
      </c>
      <c r="F16" s="16">
        <f>+'Monthly Data-Hours &amp; Miles'!I$30</f>
        <v>55.12</v>
      </c>
    </row>
    <row r="17" spans="1:6">
      <c r="A17" t="str">
        <f>+'Monthly Data-Hours &amp; Miles'!$J$24</f>
        <v>February</v>
      </c>
      <c r="C17" s="16">
        <f t="shared" si="0"/>
        <v>432.11</v>
      </c>
      <c r="D17" s="16">
        <f>+'Monthly Data-Hours &amp; Miles'!J$28</f>
        <v>346.75</v>
      </c>
      <c r="E17" s="16">
        <f>+'Monthly Data-Hours &amp; Miles'!J$29</f>
        <v>32.229999999999997</v>
      </c>
      <c r="F17" s="16">
        <f>+'Monthly Data-Hours &amp; Miles'!J$30</f>
        <v>53.13</v>
      </c>
    </row>
    <row r="18" spans="1:6">
      <c r="A18" t="str">
        <f>+'Monthly Data-Hours &amp; Miles'!$K$24</f>
        <v>March</v>
      </c>
      <c r="C18" s="16">
        <f t="shared" si="0"/>
        <v>433.33</v>
      </c>
      <c r="D18" s="16">
        <f>+'Monthly Data-Hours &amp; Miles'!K$28</f>
        <v>343.5</v>
      </c>
      <c r="E18" s="16">
        <f>+'Monthly Data-Hours &amp; Miles'!K$29</f>
        <v>34.82</v>
      </c>
      <c r="F18" s="16">
        <f>+'Monthly Data-Hours &amp; Miles'!K$30</f>
        <v>55.01</v>
      </c>
    </row>
    <row r="19" spans="1:6">
      <c r="A19" t="str">
        <f>+'Monthly Data-Hours &amp; Miles'!$L$24</f>
        <v>April</v>
      </c>
      <c r="C19" s="16">
        <f t="shared" si="0"/>
        <v>489.27</v>
      </c>
      <c r="D19" s="16">
        <f>+'Monthly Data-Hours &amp; Miles'!L$28</f>
        <v>377.08</v>
      </c>
      <c r="E19" s="16">
        <f>+'Monthly Data-Hours &amp; Miles'!L$29</f>
        <v>41.22</v>
      </c>
      <c r="F19" s="16">
        <f>+'Monthly Data-Hours &amp; Miles'!L$30</f>
        <v>70.97</v>
      </c>
    </row>
    <row r="20" spans="1:6">
      <c r="A20" t="str">
        <f>+'Monthly Data-Hours &amp; Miles'!$M$24</f>
        <v>May</v>
      </c>
      <c r="C20" s="16">
        <f t="shared" si="0"/>
        <v>553.73</v>
      </c>
      <c r="D20" s="16">
        <f>+'Monthly Data-Hours &amp; Miles'!M$28</f>
        <v>453.5</v>
      </c>
      <c r="E20" s="16">
        <f>+'Monthly Data-Hours &amp; Miles'!M$29</f>
        <v>37.54</v>
      </c>
      <c r="F20" s="16">
        <f>+'Monthly Data-Hours &amp; Miles'!M$30</f>
        <v>62.69</v>
      </c>
    </row>
    <row r="21" spans="1:6">
      <c r="A21" t="str">
        <f>+'Monthly Data-Hours &amp; Miles'!$N$24</f>
        <v>June</v>
      </c>
      <c r="C21" s="17">
        <f t="shared" si="0"/>
        <v>515.13</v>
      </c>
      <c r="D21" s="17">
        <f>+'Monthly Data-Hours &amp; Miles'!N$28</f>
        <v>397.52</v>
      </c>
      <c r="E21" s="17">
        <f>+'Monthly Data-Hours &amp; Miles'!N$29</f>
        <v>37.28</v>
      </c>
      <c r="F21" s="17">
        <f>+'Monthly Data-Hours &amp; Miles'!N$30</f>
        <v>80.33</v>
      </c>
    </row>
    <row r="23" spans="1:6" ht="13.5" thickBot="1">
      <c r="B23" t="s">
        <v>112</v>
      </c>
      <c r="C23" s="19">
        <f>SUM(C10:C21)</f>
        <v>6181.0199999999995</v>
      </c>
      <c r="D23" s="19">
        <f>SUM(D10:D21)</f>
        <v>4807.8899999999994</v>
      </c>
      <c r="E23" s="19">
        <f>SUM(E10:E21)</f>
        <v>443.36</v>
      </c>
      <c r="F23" s="19">
        <f>SUM(F10:F21)</f>
        <v>929.7700000000001</v>
      </c>
    </row>
    <row r="24" spans="1:6" ht="13.5" thickTop="1"/>
    <row r="25" spans="1:6" ht="13.5" thickBot="1">
      <c r="B25" t="s">
        <v>392</v>
      </c>
      <c r="C25" s="13">
        <f>SUM(D25:F25)</f>
        <v>1</v>
      </c>
      <c r="D25" s="13">
        <f>+D23/C23</f>
        <v>0.77784734558373858</v>
      </c>
      <c r="E25" s="13">
        <f>+E23/C23</f>
        <v>7.1729261513471892E-2</v>
      </c>
      <c r="F25" s="13">
        <f>+F23/C23</f>
        <v>0.15042339290278953</v>
      </c>
    </row>
    <row r="26" spans="1:6" ht="13.5" thickTop="1"/>
    <row r="29" spans="1:6" ht="13.5" thickBot="1">
      <c r="A29" t="s">
        <v>864</v>
      </c>
      <c r="C29" s="18" t="s">
        <v>27</v>
      </c>
      <c r="D29" s="18" t="s">
        <v>222</v>
      </c>
      <c r="E29" s="18" t="s">
        <v>223</v>
      </c>
      <c r="F29" s="18" t="s">
        <v>224</v>
      </c>
    </row>
    <row r="30" spans="1:6">
      <c r="E30" s="16"/>
    </row>
    <row r="31" spans="1:6">
      <c r="A31" t="str">
        <f>+'Monthly Data-Hours &amp; Miles'!$C$24</f>
        <v>July</v>
      </c>
      <c r="C31" s="16">
        <f t="shared" ref="C31:C37" si="1">+D31+E31+F31</f>
        <v>992.09</v>
      </c>
      <c r="D31" s="16">
        <f>+'Monthly Data-Hours &amp; Miles'!$C$63</f>
        <v>788.75</v>
      </c>
      <c r="E31" s="16">
        <f>+'Monthly Data-Hours &amp; Miles'!$C$64</f>
        <v>61</v>
      </c>
      <c r="F31" s="16">
        <f>+'Monthly Data-Hours &amp; Miles'!$C$65</f>
        <v>142.34</v>
      </c>
    </row>
    <row r="32" spans="1:6">
      <c r="A32" t="str">
        <f>+'Monthly Data-Hours &amp; Miles'!$D$24</f>
        <v>August</v>
      </c>
      <c r="C32" s="16">
        <f t="shared" si="1"/>
        <v>1081.8600000000001</v>
      </c>
      <c r="D32" s="16">
        <f>+'Monthly Data-Hours &amp; Miles'!$D$63</f>
        <v>816.58</v>
      </c>
      <c r="E32" s="16">
        <f>+'Monthly Data-Hours &amp; Miles'!$D$64</f>
        <v>78.97</v>
      </c>
      <c r="F32" s="16">
        <f>+'Monthly Data-Hours &amp; Miles'!$D$65</f>
        <v>186.31</v>
      </c>
    </row>
    <row r="33" spans="1:6">
      <c r="A33" t="str">
        <f>+'Monthly Data-Hours &amp; Miles'!$E$24</f>
        <v>September</v>
      </c>
      <c r="C33" s="16">
        <f t="shared" si="1"/>
        <v>874.89</v>
      </c>
      <c r="D33" s="16">
        <f>+'Monthly Data-Hours &amp; Miles'!$E$63</f>
        <v>651.41999999999996</v>
      </c>
      <c r="E33" s="16">
        <f>+'Monthly Data-Hours &amp; Miles'!$E$64</f>
        <v>71.72</v>
      </c>
      <c r="F33" s="16">
        <f>+'Monthly Data-Hours &amp; Miles'!$E$65</f>
        <v>151.75</v>
      </c>
    </row>
    <row r="34" spans="1:6">
      <c r="A34" t="str">
        <f>+'Monthly Data-Hours &amp; Miles'!$F$24</f>
        <v>October</v>
      </c>
      <c r="C34" s="16">
        <f t="shared" si="1"/>
        <v>856.79000000000008</v>
      </c>
      <c r="D34" s="16">
        <f>+'Monthly Data-Hours &amp; Miles'!$F$63</f>
        <v>602.84</v>
      </c>
      <c r="E34" s="16">
        <f>+'Monthly Data-Hours &amp; Miles'!$F$64</f>
        <v>78.989999999999995</v>
      </c>
      <c r="F34" s="16">
        <f>+'Monthly Data-Hours &amp; Miles'!$F$65</f>
        <v>174.96</v>
      </c>
    </row>
    <row r="35" spans="1:6">
      <c r="A35" t="str">
        <f>+'Monthly Data-Hours &amp; Miles'!$G$24</f>
        <v>November</v>
      </c>
      <c r="C35" s="16">
        <f t="shared" si="1"/>
        <v>699.83</v>
      </c>
      <c r="D35" s="16">
        <f>+'Monthly Data-Hours &amp; Miles'!$G$63</f>
        <v>532</v>
      </c>
      <c r="E35" s="16">
        <f>+'Monthly Data-Hours &amp; Miles'!$G$64</f>
        <v>57.99</v>
      </c>
      <c r="F35" s="16">
        <f>+'Monthly Data-Hours &amp; Miles'!$G$65</f>
        <v>109.84</v>
      </c>
    </row>
    <row r="36" spans="1:6">
      <c r="A36" t="str">
        <f>+'Monthly Data-Hours &amp; Miles'!$H$24</f>
        <v>December</v>
      </c>
      <c r="C36" s="16">
        <f t="shared" si="1"/>
        <v>609.74</v>
      </c>
      <c r="D36" s="16">
        <f>+'Monthly Data-Hours &amp; Miles'!$H$63</f>
        <v>470</v>
      </c>
      <c r="E36" s="16">
        <f>+'Monthly Data-Hours &amp; Miles'!$H$64</f>
        <v>55.23</v>
      </c>
      <c r="F36" s="16">
        <f>+'Monthly Data-Hours &amp; Miles'!$H$65</f>
        <v>84.51</v>
      </c>
    </row>
    <row r="37" spans="1:6">
      <c r="A37" t="str">
        <f>+'Monthly Data-Hours &amp; Miles'!$I$24</f>
        <v>January</v>
      </c>
      <c r="C37" s="16">
        <f t="shared" si="1"/>
        <v>743.78</v>
      </c>
      <c r="D37" s="16">
        <f>+'Monthly Data-Hours &amp; Miles'!$I$63</f>
        <v>584.25</v>
      </c>
      <c r="E37" s="16">
        <f>+'Monthly Data-Hours &amp; Miles'!$I$64</f>
        <v>67.040000000000006</v>
      </c>
      <c r="F37" s="16">
        <f>+'Monthly Data-Hours &amp; Miles'!$I$65</f>
        <v>92.49</v>
      </c>
    </row>
    <row r="38" spans="1:6">
      <c r="A38" t="str">
        <f>+'Monthly Data-Hours &amp; Miles'!$J$24</f>
        <v>February</v>
      </c>
      <c r="C38" s="16">
        <f>+D38+E38+F38</f>
        <v>608.97</v>
      </c>
      <c r="D38" s="16">
        <f>+'Monthly Data-Hours &amp; Miles'!$J$63</f>
        <v>482.25</v>
      </c>
      <c r="E38" s="16">
        <f>+'Monthly Data-Hours &amp; Miles'!$J$64</f>
        <v>50.98</v>
      </c>
      <c r="F38" s="16">
        <f>+'Monthly Data-Hours &amp; Miles'!$J$65</f>
        <v>75.739999999999995</v>
      </c>
    </row>
    <row r="39" spans="1:6">
      <c r="A39" t="str">
        <f>+'Monthly Data-Hours &amp; Miles'!$K$24</f>
        <v>March</v>
      </c>
      <c r="C39" s="16">
        <f>+D39+E39+F39</f>
        <v>603.95000000000005</v>
      </c>
      <c r="D39" s="16">
        <f>+'Monthly Data-Hours &amp; Miles'!$K$63</f>
        <v>471.5</v>
      </c>
      <c r="E39" s="16">
        <f>+'Monthly Data-Hours &amp; Miles'!$K$64</f>
        <v>54.73</v>
      </c>
      <c r="F39" s="16">
        <f>+'Monthly Data-Hours &amp; Miles'!$K$65</f>
        <v>77.72</v>
      </c>
    </row>
    <row r="40" spans="1:6">
      <c r="A40" t="str">
        <f>+'Monthly Data-Hours &amp; Miles'!$L$24</f>
        <v>April</v>
      </c>
      <c r="C40" s="16">
        <f>+D40+E40+F40</f>
        <v>684.54</v>
      </c>
      <c r="D40" s="16">
        <f>+'Monthly Data-Hours &amp; Miles'!$L$63</f>
        <v>513.61</v>
      </c>
      <c r="E40" s="16">
        <f>+'Monthly Data-Hours &amp; Miles'!$L$64</f>
        <v>66.94</v>
      </c>
      <c r="F40" s="16">
        <f>+'Monthly Data-Hours &amp; Miles'!$L$65</f>
        <v>103.99</v>
      </c>
    </row>
    <row r="41" spans="1:6">
      <c r="A41" t="str">
        <f>+'Monthly Data-Hours &amp; Miles'!$M$24</f>
        <v>May</v>
      </c>
      <c r="C41" s="16">
        <f>+D41+E41+F41</f>
        <v>776.05</v>
      </c>
      <c r="D41" s="16">
        <f>+'Monthly Data-Hours &amp; Miles'!$M$63</f>
        <v>627.75</v>
      </c>
      <c r="E41" s="16">
        <f>+'Monthly Data-Hours &amp; Miles'!$M$64</f>
        <v>59.04</v>
      </c>
      <c r="F41" s="16">
        <f>+'Monthly Data-Hours &amp; Miles'!$M$65</f>
        <v>89.26</v>
      </c>
    </row>
    <row r="42" spans="1:6">
      <c r="A42" t="str">
        <f>+'Monthly Data-Hours &amp; Miles'!$N$24</f>
        <v>June</v>
      </c>
      <c r="C42" s="17">
        <f>+D42+E42+F42</f>
        <v>700.77</v>
      </c>
      <c r="D42" s="17">
        <f>+'Monthly Data-Hours &amp; Miles'!$N$63</f>
        <v>536.80999999999995</v>
      </c>
      <c r="E42" s="17">
        <f>+'Monthly Data-Hours &amp; Miles'!$N$64</f>
        <v>58.08</v>
      </c>
      <c r="F42" s="17">
        <f>+'Monthly Data-Hours &amp; Miles'!$N$65</f>
        <v>105.88</v>
      </c>
    </row>
    <row r="44" spans="1:6" ht="13.5" thickBot="1">
      <c r="B44" t="s">
        <v>112</v>
      </c>
      <c r="C44" s="19">
        <f>SUM(C31:C42)</f>
        <v>9233.26</v>
      </c>
      <c r="D44" s="19">
        <f>SUM(D31:D42)</f>
        <v>7077.76</v>
      </c>
      <c r="E44" s="19">
        <f>SUM(E31:E42)</f>
        <v>760.71000000000015</v>
      </c>
      <c r="F44" s="19">
        <f>SUM(F31:F42)</f>
        <v>1394.79</v>
      </c>
    </row>
    <row r="45" spans="1:6" ht="13.5" thickTop="1"/>
    <row r="46" spans="1:6" ht="13.5" thickBot="1">
      <c r="B46" t="s">
        <v>392</v>
      </c>
      <c r="C46" s="13">
        <f>SUM(D46:F46)</f>
        <v>1</v>
      </c>
      <c r="D46" s="13">
        <f>+D44/C44</f>
        <v>0.76655049245878493</v>
      </c>
      <c r="E46" s="13">
        <f>+E44/C44</f>
        <v>8.2388018966215629E-2</v>
      </c>
      <c r="F46" s="13">
        <f>+F44/C44</f>
        <v>0.15106148857499951</v>
      </c>
    </row>
    <row r="47" spans="1:6" ht="13.5" thickTop="1"/>
    <row r="51" spans="1:6" ht="13.5" thickBot="1">
      <c r="A51" t="s">
        <v>869</v>
      </c>
      <c r="C51" s="18" t="s">
        <v>27</v>
      </c>
      <c r="D51" s="18" t="s">
        <v>222</v>
      </c>
      <c r="E51" s="18" t="s">
        <v>223</v>
      </c>
      <c r="F51" s="18" t="s">
        <v>224</v>
      </c>
    </row>
    <row r="52" spans="1:6">
      <c r="E52" s="16"/>
    </row>
    <row r="53" spans="1:6">
      <c r="A53" t="str">
        <f>+'Monthly Data-Hours &amp; Miles'!$C$24</f>
        <v>July</v>
      </c>
      <c r="C53" s="16">
        <f t="shared" ref="C53:C59" si="2">+D53+E53+F53</f>
        <v>6913</v>
      </c>
      <c r="D53" s="16">
        <f>+'Monthly Data-Hours &amp; Miles'!$C$45</f>
        <v>4808</v>
      </c>
      <c r="E53" s="16">
        <f>+'Monthly Data-Hours &amp; Miles'!$C$46</f>
        <v>471</v>
      </c>
      <c r="F53" s="16">
        <f>+'Monthly Data-Hours &amp; Miles'!$C$47</f>
        <v>1634</v>
      </c>
    </row>
    <row r="54" spans="1:6">
      <c r="A54" t="str">
        <f>+'Monthly Data-Hours &amp; Miles'!$D$24</f>
        <v>August</v>
      </c>
      <c r="C54" s="16">
        <f t="shared" si="2"/>
        <v>7300</v>
      </c>
      <c r="D54" s="16">
        <f>+'Monthly Data-Hours &amp; Miles'!$D$45</f>
        <v>4887</v>
      </c>
      <c r="E54" s="16">
        <f>+'Monthly Data-Hours &amp; Miles'!$D$46</f>
        <v>572</v>
      </c>
      <c r="F54" s="16">
        <f>+'Monthly Data-Hours &amp; Miles'!$D$47</f>
        <v>1841</v>
      </c>
    </row>
    <row r="55" spans="1:6">
      <c r="A55" t="str">
        <f>+'Monthly Data-Hours &amp; Miles'!$E$24</f>
        <v>September</v>
      </c>
      <c r="C55" s="16">
        <f t="shared" si="2"/>
        <v>6273</v>
      </c>
      <c r="D55" s="16">
        <f>+'Monthly Data-Hours &amp; Miles'!$E$45</f>
        <v>4048</v>
      </c>
      <c r="E55" s="16">
        <f>+'Monthly Data-Hours &amp; Miles'!$E$46</f>
        <v>487</v>
      </c>
      <c r="F55" s="16">
        <f>+'Monthly Data-Hours &amp; Miles'!$E$47</f>
        <v>1738</v>
      </c>
    </row>
    <row r="56" spans="1:6">
      <c r="A56" t="str">
        <f>+'Monthly Data-Hours &amp; Miles'!$F$24</f>
        <v>October</v>
      </c>
      <c r="C56" s="16">
        <f t="shared" si="2"/>
        <v>6704</v>
      </c>
      <c r="D56" s="16">
        <f>+'Monthly Data-Hours &amp; Miles'!$F$45</f>
        <v>4099</v>
      </c>
      <c r="E56" s="16">
        <f>+'Monthly Data-Hours &amp; Miles'!$F$46</f>
        <v>551</v>
      </c>
      <c r="F56" s="16">
        <f>+'Monthly Data-Hours &amp; Miles'!$F$47</f>
        <v>2054</v>
      </c>
    </row>
    <row r="57" spans="1:6">
      <c r="A57" t="str">
        <f>+'Monthly Data-Hours &amp; Miles'!$G$24</f>
        <v>November</v>
      </c>
      <c r="C57" s="16">
        <f t="shared" si="2"/>
        <v>5816</v>
      </c>
      <c r="D57" s="16">
        <f>+'Monthly Data-Hours &amp; Miles'!$G$45</f>
        <v>3987</v>
      </c>
      <c r="E57" s="16">
        <f>+'Monthly Data-Hours &amp; Miles'!$G$46</f>
        <v>461</v>
      </c>
      <c r="F57" s="16">
        <f>+'Monthly Data-Hours &amp; Miles'!$G$47</f>
        <v>1368</v>
      </c>
    </row>
    <row r="58" spans="1:6">
      <c r="A58" t="str">
        <f>+'Monthly Data-Hours &amp; Miles'!$H$24</f>
        <v>December</v>
      </c>
      <c r="C58" s="16">
        <f t="shared" si="2"/>
        <v>4838</v>
      </c>
      <c r="D58" s="16">
        <f>+'Monthly Data-Hours &amp; Miles'!$H$45</f>
        <v>3452</v>
      </c>
      <c r="E58" s="16">
        <f>+'Monthly Data-Hours &amp; Miles'!$H$46</f>
        <v>454</v>
      </c>
      <c r="F58" s="16">
        <f>+'Monthly Data-Hours &amp; Miles'!$H$47</f>
        <v>932</v>
      </c>
    </row>
    <row r="59" spans="1:6">
      <c r="A59" t="str">
        <f>+'Monthly Data-Hours &amp; Miles'!$I$24</f>
        <v>January</v>
      </c>
      <c r="C59" s="16">
        <f t="shared" si="2"/>
        <v>5707</v>
      </c>
      <c r="D59" s="16">
        <f>+'Monthly Data-Hours &amp; Miles'!$I$45</f>
        <v>4080</v>
      </c>
      <c r="E59" s="16">
        <f>+'Monthly Data-Hours &amp; Miles'!$I$46</f>
        <v>836</v>
      </c>
      <c r="F59" s="16">
        <f>+'Monthly Data-Hours &amp; Miles'!$I$47</f>
        <v>791</v>
      </c>
    </row>
    <row r="60" spans="1:6">
      <c r="A60" t="str">
        <f>+'Monthly Data-Hours &amp; Miles'!$J$24</f>
        <v>February</v>
      </c>
      <c r="C60" s="16">
        <f>+D60+E60+F60</f>
        <v>5210</v>
      </c>
      <c r="D60" s="16">
        <f>+'Monthly Data-Hours &amp; Miles'!$J$45</f>
        <v>3817</v>
      </c>
      <c r="E60" s="16">
        <f>+'Monthly Data-Hours &amp; Miles'!$J$46</f>
        <v>461</v>
      </c>
      <c r="F60" s="16">
        <f>+'Monthly Data-Hours &amp; Miles'!$J$47</f>
        <v>932</v>
      </c>
    </row>
    <row r="61" spans="1:6">
      <c r="A61" t="str">
        <f>+'Monthly Data-Hours &amp; Miles'!$K$24</f>
        <v>March</v>
      </c>
      <c r="C61" s="16">
        <f>+D61+E61+F61</f>
        <v>4933</v>
      </c>
      <c r="D61" s="16">
        <f>+'Monthly Data-Hours &amp; Miles'!$K$45</f>
        <v>3488</v>
      </c>
      <c r="E61" s="16">
        <f>+'Monthly Data-Hours &amp; Miles'!$K$46</f>
        <v>481</v>
      </c>
      <c r="F61" s="16">
        <f>+'Monthly Data-Hours &amp; Miles'!$K$47</f>
        <v>964</v>
      </c>
    </row>
    <row r="62" spans="1:6">
      <c r="A62" t="str">
        <f>+'Monthly Data-Hours &amp; Miles'!$L$24</f>
        <v>April</v>
      </c>
      <c r="C62" s="16">
        <f>+D62+E62+F62</f>
        <v>5593</v>
      </c>
      <c r="D62" s="16">
        <f>+'Monthly Data-Hours &amp; Miles'!$L$45</f>
        <v>3866</v>
      </c>
      <c r="E62" s="16">
        <f>+'Monthly Data-Hours &amp; Miles'!$L$46</f>
        <v>528</v>
      </c>
      <c r="F62" s="16">
        <f>+'Monthly Data-Hours &amp; Miles'!$L$47</f>
        <v>1199</v>
      </c>
    </row>
    <row r="63" spans="1:6">
      <c r="A63" t="str">
        <f>+'Monthly Data-Hours &amp; Miles'!$M$24</f>
        <v>May</v>
      </c>
      <c r="C63" s="16">
        <f>+D63+E63+F63</f>
        <v>5829</v>
      </c>
      <c r="D63" s="16">
        <f>+'Monthly Data-Hours &amp; Miles'!$M$45</f>
        <v>4351</v>
      </c>
      <c r="E63" s="16">
        <f>+'Monthly Data-Hours &amp; Miles'!$M$46</f>
        <v>484</v>
      </c>
      <c r="F63" s="16">
        <f>+'Monthly Data-Hours &amp; Miles'!$M$47</f>
        <v>994</v>
      </c>
    </row>
    <row r="64" spans="1:6">
      <c r="A64" t="str">
        <f>+'Monthly Data-Hours &amp; Miles'!$N$24</f>
        <v>June</v>
      </c>
      <c r="C64" s="16">
        <f>+D64+E64+F64</f>
        <v>5819</v>
      </c>
      <c r="D64" s="16">
        <f>+'Monthly Data-Hours &amp; Miles'!$N$45</f>
        <v>4005</v>
      </c>
      <c r="E64" s="16">
        <f>+'Monthly Data-Hours &amp; Miles'!$N$46</f>
        <v>467</v>
      </c>
      <c r="F64" s="16">
        <f>+'Monthly Data-Hours &amp; Miles'!$N$47</f>
        <v>1347</v>
      </c>
    </row>
    <row r="66" spans="2:6" ht="13.5" thickBot="1">
      <c r="B66" t="s">
        <v>112</v>
      </c>
      <c r="C66" s="19">
        <f>SUM(C53:C64)</f>
        <v>70935</v>
      </c>
      <c r="D66" s="19">
        <f>SUM(D53:D64)</f>
        <v>48888</v>
      </c>
      <c r="E66" s="19">
        <f>SUM(E53:E64)</f>
        <v>6253</v>
      </c>
      <c r="F66" s="19">
        <f>SUM(F53:F64)</f>
        <v>15794</v>
      </c>
    </row>
    <row r="67" spans="2:6" ht="13.5" thickTop="1"/>
    <row r="68" spans="2:6" ht="13.5" thickBot="1">
      <c r="B68" t="s">
        <v>392</v>
      </c>
      <c r="C68" s="13">
        <f>SUM(D68:F68)</f>
        <v>1</v>
      </c>
      <c r="D68" s="13">
        <f>+D66/C66</f>
        <v>0.68919433283992393</v>
      </c>
      <c r="E68" s="13">
        <f>+E66/C66</f>
        <v>8.8151124268696687E-2</v>
      </c>
      <c r="F68" s="13">
        <f>+F66/C66</f>
        <v>0.22265454289137943</v>
      </c>
    </row>
    <row r="69" spans="2:6" ht="13.5" thickTop="1"/>
  </sheetData>
  <pageMargins left="0.2" right="0.3" top="0.52" bottom="0.49" header="0.5" footer="0.5"/>
  <pageSetup scale="8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59999389629810485"/>
    <pageSetUpPr fitToPage="1"/>
  </sheetPr>
  <dimension ref="A1:K29"/>
  <sheetViews>
    <sheetView workbookViewId="0">
      <selection activeCell="E4" sqref="E4"/>
    </sheetView>
  </sheetViews>
  <sheetFormatPr defaultRowHeight="12.75"/>
  <cols>
    <col min="1" max="1" width="10.140625" bestFit="1" customWidth="1"/>
    <col min="11" max="11" width="10.28515625" bestFit="1" customWidth="1"/>
  </cols>
  <sheetData>
    <row r="1" spans="1:7">
      <c r="A1" t="s">
        <v>4</v>
      </c>
    </row>
    <row r="3" spans="1:7">
      <c r="A3" t="s">
        <v>1020</v>
      </c>
      <c r="D3" s="459" t="s">
        <v>11</v>
      </c>
      <c r="E3" s="459" t="s">
        <v>12</v>
      </c>
    </row>
    <row r="5" spans="1:7">
      <c r="A5" s="501">
        <v>45169</v>
      </c>
    </row>
    <row r="8" spans="1:7">
      <c r="C8" s="530" t="s">
        <v>881</v>
      </c>
      <c r="D8" s="530" t="s">
        <v>881</v>
      </c>
      <c r="E8" s="530" t="s">
        <v>882</v>
      </c>
      <c r="F8" s="530" t="s">
        <v>27</v>
      </c>
      <c r="G8" s="530" t="s">
        <v>392</v>
      </c>
    </row>
    <row r="10" spans="1:7">
      <c r="A10" t="s">
        <v>222</v>
      </c>
      <c r="C10" s="20">
        <f>+'Monthly Data-Container Count'!C$16</f>
        <v>764</v>
      </c>
      <c r="D10" s="20">
        <f>+'Monthly Data-Container Count'!D$16</f>
        <v>1365</v>
      </c>
      <c r="E10" s="20">
        <f>+'Monthly Data-Container Count'!E$16</f>
        <v>1625</v>
      </c>
      <c r="F10" s="20">
        <f>SUM(C10:E10)</f>
        <v>3754</v>
      </c>
      <c r="G10" s="9">
        <f>(+F10/F16)</f>
        <v>1</v>
      </c>
    </row>
    <row r="11" spans="1:7">
      <c r="G11" s="9"/>
    </row>
    <row r="12" spans="1:7">
      <c r="A12" t="s">
        <v>223</v>
      </c>
      <c r="C12" s="20">
        <f>+'Monthly Data-Container Count'!C$17</f>
        <v>0</v>
      </c>
      <c r="D12" s="20">
        <f>+'Monthly Data-Container Count'!D$17</f>
        <v>0</v>
      </c>
      <c r="E12" s="20">
        <f>+'Monthly Data-Container Count'!E$17</f>
        <v>0</v>
      </c>
      <c r="F12" s="20">
        <f>SUM(C12:E12)</f>
        <v>0</v>
      </c>
      <c r="G12" s="9">
        <f>+F12/F16</f>
        <v>0</v>
      </c>
    </row>
    <row r="13" spans="1:7">
      <c r="G13" s="9"/>
    </row>
    <row r="14" spans="1:7">
      <c r="A14" t="s">
        <v>224</v>
      </c>
      <c r="C14" s="21">
        <f>+'Monthly Data-Container Count'!C$18</f>
        <v>0</v>
      </c>
      <c r="D14" s="21">
        <f>+'Monthly Data-Container Count'!D$18</f>
        <v>0</v>
      </c>
      <c r="E14" s="21">
        <f>+'Monthly Data-Container Count'!E$18</f>
        <v>0</v>
      </c>
      <c r="F14" s="21">
        <f>SUM(C14:E14)</f>
        <v>0</v>
      </c>
      <c r="G14" s="37">
        <f>+F14/F16</f>
        <v>0</v>
      </c>
    </row>
    <row r="15" spans="1:7">
      <c r="G15" s="10"/>
    </row>
    <row r="16" spans="1:7" ht="13.5" thickBot="1">
      <c r="A16" t="s">
        <v>388</v>
      </c>
      <c r="C16" s="22">
        <f>SUM(C10:C14)</f>
        <v>764</v>
      </c>
      <c r="D16" s="22">
        <f>SUM(D10:D14)</f>
        <v>1365</v>
      </c>
      <c r="E16" s="22">
        <f>SUM(E10:E14)</f>
        <v>1625</v>
      </c>
      <c r="F16" s="22">
        <f>SUM(C16:E16)</f>
        <v>3754</v>
      </c>
      <c r="G16" s="13">
        <f>SUM(G10:G14)</f>
        <v>1</v>
      </c>
    </row>
    <row r="17" spans="1:11" ht="13.5" thickTop="1"/>
    <row r="20" spans="1:11">
      <c r="C20" s="530" t="s">
        <v>885</v>
      </c>
      <c r="D20" s="530" t="s">
        <v>886</v>
      </c>
      <c r="E20" s="530" t="s">
        <v>887</v>
      </c>
      <c r="F20" s="530" t="s">
        <v>888</v>
      </c>
      <c r="G20" s="530" t="s">
        <v>889</v>
      </c>
      <c r="H20" s="530" t="s">
        <v>890</v>
      </c>
      <c r="I20" s="530" t="s">
        <v>891</v>
      </c>
      <c r="J20" s="530" t="s">
        <v>27</v>
      </c>
      <c r="K20" s="530" t="s">
        <v>392</v>
      </c>
    </row>
    <row r="22" spans="1:11">
      <c r="A22" t="s">
        <v>222</v>
      </c>
      <c r="C22" s="20">
        <f>+'Monthly Data-Container Count'!M$16</f>
        <v>387</v>
      </c>
      <c r="D22" s="20">
        <f>+'Monthly Data-Container Count'!N$16</f>
        <v>73</v>
      </c>
      <c r="E22" s="20">
        <f>+'Monthly Data-Container Count'!O$16</f>
        <v>335</v>
      </c>
      <c r="F22" s="20">
        <f>+'Monthly Data-Container Count'!P$16</f>
        <v>6</v>
      </c>
      <c r="G22" s="20">
        <f>+'Monthly Data-Container Count'!Q$16</f>
        <v>51</v>
      </c>
      <c r="H22" s="20">
        <f>+'Monthly Data-Container Count'!R$16</f>
        <v>54</v>
      </c>
      <c r="I22" s="20">
        <f>+'Monthly Data-Container Count'!S$16</f>
        <v>0</v>
      </c>
      <c r="J22" s="20">
        <f>SUM(C22:I22)</f>
        <v>906</v>
      </c>
      <c r="K22" s="9">
        <f>ROUND(+J22/$J$28,2)</f>
        <v>0.82</v>
      </c>
    </row>
    <row r="23" spans="1:11">
      <c r="K23" s="9"/>
    </row>
    <row r="24" spans="1:11">
      <c r="A24" t="s">
        <v>223</v>
      </c>
      <c r="C24" s="20">
        <f>+'Monthly Data-Container Count'!M$17</f>
        <v>20</v>
      </c>
      <c r="D24" s="20">
        <f>+'Monthly Data-Container Count'!N$17</f>
        <v>0</v>
      </c>
      <c r="E24" s="20">
        <f>+'Monthly Data-Container Count'!O$17</f>
        <v>20</v>
      </c>
      <c r="F24" s="20">
        <f>+'Monthly Data-Container Count'!P$17</f>
        <v>1</v>
      </c>
      <c r="G24" s="20">
        <f>+'Monthly Data-Container Count'!Q$17</f>
        <v>7</v>
      </c>
      <c r="H24" s="20">
        <f>+'Monthly Data-Container Count'!R$17</f>
        <v>4</v>
      </c>
      <c r="I24" s="20">
        <f>+'Monthly Data-Container Count'!S$17</f>
        <v>0</v>
      </c>
      <c r="J24" s="20">
        <f>SUM(C24:I24)</f>
        <v>52</v>
      </c>
      <c r="K24" s="9">
        <f>ROUND(+J24/$J$28,2)</f>
        <v>0.05</v>
      </c>
    </row>
    <row r="25" spans="1:11">
      <c r="K25" s="9"/>
    </row>
    <row r="26" spans="1:11">
      <c r="A26" t="s">
        <v>224</v>
      </c>
      <c r="C26" s="21">
        <f>+'Monthly Data-Container Count'!M$18</f>
        <v>30</v>
      </c>
      <c r="D26" s="21">
        <f>+'Monthly Data-Container Count'!N$18</f>
        <v>0</v>
      </c>
      <c r="E26" s="21">
        <f>+'Monthly Data-Container Count'!O$18</f>
        <v>56</v>
      </c>
      <c r="F26" s="21">
        <f>+'Monthly Data-Container Count'!P$18</f>
        <v>0</v>
      </c>
      <c r="G26" s="21">
        <f>+'Monthly Data-Container Count'!Q$18</f>
        <v>16</v>
      </c>
      <c r="H26" s="21">
        <f>+'Monthly Data-Container Count'!R$18</f>
        <v>45</v>
      </c>
      <c r="I26" s="21">
        <f>+'Monthly Data-Container Count'!S$18</f>
        <v>0</v>
      </c>
      <c r="J26" s="21">
        <f>SUM(C26:I26)</f>
        <v>147</v>
      </c>
      <c r="K26" s="37">
        <f>ROUND(+J26/$J$28,2)</f>
        <v>0.13</v>
      </c>
    </row>
    <row r="27" spans="1:11">
      <c r="K27" s="10"/>
    </row>
    <row r="28" spans="1:11" ht="13.5" thickBot="1">
      <c r="A28" t="s">
        <v>388</v>
      </c>
      <c r="C28" s="22">
        <f t="shared" ref="C28:I28" si="0">SUM(C22:C26)</f>
        <v>437</v>
      </c>
      <c r="D28" s="22">
        <f t="shared" si="0"/>
        <v>73</v>
      </c>
      <c r="E28" s="22">
        <f t="shared" si="0"/>
        <v>411</v>
      </c>
      <c r="F28" s="22">
        <f t="shared" si="0"/>
        <v>7</v>
      </c>
      <c r="G28" s="22">
        <f t="shared" si="0"/>
        <v>74</v>
      </c>
      <c r="H28" s="22">
        <f t="shared" si="0"/>
        <v>103</v>
      </c>
      <c r="I28" s="22">
        <f t="shared" si="0"/>
        <v>0</v>
      </c>
      <c r="J28" s="22">
        <f>SUM(C28:I28)</f>
        <v>1105</v>
      </c>
      <c r="K28" s="13">
        <f>SUM(K22:K26)</f>
        <v>1</v>
      </c>
    </row>
    <row r="29" spans="1:11" ht="13.5" thickTop="1"/>
  </sheetData>
  <pageMargins left="0.22" right="0.3" top="0.52" bottom="1" header="0.5" footer="0.5"/>
  <pageSetup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59999389629810485"/>
  </sheetPr>
  <dimension ref="A1:I40"/>
  <sheetViews>
    <sheetView topLeftCell="A4" workbookViewId="0">
      <selection activeCell="A6" sqref="A6"/>
    </sheetView>
  </sheetViews>
  <sheetFormatPr defaultRowHeight="12.75"/>
  <cols>
    <col min="1" max="1" width="15.140625" customWidth="1"/>
    <col min="3" max="3" width="11.140625" customWidth="1"/>
    <col min="6" max="6" width="11.42578125" customWidth="1"/>
    <col min="8" max="8" width="11.28515625" customWidth="1"/>
    <col min="9" max="9" width="10.85546875" customWidth="1"/>
  </cols>
  <sheetData>
    <row r="1" spans="1:9">
      <c r="A1" t="s">
        <v>4</v>
      </c>
    </row>
    <row r="3" spans="1:9">
      <c r="A3" t="s">
        <v>1021</v>
      </c>
      <c r="D3" s="459" t="s">
        <v>11</v>
      </c>
      <c r="E3" s="459" t="s">
        <v>12</v>
      </c>
    </row>
    <row r="5" spans="1:9">
      <c r="A5" s="458" t="s">
        <v>1420</v>
      </c>
    </row>
    <row r="6" spans="1:9">
      <c r="A6" s="15"/>
    </row>
    <row r="7" spans="1:9">
      <c r="F7" t="s">
        <v>1022</v>
      </c>
    </row>
    <row r="8" spans="1:9">
      <c r="A8" t="s">
        <v>1023</v>
      </c>
      <c r="F8" t="s">
        <v>1024</v>
      </c>
    </row>
    <row r="10" spans="1:9">
      <c r="A10" t="s">
        <v>222</v>
      </c>
      <c r="C10" s="5">
        <f>SUM('Service Counts'!J53:J65)</f>
        <v>124155.25000000001</v>
      </c>
      <c r="D10" s="10">
        <f>+C10/C14</f>
        <v>0.45145590645894634</v>
      </c>
      <c r="F10" t="s">
        <v>222</v>
      </c>
      <c r="H10" s="5">
        <f>SUM('Service Counts'!J53:J65)+'Proforma AJEs'!$G$58</f>
        <v>124155.25000000001</v>
      </c>
      <c r="I10" s="10">
        <f>+H10/H14</f>
        <v>0.45145590645894634</v>
      </c>
    </row>
    <row r="11" spans="1:9">
      <c r="A11" t="s">
        <v>223</v>
      </c>
      <c r="C11" s="5">
        <f>SUM('Service Counts'!S53:S65)</f>
        <v>33596.65</v>
      </c>
      <c r="D11" s="10">
        <f>+C11/C14</f>
        <v>0.12216483861724702</v>
      </c>
      <c r="F11" t="s">
        <v>223</v>
      </c>
      <c r="H11" s="5">
        <f>SUM('Service Counts'!S53:S65)+'Proforma AJEs'!$G$59</f>
        <v>33596.65</v>
      </c>
      <c r="I11" s="10">
        <f>+H11/H14</f>
        <v>0.12216483861724702</v>
      </c>
    </row>
    <row r="12" spans="1:9">
      <c r="A12" t="s">
        <v>224</v>
      </c>
      <c r="C12" s="38">
        <f>SUM('Service Counts'!AB53:AB65)</f>
        <v>117258.90000000001</v>
      </c>
      <c r="D12" s="123">
        <f>+C12/C14</f>
        <v>0.42637925492380657</v>
      </c>
      <c r="F12" t="s">
        <v>224</v>
      </c>
      <c r="H12" s="38">
        <f>SUM('Service Counts'!AB53:AB65)+'Proforma AJEs'!$G$60</f>
        <v>117258.90000000001</v>
      </c>
      <c r="I12" s="123">
        <f>+H12/H14</f>
        <v>0.42637925492380657</v>
      </c>
    </row>
    <row r="13" spans="1:9">
      <c r="D13" s="10"/>
      <c r="I13" s="10"/>
    </row>
    <row r="14" spans="1:9" ht="13.5" thickBot="1">
      <c r="C14" s="7">
        <f>SUM(C10:C12)</f>
        <v>275010.80000000005</v>
      </c>
      <c r="D14" s="13">
        <f>SUM(D10:D12)</f>
        <v>0.99999999999999989</v>
      </c>
      <c r="H14" s="7">
        <f>SUM(H10:H12)</f>
        <v>275010.80000000005</v>
      </c>
      <c r="I14" s="13">
        <f>SUM(I10:I12)</f>
        <v>0.99999999999999989</v>
      </c>
    </row>
    <row r="15" spans="1:9" ht="13.5" thickTop="1"/>
    <row r="17" spans="1:4">
      <c r="A17" t="s">
        <v>1025</v>
      </c>
    </row>
    <row r="19" spans="1:4">
      <c r="A19" t="s">
        <v>1026</v>
      </c>
    </row>
    <row r="20" spans="1:4">
      <c r="A20" t="s">
        <v>222</v>
      </c>
      <c r="C20" s="5">
        <f>SUM('Service Counts'!J86:J88)</f>
        <v>328321.37</v>
      </c>
      <c r="D20" s="10">
        <f>+C20/C24</f>
        <v>1</v>
      </c>
    </row>
    <row r="21" spans="1:4">
      <c r="A21" t="s">
        <v>223</v>
      </c>
      <c r="C21" s="5">
        <f>SUM('Service Counts'!S86:S88)</f>
        <v>0</v>
      </c>
      <c r="D21" s="10">
        <f>+C21/C24</f>
        <v>0</v>
      </c>
    </row>
    <row r="22" spans="1:4">
      <c r="A22" t="s">
        <v>224</v>
      </c>
      <c r="C22" s="38">
        <f>SUM('Service Counts'!AB86:AB88)</f>
        <v>0</v>
      </c>
      <c r="D22" s="123">
        <f>+C22/C24</f>
        <v>0</v>
      </c>
    </row>
    <row r="23" spans="1:4">
      <c r="D23" s="10"/>
    </row>
    <row r="24" spans="1:4" ht="13.5" thickBot="1">
      <c r="C24" s="7">
        <f>SUM(C20:C22)</f>
        <v>328321.37</v>
      </c>
      <c r="D24" s="13">
        <f>SUM(D20:D22)</f>
        <v>1</v>
      </c>
    </row>
    <row r="25" spans="1:4" ht="13.5" thickTop="1"/>
    <row r="26" spans="1:4">
      <c r="A26" t="s">
        <v>1027</v>
      </c>
    </row>
    <row r="27" spans="1:4">
      <c r="A27" t="s">
        <v>222</v>
      </c>
      <c r="C27" s="5">
        <f>+'Service Counts'!J89</f>
        <v>0</v>
      </c>
      <c r="D27" s="10">
        <f>+C27/C31</f>
        <v>0</v>
      </c>
    </row>
    <row r="28" spans="1:4">
      <c r="A28" t="s">
        <v>223</v>
      </c>
      <c r="C28" s="5">
        <f>+'Service Counts'!S89</f>
        <v>23138.665000000001</v>
      </c>
      <c r="D28" s="10">
        <f>+C28/C31</f>
        <v>0.17615014735535908</v>
      </c>
    </row>
    <row r="29" spans="1:4">
      <c r="A29" t="s">
        <v>224</v>
      </c>
      <c r="C29" s="38">
        <f>+'Service Counts'!AB89</f>
        <v>108218.95999999999</v>
      </c>
      <c r="D29" s="123">
        <f>+C29/C31</f>
        <v>0.82384985264464083</v>
      </c>
    </row>
    <row r="30" spans="1:4">
      <c r="D30" s="10"/>
    </row>
    <row r="31" spans="1:4" ht="13.5" thickBot="1">
      <c r="C31" s="7">
        <f>SUM(C27:C29)</f>
        <v>131357.625</v>
      </c>
      <c r="D31" s="13">
        <f>SUM(D27:D29)</f>
        <v>0.99999999999999989</v>
      </c>
    </row>
    <row r="32" spans="1:4" ht="13.5" thickTop="1"/>
    <row r="34" spans="1:4">
      <c r="A34" t="s">
        <v>1028</v>
      </c>
    </row>
    <row r="35" spans="1:4">
      <c r="A35" t="s">
        <v>222</v>
      </c>
      <c r="C35" s="5">
        <f>+C20+C27</f>
        <v>328321.37</v>
      </c>
      <c r="D35" s="10">
        <f>+C35/C39</f>
        <v>0.71424053213482164</v>
      </c>
    </row>
    <row r="36" spans="1:4">
      <c r="A36" t="s">
        <v>223</v>
      </c>
      <c r="C36" s="5">
        <f>+C21+C28</f>
        <v>23138.665000000001</v>
      </c>
      <c r="D36" s="10">
        <f>+C36/C39</f>
        <v>5.0336572372640172E-2</v>
      </c>
    </row>
    <row r="37" spans="1:4">
      <c r="A37" t="s">
        <v>224</v>
      </c>
      <c r="C37" s="38">
        <f>+C22+C29</f>
        <v>108218.95999999999</v>
      </c>
      <c r="D37" s="123">
        <f>+C37/C39</f>
        <v>0.2354228954925382</v>
      </c>
    </row>
    <row r="38" spans="1:4">
      <c r="D38" s="10"/>
    </row>
    <row r="39" spans="1:4" ht="13.5" thickBot="1">
      <c r="C39" s="7">
        <f>SUM(C35:C37)</f>
        <v>459678.995</v>
      </c>
      <c r="D39" s="13">
        <f>SUM(D35:D37)</f>
        <v>1</v>
      </c>
    </row>
    <row r="40" spans="1:4" ht="13.5" thickTop="1"/>
  </sheetData>
  <pageMargins left="0.27" right="0.75" top="0.49" bottom="0.45" header="0.5" footer="0.5"/>
  <pageSetup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59999389629810485"/>
    <pageSetUpPr fitToPage="1"/>
  </sheetPr>
  <dimension ref="A1:T56"/>
  <sheetViews>
    <sheetView topLeftCell="A16" workbookViewId="0">
      <selection activeCell="E4" sqref="E4"/>
    </sheetView>
  </sheetViews>
  <sheetFormatPr defaultRowHeight="12.75"/>
  <cols>
    <col min="11" max="11" width="9.7109375" customWidth="1"/>
    <col min="12" max="12" width="10.7109375" customWidth="1"/>
    <col min="13" max="13" width="9.85546875" customWidth="1"/>
    <col min="14" max="14" width="10.5703125" customWidth="1"/>
    <col min="15" max="15" width="10" customWidth="1"/>
    <col min="16" max="16" width="9.85546875" customWidth="1"/>
    <col min="17" max="17" width="11" customWidth="1"/>
    <col min="19" max="19" width="10.7109375" bestFit="1" customWidth="1"/>
  </cols>
  <sheetData>
    <row r="1" spans="1:17">
      <c r="A1" t="s">
        <v>4</v>
      </c>
    </row>
    <row r="3" spans="1:17">
      <c r="A3" t="s">
        <v>1029</v>
      </c>
      <c r="D3" s="459" t="s">
        <v>11</v>
      </c>
      <c r="E3" s="459" t="s">
        <v>12</v>
      </c>
    </row>
    <row r="5" spans="1:17">
      <c r="A5" s="458" t="s">
        <v>1432</v>
      </c>
    </row>
    <row r="9" spans="1:17">
      <c r="A9" s="93" t="s">
        <v>1030</v>
      </c>
    </row>
    <row r="11" spans="1:17">
      <c r="A11" s="93" t="s">
        <v>1031</v>
      </c>
      <c r="J11" s="93" t="s">
        <v>1032</v>
      </c>
    </row>
    <row r="12" spans="1:17">
      <c r="A12" s="93"/>
      <c r="J12" s="93"/>
    </row>
    <row r="13" spans="1:17" ht="13.5" thickBot="1">
      <c r="C13" s="3" t="s">
        <v>222</v>
      </c>
      <c r="D13" s="3" t="s">
        <v>224</v>
      </c>
      <c r="E13" s="3" t="s">
        <v>223</v>
      </c>
      <c r="F13" s="3" t="s">
        <v>378</v>
      </c>
      <c r="G13" s="3" t="s">
        <v>377</v>
      </c>
      <c r="H13" s="3" t="s">
        <v>27</v>
      </c>
      <c r="L13" s="3" t="s">
        <v>222</v>
      </c>
      <c r="M13" s="3" t="s">
        <v>224</v>
      </c>
      <c r="N13" s="3" t="s">
        <v>223</v>
      </c>
      <c r="O13" s="3" t="s">
        <v>378</v>
      </c>
      <c r="P13" s="3" t="s">
        <v>377</v>
      </c>
      <c r="Q13" s="3" t="s">
        <v>27</v>
      </c>
    </row>
    <row r="14" spans="1:17" ht="13.5" thickTop="1">
      <c r="C14" s="530"/>
      <c r="D14" s="530"/>
      <c r="E14" s="530"/>
      <c r="F14" s="530"/>
      <c r="G14" s="530"/>
      <c r="H14" s="530"/>
      <c r="L14" s="530"/>
      <c r="M14" s="530"/>
      <c r="N14" s="530"/>
      <c r="O14" s="530"/>
      <c r="P14" s="530"/>
      <c r="Q14" s="530"/>
    </row>
    <row r="15" spans="1:17">
      <c r="A15" s="574" t="str">
        <f>+'Monthly Data-Disposal Fees'!A12</f>
        <v>July</v>
      </c>
      <c r="C15" s="574">
        <f>+'Monthly Data-Disposal Fees'!C12</f>
        <v>0</v>
      </c>
      <c r="D15" s="574">
        <f>+'Monthly Data-Disposal Fees'!D12</f>
        <v>319</v>
      </c>
      <c r="E15" s="574">
        <f>+'Monthly Data-Disposal Fees'!E12</f>
        <v>87</v>
      </c>
      <c r="F15" s="574">
        <f>+'Monthly Data-Disposal Fees'!F12</f>
        <v>95</v>
      </c>
      <c r="G15" s="574">
        <f>+'Monthly Data-Disposal Fees'!G12</f>
        <v>222</v>
      </c>
      <c r="H15" s="574">
        <f t="shared" ref="H15:H26" si="0">SUM(C15:G15)</f>
        <v>723</v>
      </c>
      <c r="J15" s="26" t="str">
        <f>+A15</f>
        <v>July</v>
      </c>
      <c r="L15" s="514">
        <f>+'Monthly Data-Disposal Fees'!L12</f>
        <v>0</v>
      </c>
      <c r="M15" s="514">
        <f>+'Monthly Data-Disposal Fees'!M12</f>
        <v>9875.9500000000007</v>
      </c>
      <c r="N15" s="514">
        <f>+'Monthly Data-Disposal Fees'!N12</f>
        <v>2794.78</v>
      </c>
      <c r="O15" s="514">
        <f>+'Monthly Data-Disposal Fees'!O12</f>
        <v>3203.99</v>
      </c>
      <c r="P15" s="514">
        <f>+'Monthly Data-Disposal Fees'!P12</f>
        <v>7543.06</v>
      </c>
      <c r="Q15" s="5">
        <f t="shared" ref="Q15:Q26" si="1">SUM(L15:P15)</f>
        <v>23417.780000000002</v>
      </c>
    </row>
    <row r="16" spans="1:17">
      <c r="A16" s="574" t="str">
        <f>+'Monthly Data-Disposal Fees'!A13</f>
        <v>August</v>
      </c>
      <c r="C16" s="574">
        <f>+'Monthly Data-Disposal Fees'!C13</f>
        <v>0</v>
      </c>
      <c r="D16" s="574">
        <f>+'Monthly Data-Disposal Fees'!D13</f>
        <v>384</v>
      </c>
      <c r="E16" s="574">
        <f>+'Monthly Data-Disposal Fees'!E13</f>
        <v>116</v>
      </c>
      <c r="F16" s="574">
        <f>+'Monthly Data-Disposal Fees'!F13</f>
        <v>125</v>
      </c>
      <c r="G16" s="574">
        <f>+'Monthly Data-Disposal Fees'!G13</f>
        <v>244</v>
      </c>
      <c r="H16" s="574">
        <f t="shared" si="0"/>
        <v>869</v>
      </c>
      <c r="J16" s="26" t="str">
        <f t="shared" ref="J16:J26" si="2">+A16</f>
        <v>August</v>
      </c>
      <c r="L16" s="514">
        <f>+'Monthly Data-Disposal Fees'!L13</f>
        <v>0</v>
      </c>
      <c r="M16" s="514">
        <f>+'Monthly Data-Disposal Fees'!M13</f>
        <v>12865.73</v>
      </c>
      <c r="N16" s="514">
        <f>+'Monthly Data-Disposal Fees'!N13</f>
        <v>3703.99</v>
      </c>
      <c r="O16" s="514">
        <f>+'Monthly Data-Disposal Fees'!O13</f>
        <v>4543.8900000000003</v>
      </c>
      <c r="P16" s="514">
        <f>+'Monthly Data-Disposal Fees'!P13</f>
        <v>8240.32</v>
      </c>
      <c r="Q16" s="5">
        <f t="shared" si="1"/>
        <v>29353.93</v>
      </c>
    </row>
    <row r="17" spans="1:20">
      <c r="A17" s="574" t="str">
        <f>+'Monthly Data-Disposal Fees'!A14</f>
        <v>September</v>
      </c>
      <c r="C17" s="574">
        <f>+'Monthly Data-Disposal Fees'!C14</f>
        <v>0</v>
      </c>
      <c r="D17" s="574">
        <f>+'Monthly Data-Disposal Fees'!D14</f>
        <v>321</v>
      </c>
      <c r="E17" s="574">
        <f>+'Monthly Data-Disposal Fees'!E14</f>
        <v>105</v>
      </c>
      <c r="F17" s="574">
        <f>+'Monthly Data-Disposal Fees'!F14</f>
        <v>87</v>
      </c>
      <c r="G17" s="574">
        <f>+'Monthly Data-Disposal Fees'!G14</f>
        <v>231</v>
      </c>
      <c r="H17" s="574">
        <f t="shared" si="0"/>
        <v>744</v>
      </c>
      <c r="J17" s="26" t="str">
        <f t="shared" si="2"/>
        <v>September</v>
      </c>
      <c r="L17" s="514">
        <f>+'Monthly Data-Disposal Fees'!L14</f>
        <v>0</v>
      </c>
      <c r="M17" s="514">
        <f>+'Monthly Data-Disposal Fees'!M14</f>
        <v>10607.85</v>
      </c>
      <c r="N17" s="514">
        <f>+'Monthly Data-Disposal Fees'!N14</f>
        <v>3627.38</v>
      </c>
      <c r="O17" s="514">
        <f>+'Monthly Data-Disposal Fees'!O14</f>
        <v>3201.64</v>
      </c>
      <c r="P17" s="514">
        <f>+'Monthly Data-Disposal Fees'!P14</f>
        <v>7766.49</v>
      </c>
      <c r="Q17" s="5">
        <f t="shared" si="1"/>
        <v>25203.360000000001</v>
      </c>
    </row>
    <row r="18" spans="1:20">
      <c r="A18" s="574" t="str">
        <f>+'Monthly Data-Disposal Fees'!A15</f>
        <v>October</v>
      </c>
      <c r="C18" s="574">
        <f>+'Monthly Data-Disposal Fees'!C15</f>
        <v>0</v>
      </c>
      <c r="D18" s="574">
        <f>+'Monthly Data-Disposal Fees'!D15</f>
        <v>391</v>
      </c>
      <c r="E18" s="574">
        <f>+'Monthly Data-Disposal Fees'!E15</f>
        <v>110</v>
      </c>
      <c r="F18" s="574">
        <f>+'Monthly Data-Disposal Fees'!F15</f>
        <v>98</v>
      </c>
      <c r="G18" s="574">
        <f>+'Monthly Data-Disposal Fees'!G15</f>
        <v>272</v>
      </c>
      <c r="H18" s="574">
        <f t="shared" si="0"/>
        <v>871</v>
      </c>
      <c r="J18" s="26" t="str">
        <f t="shared" si="2"/>
        <v>October</v>
      </c>
      <c r="L18" s="514">
        <f>+'Monthly Data-Disposal Fees'!L15</f>
        <v>0</v>
      </c>
      <c r="M18" s="514">
        <f>+'Monthly Data-Disposal Fees'!M15</f>
        <v>13073.72</v>
      </c>
      <c r="N18" s="514">
        <f>+'Monthly Data-Disposal Fees'!N15</f>
        <v>3495.72</v>
      </c>
      <c r="O18" s="514">
        <f>+'Monthly Data-Disposal Fees'!O15</f>
        <v>3868.75</v>
      </c>
      <c r="P18" s="514">
        <f>+'Monthly Data-Disposal Fees'!P15</f>
        <v>8764.4699999999993</v>
      </c>
      <c r="Q18" s="5">
        <f t="shared" si="1"/>
        <v>29202.659999999996</v>
      </c>
    </row>
    <row r="19" spans="1:20">
      <c r="A19" s="574" t="str">
        <f>+'Monthly Data-Disposal Fees'!A16</f>
        <v xml:space="preserve">November </v>
      </c>
      <c r="C19" s="574">
        <f>+'Monthly Data-Disposal Fees'!C16</f>
        <v>0</v>
      </c>
      <c r="D19" s="574">
        <f>+'Monthly Data-Disposal Fees'!D16</f>
        <v>216</v>
      </c>
      <c r="E19" s="574">
        <f>+'Monthly Data-Disposal Fees'!E16</f>
        <v>78</v>
      </c>
      <c r="F19" s="574">
        <f>+'Monthly Data-Disposal Fees'!F16</f>
        <v>80</v>
      </c>
      <c r="G19" s="574">
        <f>+'Monthly Data-Disposal Fees'!G16</f>
        <v>221</v>
      </c>
      <c r="H19" s="574">
        <f t="shared" si="0"/>
        <v>595</v>
      </c>
      <c r="J19" s="26" t="str">
        <f t="shared" si="2"/>
        <v xml:space="preserve">November </v>
      </c>
      <c r="L19" s="514">
        <f>+'Monthly Data-Disposal Fees'!L16</f>
        <v>0</v>
      </c>
      <c r="M19" s="514">
        <f>+'Monthly Data-Disposal Fees'!M16</f>
        <v>7844.71</v>
      </c>
      <c r="N19" s="514">
        <f>+'Monthly Data-Disposal Fees'!N16</f>
        <v>2682.78</v>
      </c>
      <c r="O19" s="514">
        <f>+'Monthly Data-Disposal Fees'!O16</f>
        <v>2858.69</v>
      </c>
      <c r="P19" s="514">
        <f>+'Monthly Data-Disposal Fees'!P16</f>
        <v>7620.42</v>
      </c>
      <c r="Q19" s="5">
        <f t="shared" si="1"/>
        <v>21006.6</v>
      </c>
    </row>
    <row r="20" spans="1:20">
      <c r="A20" s="574" t="str">
        <f>+'Monthly Data-Disposal Fees'!A17</f>
        <v>December</v>
      </c>
      <c r="C20" s="574">
        <f>+'Monthly Data-Disposal Fees'!C17</f>
        <v>0</v>
      </c>
      <c r="D20" s="574">
        <f>+'Monthly Data-Disposal Fees'!D17</f>
        <v>79</v>
      </c>
      <c r="E20" s="574">
        <f>+'Monthly Data-Disposal Fees'!E17</f>
        <v>67</v>
      </c>
      <c r="F20" s="574">
        <f>+'Monthly Data-Disposal Fees'!F17</f>
        <v>70</v>
      </c>
      <c r="G20" s="574">
        <f>+'Monthly Data-Disposal Fees'!G17</f>
        <v>185</v>
      </c>
      <c r="H20" s="574">
        <f t="shared" si="0"/>
        <v>401</v>
      </c>
      <c r="J20" s="26" t="str">
        <f t="shared" si="2"/>
        <v>December</v>
      </c>
      <c r="L20" s="514">
        <f>+'Monthly Data-Disposal Fees'!L17</f>
        <v>0</v>
      </c>
      <c r="M20" s="514">
        <f>+'Monthly Data-Disposal Fees'!M17</f>
        <v>2664.94</v>
      </c>
      <c r="N20" s="514">
        <f>+'Monthly Data-Disposal Fees'!N17</f>
        <v>2195.83</v>
      </c>
      <c r="O20" s="514">
        <f>+'Monthly Data-Disposal Fees'!O17</f>
        <v>2415.54</v>
      </c>
      <c r="P20" s="514">
        <f>+'Monthly Data-Disposal Fees'!P17</f>
        <v>6391.62</v>
      </c>
      <c r="Q20" s="5">
        <f t="shared" si="1"/>
        <v>13667.93</v>
      </c>
    </row>
    <row r="21" spans="1:20">
      <c r="A21" s="574" t="str">
        <f>+'Monthly Data-Disposal Fees'!A18</f>
        <v>January</v>
      </c>
      <c r="C21" s="574">
        <f>+'Monthly Data-Disposal Fees'!C18</f>
        <v>0</v>
      </c>
      <c r="D21" s="574">
        <f>+'Monthly Data-Disposal Fees'!D18</f>
        <v>104</v>
      </c>
      <c r="E21" s="574">
        <f>+'Monthly Data-Disposal Fees'!E18</f>
        <v>69</v>
      </c>
      <c r="F21" s="574">
        <f>+'Monthly Data-Disposal Fees'!F18</f>
        <v>87</v>
      </c>
      <c r="G21" s="574">
        <f>+'Monthly Data-Disposal Fees'!G18</f>
        <v>219</v>
      </c>
      <c r="H21" s="574">
        <f t="shared" si="0"/>
        <v>479</v>
      </c>
      <c r="J21" s="26" t="str">
        <f t="shared" si="2"/>
        <v>January</v>
      </c>
      <c r="L21" s="514">
        <f>+'Monthly Data-Disposal Fees'!L18</f>
        <v>0</v>
      </c>
      <c r="M21" s="514">
        <f>+'Monthly Data-Disposal Fees'!M18</f>
        <v>3458.22</v>
      </c>
      <c r="N21" s="514">
        <f>+'Monthly Data-Disposal Fees'!N18</f>
        <v>2364.4699999999998</v>
      </c>
      <c r="O21" s="514">
        <f>+'Monthly Data-Disposal Fees'!O18</f>
        <v>3042.38</v>
      </c>
      <c r="P21" s="514">
        <f>+'Monthly Data-Disposal Fees'!P18</f>
        <v>7598.73</v>
      </c>
      <c r="Q21" s="5">
        <f t="shared" si="1"/>
        <v>16463.8</v>
      </c>
    </row>
    <row r="22" spans="1:20">
      <c r="A22" s="574" t="str">
        <f>+'Monthly Data-Disposal Fees'!A19</f>
        <v>February</v>
      </c>
      <c r="C22" s="574">
        <f>+'Monthly Data-Disposal Fees'!C19</f>
        <v>0</v>
      </c>
      <c r="D22" s="574">
        <f>+'Monthly Data-Disposal Fees'!D19</f>
        <v>101</v>
      </c>
      <c r="E22" s="574">
        <f>+'Monthly Data-Disposal Fees'!E19</f>
        <v>62</v>
      </c>
      <c r="F22" s="574">
        <f>+'Monthly Data-Disposal Fees'!F19</f>
        <v>65</v>
      </c>
      <c r="G22" s="574">
        <f>+'Monthly Data-Disposal Fees'!G19</f>
        <v>174</v>
      </c>
      <c r="H22" s="574">
        <f t="shared" si="0"/>
        <v>402</v>
      </c>
      <c r="J22" s="26" t="str">
        <f t="shared" si="2"/>
        <v>February</v>
      </c>
      <c r="L22" s="514">
        <f>+'Monthly Data-Disposal Fees'!L19</f>
        <v>0</v>
      </c>
      <c r="M22" s="514">
        <f>+'Monthly Data-Disposal Fees'!M19</f>
        <v>3309.92</v>
      </c>
      <c r="N22" s="514">
        <f>+'Monthly Data-Disposal Fees'!N19</f>
        <v>2071.63</v>
      </c>
      <c r="O22" s="514">
        <f>+'Monthly Data-Disposal Fees'!O19</f>
        <v>2362.96</v>
      </c>
      <c r="P22" s="514">
        <f>+'Monthly Data-Disposal Fees'!P19</f>
        <v>6249.42</v>
      </c>
      <c r="Q22" s="5">
        <f t="shared" si="1"/>
        <v>13993.93</v>
      </c>
    </row>
    <row r="23" spans="1:20">
      <c r="A23" s="574" t="str">
        <f>+'Monthly Data-Disposal Fees'!A20</f>
        <v>March</v>
      </c>
      <c r="C23" s="574">
        <f>+'Monthly Data-Disposal Fees'!C20</f>
        <v>0</v>
      </c>
      <c r="D23" s="574">
        <f>+'Monthly Data-Disposal Fees'!D20</f>
        <v>104</v>
      </c>
      <c r="E23" s="574">
        <f>+'Monthly Data-Disposal Fees'!E20</f>
        <v>66</v>
      </c>
      <c r="F23" s="574">
        <f>+'Monthly Data-Disposal Fees'!F20</f>
        <v>69</v>
      </c>
      <c r="G23" s="574">
        <f>+'Monthly Data-Disposal Fees'!G20</f>
        <v>211</v>
      </c>
      <c r="H23" s="574">
        <f t="shared" si="0"/>
        <v>450</v>
      </c>
      <c r="J23" s="26" t="str">
        <f t="shared" si="2"/>
        <v>March</v>
      </c>
      <c r="L23" s="514">
        <f>+'Monthly Data-Disposal Fees'!L20</f>
        <v>0</v>
      </c>
      <c r="M23" s="514">
        <f>+'Monthly Data-Disposal Fees'!M20</f>
        <v>3357</v>
      </c>
      <c r="N23" s="514">
        <f>+'Monthly Data-Disposal Fees'!N20</f>
        <v>2184.12</v>
      </c>
      <c r="O23" s="514">
        <f>+'Monthly Data-Disposal Fees'!O20</f>
        <v>2405.17</v>
      </c>
      <c r="P23" s="514">
        <f>+'Monthly Data-Disposal Fees'!P20</f>
        <v>7341.05</v>
      </c>
      <c r="Q23" s="5">
        <f t="shared" si="1"/>
        <v>15287.34</v>
      </c>
    </row>
    <row r="24" spans="1:20">
      <c r="A24" s="574" t="str">
        <f>+'Monthly Data-Disposal Fees'!A21</f>
        <v>April</v>
      </c>
      <c r="C24" s="574">
        <f>+'Monthly Data-Disposal Fees'!C21</f>
        <v>0</v>
      </c>
      <c r="D24" s="574">
        <f>+'Monthly Data-Disposal Fees'!D21</f>
        <v>162</v>
      </c>
      <c r="E24" s="574">
        <f>+'Monthly Data-Disposal Fees'!E21</f>
        <v>82</v>
      </c>
      <c r="F24" s="574">
        <f>+'Monthly Data-Disposal Fees'!F21</f>
        <v>96</v>
      </c>
      <c r="G24" s="574">
        <f>+'Monthly Data-Disposal Fees'!G21</f>
        <v>260</v>
      </c>
      <c r="H24" s="574">
        <f t="shared" si="0"/>
        <v>600</v>
      </c>
      <c r="J24" s="26" t="str">
        <f t="shared" si="2"/>
        <v>April</v>
      </c>
      <c r="L24" s="514">
        <f>+'Monthly Data-Disposal Fees'!L21</f>
        <v>0</v>
      </c>
      <c r="M24" s="514">
        <f>+'Monthly Data-Disposal Fees'!M21</f>
        <v>5178.03</v>
      </c>
      <c r="N24" s="514">
        <f>+'Monthly Data-Disposal Fees'!N21</f>
        <v>2517.14</v>
      </c>
      <c r="O24" s="514">
        <f>+'Monthly Data-Disposal Fees'!O21</f>
        <v>3339</v>
      </c>
      <c r="P24" s="514">
        <f>+'Monthly Data-Disposal Fees'!P21</f>
        <v>9085.7099999999991</v>
      </c>
      <c r="Q24" s="5">
        <f t="shared" si="1"/>
        <v>20119.879999999997</v>
      </c>
    </row>
    <row r="25" spans="1:20">
      <c r="A25" s="574" t="str">
        <f>+'Monthly Data-Disposal Fees'!A22</f>
        <v>May</v>
      </c>
      <c r="C25" s="574">
        <f>+'Monthly Data-Disposal Fees'!C22</f>
        <v>0</v>
      </c>
      <c r="D25" s="574">
        <f>+'Monthly Data-Disposal Fees'!D22</f>
        <v>158</v>
      </c>
      <c r="E25" s="574">
        <f>+'Monthly Data-Disposal Fees'!E22</f>
        <v>72</v>
      </c>
      <c r="F25" s="574">
        <f>+'Monthly Data-Disposal Fees'!F22</f>
        <v>80</v>
      </c>
      <c r="G25" s="574">
        <f>+'Monthly Data-Disposal Fees'!G22</f>
        <v>239</v>
      </c>
      <c r="H25" s="574">
        <f t="shared" si="0"/>
        <v>549</v>
      </c>
      <c r="J25" s="26" t="str">
        <f t="shared" si="2"/>
        <v>May</v>
      </c>
      <c r="L25" s="514">
        <f>+'Monthly Data-Disposal Fees'!L22</f>
        <v>0</v>
      </c>
      <c r="M25" s="514">
        <f>+'Monthly Data-Disposal Fees'!M22</f>
        <v>4849.96</v>
      </c>
      <c r="N25" s="514">
        <f>+'Monthly Data-Disposal Fees'!N22</f>
        <v>2431.7800000000002</v>
      </c>
      <c r="O25" s="514">
        <f>+'Monthly Data-Disposal Fees'!O22</f>
        <v>2793.5</v>
      </c>
      <c r="P25" s="514">
        <f>+'Monthly Data-Disposal Fees'!P22</f>
        <v>8304.6200000000008</v>
      </c>
      <c r="Q25" s="5">
        <f t="shared" si="1"/>
        <v>18379.86</v>
      </c>
    </row>
    <row r="26" spans="1:20" ht="13.5" thickBot="1">
      <c r="A26" s="574" t="str">
        <f>+'Monthly Data-Disposal Fees'!A23</f>
        <v>June</v>
      </c>
      <c r="C26" s="575">
        <f>+'Monthly Data-Disposal Fees'!C23</f>
        <v>0</v>
      </c>
      <c r="D26" s="575">
        <f>+'Monthly Data-Disposal Fees'!D23</f>
        <v>215</v>
      </c>
      <c r="E26" s="575">
        <f>+'Monthly Data-Disposal Fees'!E23</f>
        <v>77</v>
      </c>
      <c r="F26" s="575">
        <f>+'Monthly Data-Disposal Fees'!F23</f>
        <v>70</v>
      </c>
      <c r="G26" s="575">
        <f>+'Monthly Data-Disposal Fees'!G23</f>
        <v>240</v>
      </c>
      <c r="H26" s="575">
        <f t="shared" si="0"/>
        <v>602</v>
      </c>
      <c r="J26" s="26" t="str">
        <f t="shared" si="2"/>
        <v>June</v>
      </c>
      <c r="L26" s="576">
        <f>+'Monthly Data-Disposal Fees'!L23</f>
        <v>0</v>
      </c>
      <c r="M26" s="576">
        <f>+'Monthly Data-Disposal Fees'!M23</f>
        <v>6815.63</v>
      </c>
      <c r="N26" s="576">
        <f>+'Monthly Data-Disposal Fees'!N23</f>
        <v>2481.98</v>
      </c>
      <c r="O26" s="576">
        <f>+'Monthly Data-Disposal Fees'!O23</f>
        <v>2415.15</v>
      </c>
      <c r="P26" s="576">
        <f>+'Monthly Data-Disposal Fees'!P23</f>
        <v>8160.18</v>
      </c>
      <c r="Q26" s="6">
        <f t="shared" si="1"/>
        <v>19872.940000000002</v>
      </c>
    </row>
    <row r="27" spans="1:20">
      <c r="C27" s="26"/>
      <c r="D27" s="26"/>
      <c r="E27" s="26"/>
      <c r="F27" s="26"/>
      <c r="G27" s="26"/>
      <c r="H27" s="26"/>
      <c r="L27" s="5"/>
      <c r="M27" s="5"/>
      <c r="N27" s="5"/>
      <c r="O27" s="5"/>
      <c r="P27" s="5"/>
      <c r="Q27" s="5"/>
      <c r="S27" t="s">
        <v>1033</v>
      </c>
    </row>
    <row r="28" spans="1:20" ht="13.5" thickBot="1">
      <c r="B28" t="s">
        <v>27</v>
      </c>
      <c r="C28" s="125">
        <f t="shared" ref="C28:H28" si="3">SUM(C15:C26)</f>
        <v>0</v>
      </c>
      <c r="D28" s="125">
        <f t="shared" si="3"/>
        <v>2554</v>
      </c>
      <c r="E28" s="125">
        <f t="shared" si="3"/>
        <v>991</v>
      </c>
      <c r="F28" s="125">
        <f t="shared" si="3"/>
        <v>1022</v>
      </c>
      <c r="G28" s="125">
        <f t="shared" si="3"/>
        <v>2718</v>
      </c>
      <c r="H28" s="125">
        <f t="shared" si="3"/>
        <v>7285</v>
      </c>
      <c r="K28" t="s">
        <v>27</v>
      </c>
      <c r="L28" s="7">
        <f t="shared" ref="L28:Q28" si="4">SUM(L15:L26)</f>
        <v>0</v>
      </c>
      <c r="M28" s="7">
        <f t="shared" si="4"/>
        <v>83901.660000000018</v>
      </c>
      <c r="N28" s="7">
        <f t="shared" si="4"/>
        <v>32551.600000000002</v>
      </c>
      <c r="O28" s="7">
        <f t="shared" si="4"/>
        <v>36450.660000000003</v>
      </c>
      <c r="P28" s="7">
        <f t="shared" si="4"/>
        <v>93066.09</v>
      </c>
      <c r="Q28" s="7">
        <f t="shared" si="4"/>
        <v>245970.01</v>
      </c>
      <c r="S28" s="5">
        <f>L28+M28+N28</f>
        <v>116453.26000000002</v>
      </c>
    </row>
    <row r="29" spans="1:20" ht="13.5" thickTop="1">
      <c r="S29" s="507">
        <f>+C28+D28+E28</f>
        <v>3545</v>
      </c>
      <c r="T29" s="285" t="s">
        <v>1034</v>
      </c>
    </row>
    <row r="30" spans="1:20" ht="13.5" thickBot="1">
      <c r="C30" s="13">
        <f>+C28/H28</f>
        <v>0</v>
      </c>
      <c r="D30" s="13">
        <f>+D28/H28</f>
        <v>0.3505833905284832</v>
      </c>
      <c r="E30" s="13">
        <f>+E28/H28</f>
        <v>0.13603294440631433</v>
      </c>
      <c r="F30" s="13">
        <f>+F28/H28</f>
        <v>0.14028826355525051</v>
      </c>
      <c r="G30" s="13">
        <f>+G28/H28</f>
        <v>0.37309540150995196</v>
      </c>
      <c r="H30" s="13">
        <f>SUM(C30:G30)</f>
        <v>1</v>
      </c>
      <c r="L30" s="13">
        <f>+L28/Q28</f>
        <v>0</v>
      </c>
      <c r="M30" s="13">
        <f>+M28/Q28</f>
        <v>0.34110524287086874</v>
      </c>
      <c r="N30" s="13">
        <f>+N28/Q28</f>
        <v>0.1323397108452368</v>
      </c>
      <c r="O30" s="13">
        <f>+O28/Q28</f>
        <v>0.14819148074190022</v>
      </c>
      <c r="P30" s="13">
        <f>+P28/Q28</f>
        <v>0.3783635655419943</v>
      </c>
      <c r="Q30" s="13">
        <f>SUM(L30:P30)</f>
        <v>1</v>
      </c>
    </row>
    <row r="31" spans="1:20" ht="13.5" thickTop="1"/>
    <row r="32" spans="1:20" ht="13.5" thickBot="1">
      <c r="K32" t="s">
        <v>1035</v>
      </c>
      <c r="L32" s="13">
        <f>+L28/SUM(L28:N28)</f>
        <v>0</v>
      </c>
      <c r="M32" s="13">
        <f>+M28/SUM(L28:N28)</f>
        <v>0.72047497854504028</v>
      </c>
      <c r="N32" s="13">
        <f>1-L32-M32</f>
        <v>0.27952502145495972</v>
      </c>
    </row>
    <row r="33" spans="1:17" ht="13.5" thickTop="1"/>
    <row r="34" spans="1:17">
      <c r="A34" s="93" t="s">
        <v>1036</v>
      </c>
      <c r="J34" s="93" t="s">
        <v>1037</v>
      </c>
    </row>
    <row r="35" spans="1:17">
      <c r="A35" s="93"/>
      <c r="J35" s="93"/>
    </row>
    <row r="36" spans="1:17" ht="13.5" thickBot="1">
      <c r="C36" s="3" t="s">
        <v>222</v>
      </c>
      <c r="D36" s="3" t="s">
        <v>224</v>
      </c>
      <c r="E36" s="3" t="s">
        <v>223</v>
      </c>
      <c r="F36" s="3" t="s">
        <v>378</v>
      </c>
      <c r="G36" s="3" t="s">
        <v>377</v>
      </c>
      <c r="H36" s="3" t="s">
        <v>27</v>
      </c>
      <c r="L36" s="3" t="s">
        <v>222</v>
      </c>
      <c r="M36" s="3" t="s">
        <v>224</v>
      </c>
      <c r="N36" s="3" t="s">
        <v>223</v>
      </c>
      <c r="O36" s="3" t="s">
        <v>378</v>
      </c>
      <c r="P36" s="3" t="s">
        <v>377</v>
      </c>
      <c r="Q36" s="3" t="s">
        <v>27</v>
      </c>
    </row>
    <row r="37" spans="1:17" ht="13.5" thickTop="1">
      <c r="C37" s="530"/>
      <c r="D37" s="530"/>
      <c r="E37" s="530"/>
      <c r="F37" s="530"/>
      <c r="G37" s="530"/>
      <c r="H37" s="530"/>
      <c r="L37" s="530"/>
      <c r="M37" s="530"/>
      <c r="N37" s="530"/>
      <c r="O37" s="530"/>
      <c r="P37" s="530"/>
      <c r="Q37" s="530"/>
    </row>
    <row r="38" spans="1:17">
      <c r="A38" s="574" t="str">
        <f>+'Monthly Data-Disposal Fees'!A35</f>
        <v>July</v>
      </c>
      <c r="C38" s="574">
        <f>+'Monthly Data-Disposal Fees'!C35</f>
        <v>1274</v>
      </c>
      <c r="D38" s="574">
        <f>+'Monthly Data-Disposal Fees'!D35</f>
        <v>25</v>
      </c>
      <c r="E38" s="574">
        <f>+'Monthly Data-Disposal Fees'!E35</f>
        <v>3</v>
      </c>
      <c r="F38" s="574">
        <f>+'Monthly Data-Disposal Fees'!F35</f>
        <v>0</v>
      </c>
      <c r="G38" s="574">
        <f>+'Monthly Data-Disposal Fees'!G35</f>
        <v>0</v>
      </c>
      <c r="H38" s="26">
        <f t="shared" ref="H38:H49" si="5">SUM(C38:G38)</f>
        <v>1302</v>
      </c>
      <c r="J38" s="26" t="str">
        <f>A38</f>
        <v>July</v>
      </c>
      <c r="L38" s="514">
        <f>+'Monthly Data-Disposal Fees'!L35</f>
        <v>50437.66</v>
      </c>
      <c r="M38" s="514">
        <f>+'Monthly Data-Disposal Fees'!M35</f>
        <v>989.75</v>
      </c>
      <c r="N38" s="514">
        <f>+'Monthly Data-Disposal Fees'!N35</f>
        <v>118.77</v>
      </c>
      <c r="O38" s="514">
        <f>+'Monthly Data-Disposal Fees'!O35</f>
        <v>0</v>
      </c>
      <c r="P38" s="514">
        <f>+'Monthly Data-Disposal Fees'!P35</f>
        <v>0</v>
      </c>
      <c r="Q38" s="5">
        <f t="shared" ref="Q38:Q49" si="6">SUM(L38:P38)</f>
        <v>51546.18</v>
      </c>
    </row>
    <row r="39" spans="1:17">
      <c r="A39" s="574" t="str">
        <f>+'Monthly Data-Disposal Fees'!A36</f>
        <v>August</v>
      </c>
      <c r="C39" s="574">
        <f>+'Monthly Data-Disposal Fees'!C36</f>
        <v>1319</v>
      </c>
      <c r="D39" s="574">
        <f>+'Monthly Data-Disposal Fees'!D36</f>
        <v>13</v>
      </c>
      <c r="E39" s="574">
        <f>+'Monthly Data-Disposal Fees'!E36</f>
        <v>0</v>
      </c>
      <c r="F39" s="574">
        <f>+'Monthly Data-Disposal Fees'!F36</f>
        <v>0</v>
      </c>
      <c r="G39" s="574">
        <f>+'Monthly Data-Disposal Fees'!G36</f>
        <v>0</v>
      </c>
      <c r="H39" s="26">
        <f t="shared" si="5"/>
        <v>1332</v>
      </c>
      <c r="J39" s="26" t="str">
        <f t="shared" ref="J39:J49" si="7">A39</f>
        <v>August</v>
      </c>
      <c r="L39" s="514">
        <f>+'Monthly Data-Disposal Fees'!L36</f>
        <v>52219.21</v>
      </c>
      <c r="M39" s="514">
        <f>+'Monthly Data-Disposal Fees'!M36</f>
        <v>514.66999999999996</v>
      </c>
      <c r="N39" s="514">
        <f>+'Monthly Data-Disposal Fees'!N36</f>
        <v>0</v>
      </c>
      <c r="O39" s="514">
        <f>+'Monthly Data-Disposal Fees'!O36</f>
        <v>0</v>
      </c>
      <c r="P39" s="514">
        <f>+'Monthly Data-Disposal Fees'!P36</f>
        <v>0</v>
      </c>
      <c r="Q39" s="5">
        <f t="shared" si="6"/>
        <v>52733.88</v>
      </c>
    </row>
    <row r="40" spans="1:17">
      <c r="A40" s="574" t="str">
        <f>+'Monthly Data-Disposal Fees'!A37</f>
        <v>September</v>
      </c>
      <c r="C40" s="574">
        <f>+'Monthly Data-Disposal Fees'!C37</f>
        <v>994</v>
      </c>
      <c r="D40" s="574">
        <f>+'Monthly Data-Disposal Fees'!D37</f>
        <v>15</v>
      </c>
      <c r="E40" s="574">
        <f>+'Monthly Data-Disposal Fees'!E37</f>
        <v>0</v>
      </c>
      <c r="F40" s="574">
        <f>+'Monthly Data-Disposal Fees'!F37</f>
        <v>0</v>
      </c>
      <c r="G40" s="574">
        <f>+'Monthly Data-Disposal Fees'!G37</f>
        <v>0</v>
      </c>
      <c r="H40" s="26">
        <f t="shared" si="5"/>
        <v>1009</v>
      </c>
      <c r="J40" s="26" t="str">
        <f t="shared" si="7"/>
        <v>September</v>
      </c>
      <c r="L40" s="514">
        <f>+'Monthly Data-Disposal Fees'!L37</f>
        <v>39352.46</v>
      </c>
      <c r="M40" s="514">
        <f>+'Monthly Data-Disposal Fees'!M37</f>
        <v>593.85</v>
      </c>
      <c r="N40" s="514">
        <f>+'Monthly Data-Disposal Fees'!N37</f>
        <v>0</v>
      </c>
      <c r="O40" s="514">
        <f>+'Monthly Data-Disposal Fees'!O37</f>
        <v>0</v>
      </c>
      <c r="P40" s="514">
        <f>+'Monthly Data-Disposal Fees'!P37</f>
        <v>0</v>
      </c>
      <c r="Q40" s="5">
        <f t="shared" si="6"/>
        <v>39946.31</v>
      </c>
    </row>
    <row r="41" spans="1:17">
      <c r="A41" s="574" t="str">
        <f>+'Monthly Data-Disposal Fees'!A38</f>
        <v>October</v>
      </c>
      <c r="C41" s="574">
        <f>+'Monthly Data-Disposal Fees'!C38</f>
        <v>925</v>
      </c>
      <c r="D41" s="574">
        <f>+'Monthly Data-Disposal Fees'!D38</f>
        <v>15</v>
      </c>
      <c r="E41" s="574">
        <f>+'Monthly Data-Disposal Fees'!E38</f>
        <v>0</v>
      </c>
      <c r="F41" s="574">
        <f>+'Monthly Data-Disposal Fees'!F38</f>
        <v>0</v>
      </c>
      <c r="G41" s="574">
        <f>+'Monthly Data-Disposal Fees'!G38</f>
        <v>0</v>
      </c>
      <c r="H41" s="26">
        <f t="shared" si="5"/>
        <v>940</v>
      </c>
      <c r="J41" s="26" t="str">
        <f t="shared" si="7"/>
        <v>October</v>
      </c>
      <c r="L41" s="514">
        <f>+'Monthly Data-Disposal Fees'!L38</f>
        <v>36620.75</v>
      </c>
      <c r="M41" s="514">
        <f>+'Monthly Data-Disposal Fees'!M38</f>
        <v>593.85</v>
      </c>
      <c r="N41" s="514">
        <f>+'Monthly Data-Disposal Fees'!N38</f>
        <v>0</v>
      </c>
      <c r="O41" s="514">
        <f>+'Monthly Data-Disposal Fees'!O38</f>
        <v>0</v>
      </c>
      <c r="P41" s="514">
        <f>+'Monthly Data-Disposal Fees'!P38</f>
        <v>0</v>
      </c>
      <c r="Q41" s="5">
        <f t="shared" si="6"/>
        <v>37214.6</v>
      </c>
    </row>
    <row r="42" spans="1:17">
      <c r="A42" s="574" t="str">
        <f>+'Monthly Data-Disposal Fees'!A39</f>
        <v xml:space="preserve">November </v>
      </c>
      <c r="C42" s="574">
        <f>+'Monthly Data-Disposal Fees'!C39</f>
        <v>825</v>
      </c>
      <c r="D42" s="574">
        <f>+'Monthly Data-Disposal Fees'!D39</f>
        <v>10</v>
      </c>
      <c r="E42" s="574">
        <f>+'Monthly Data-Disposal Fees'!E39</f>
        <v>0</v>
      </c>
      <c r="F42" s="574">
        <f>+'Monthly Data-Disposal Fees'!F39</f>
        <v>0</v>
      </c>
      <c r="G42" s="574">
        <f>+'Monthly Data-Disposal Fees'!G39</f>
        <v>0</v>
      </c>
      <c r="H42" s="26">
        <f t="shared" si="5"/>
        <v>835</v>
      </c>
      <c r="J42" s="26" t="str">
        <f t="shared" si="7"/>
        <v xml:space="preserve">November </v>
      </c>
      <c r="L42" s="514">
        <f>+'Monthly Data-Disposal Fees'!L39</f>
        <v>32661.75</v>
      </c>
      <c r="M42" s="514">
        <f>+'Monthly Data-Disposal Fees'!M39</f>
        <v>395.9</v>
      </c>
      <c r="N42" s="514">
        <f>+'Monthly Data-Disposal Fees'!N39</f>
        <v>0</v>
      </c>
      <c r="O42" s="514">
        <f>+'Monthly Data-Disposal Fees'!O39</f>
        <v>0</v>
      </c>
      <c r="P42" s="514">
        <f>+'Monthly Data-Disposal Fees'!P39</f>
        <v>0</v>
      </c>
      <c r="Q42" s="5">
        <f t="shared" si="6"/>
        <v>33057.65</v>
      </c>
    </row>
    <row r="43" spans="1:17">
      <c r="A43" s="574" t="str">
        <f>+'Monthly Data-Disposal Fees'!A40</f>
        <v>December</v>
      </c>
      <c r="C43" s="574">
        <f>+'Monthly Data-Disposal Fees'!C40</f>
        <v>594</v>
      </c>
      <c r="D43" s="574">
        <f>+'Monthly Data-Disposal Fees'!D40</f>
        <v>8</v>
      </c>
      <c r="E43" s="574">
        <f>+'Monthly Data-Disposal Fees'!E40</f>
        <v>0</v>
      </c>
      <c r="F43" s="574">
        <f>+'Monthly Data-Disposal Fees'!F40</f>
        <v>0</v>
      </c>
      <c r="G43" s="574">
        <f>+'Monthly Data-Disposal Fees'!G40</f>
        <v>0</v>
      </c>
      <c r="H43" s="26">
        <f t="shared" si="5"/>
        <v>602</v>
      </c>
      <c r="J43" s="26" t="str">
        <f t="shared" si="7"/>
        <v>December</v>
      </c>
      <c r="L43" s="514">
        <f>+'Monthly Data-Disposal Fees'!L40</f>
        <v>23516.46</v>
      </c>
      <c r="M43" s="514">
        <f>+'Monthly Data-Disposal Fees'!M40</f>
        <v>316.72000000000003</v>
      </c>
      <c r="N43" s="514">
        <f>+'Monthly Data-Disposal Fees'!N40</f>
        <v>0</v>
      </c>
      <c r="O43" s="514">
        <f>+'Monthly Data-Disposal Fees'!O40</f>
        <v>0</v>
      </c>
      <c r="P43" s="514">
        <f>+'Monthly Data-Disposal Fees'!P40</f>
        <v>0</v>
      </c>
      <c r="Q43" s="5">
        <f t="shared" si="6"/>
        <v>23833.18</v>
      </c>
    </row>
    <row r="44" spans="1:17">
      <c r="A44" s="574" t="str">
        <f>+'Monthly Data-Disposal Fees'!A41</f>
        <v>January</v>
      </c>
      <c r="C44" s="574">
        <f>+'Monthly Data-Disposal Fees'!C41</f>
        <v>718</v>
      </c>
      <c r="D44" s="574">
        <f>+'Monthly Data-Disposal Fees'!D41</f>
        <v>11</v>
      </c>
      <c r="E44" s="574">
        <f>+'Monthly Data-Disposal Fees'!E41</f>
        <v>0</v>
      </c>
      <c r="F44" s="574">
        <f>+'Monthly Data-Disposal Fees'!F41</f>
        <v>0</v>
      </c>
      <c r="G44" s="574">
        <f>+'Monthly Data-Disposal Fees'!G41</f>
        <v>0</v>
      </c>
      <c r="H44" s="26">
        <f t="shared" si="5"/>
        <v>729</v>
      </c>
      <c r="J44" s="26" t="str">
        <f t="shared" si="7"/>
        <v>January</v>
      </c>
      <c r="L44" s="514">
        <f>+'Monthly Data-Disposal Fees'!L41</f>
        <v>28425.62</v>
      </c>
      <c r="M44" s="514">
        <f>+'Monthly Data-Disposal Fees'!M41</f>
        <v>435.49</v>
      </c>
      <c r="N44" s="514">
        <f>+'Monthly Data-Disposal Fees'!N41</f>
        <v>0</v>
      </c>
      <c r="O44" s="514">
        <f>+'Monthly Data-Disposal Fees'!O41</f>
        <v>0</v>
      </c>
      <c r="P44" s="514">
        <f>+'Monthly Data-Disposal Fees'!P41</f>
        <v>0</v>
      </c>
      <c r="Q44" s="5">
        <f t="shared" si="6"/>
        <v>28861.11</v>
      </c>
    </row>
    <row r="45" spans="1:17">
      <c r="A45" s="574" t="str">
        <f>+'Monthly Data-Disposal Fees'!A42</f>
        <v>February</v>
      </c>
      <c r="C45" s="574">
        <f>+'Monthly Data-Disposal Fees'!C42</f>
        <v>676</v>
      </c>
      <c r="D45" s="574">
        <f>+'Monthly Data-Disposal Fees'!D42</f>
        <v>8</v>
      </c>
      <c r="E45" s="574">
        <f>+'Monthly Data-Disposal Fees'!E42</f>
        <v>0</v>
      </c>
      <c r="F45" s="574">
        <f>+'Monthly Data-Disposal Fees'!F42</f>
        <v>0</v>
      </c>
      <c r="G45" s="574">
        <f>+'Monthly Data-Disposal Fees'!G42</f>
        <v>0</v>
      </c>
      <c r="H45" s="26">
        <f t="shared" si="5"/>
        <v>684</v>
      </c>
      <c r="J45" s="26" t="str">
        <f t="shared" si="7"/>
        <v>February</v>
      </c>
      <c r="L45" s="514">
        <f>+'Monthly Data-Disposal Fees'!L42</f>
        <v>26762.84</v>
      </c>
      <c r="M45" s="514">
        <f>+'Monthly Data-Disposal Fees'!M42</f>
        <v>316.72000000000003</v>
      </c>
      <c r="N45" s="514">
        <f>+'Monthly Data-Disposal Fees'!N42</f>
        <v>0</v>
      </c>
      <c r="O45" s="514">
        <f>+'Monthly Data-Disposal Fees'!O42</f>
        <v>0</v>
      </c>
      <c r="P45" s="514">
        <f>+'Monthly Data-Disposal Fees'!P42</f>
        <v>0</v>
      </c>
      <c r="Q45" s="5">
        <f t="shared" si="6"/>
        <v>27079.56</v>
      </c>
    </row>
    <row r="46" spans="1:17">
      <c r="A46" s="574" t="str">
        <f>+'Monthly Data-Disposal Fees'!A43</f>
        <v>March</v>
      </c>
      <c r="C46" s="574">
        <f>+'Monthly Data-Disposal Fees'!C43</f>
        <v>686</v>
      </c>
      <c r="D46" s="574">
        <f>+'Monthly Data-Disposal Fees'!D43</f>
        <v>8</v>
      </c>
      <c r="E46" s="574">
        <f>+'Monthly Data-Disposal Fees'!E43</f>
        <v>0</v>
      </c>
      <c r="F46" s="574">
        <f>+'Monthly Data-Disposal Fees'!F43</f>
        <v>0</v>
      </c>
      <c r="G46" s="574">
        <f>+'Monthly Data-Disposal Fees'!G43</f>
        <v>0</v>
      </c>
      <c r="H46" s="26">
        <f t="shared" si="5"/>
        <v>694</v>
      </c>
      <c r="J46" s="26" t="str">
        <f t="shared" si="7"/>
        <v>March</v>
      </c>
      <c r="L46" s="514">
        <f>+'Monthly Data-Disposal Fees'!L43</f>
        <v>27158.74</v>
      </c>
      <c r="M46" s="514">
        <f>+'Monthly Data-Disposal Fees'!M43</f>
        <v>316.72000000000003</v>
      </c>
      <c r="N46" s="514">
        <f>+'Monthly Data-Disposal Fees'!N43</f>
        <v>0</v>
      </c>
      <c r="O46" s="514">
        <f>+'Monthly Data-Disposal Fees'!O43</f>
        <v>0</v>
      </c>
      <c r="P46" s="514">
        <f>+'Monthly Data-Disposal Fees'!P43</f>
        <v>0</v>
      </c>
      <c r="Q46" s="5">
        <f t="shared" si="6"/>
        <v>27475.460000000003</v>
      </c>
    </row>
    <row r="47" spans="1:17">
      <c r="A47" s="574" t="str">
        <f>+'Monthly Data-Disposal Fees'!A44</f>
        <v>April</v>
      </c>
      <c r="C47" s="574">
        <f>+'Monthly Data-Disposal Fees'!C44</f>
        <v>870</v>
      </c>
      <c r="D47" s="574">
        <f>+'Monthly Data-Disposal Fees'!D44</f>
        <v>10</v>
      </c>
      <c r="E47" s="574">
        <f>+'Monthly Data-Disposal Fees'!E44</f>
        <v>0</v>
      </c>
      <c r="F47" s="574">
        <f>+'Monthly Data-Disposal Fees'!F44</f>
        <v>0</v>
      </c>
      <c r="G47" s="574">
        <f>+'Monthly Data-Disposal Fees'!G44</f>
        <v>0</v>
      </c>
      <c r="H47" s="26">
        <f t="shared" si="5"/>
        <v>880</v>
      </c>
      <c r="J47" s="26" t="str">
        <f t="shared" si="7"/>
        <v>April</v>
      </c>
      <c r="L47" s="514">
        <f>+'Monthly Data-Disposal Fees'!L44</f>
        <v>34443.300000000003</v>
      </c>
      <c r="M47" s="514">
        <f>+'Monthly Data-Disposal Fees'!M44</f>
        <v>395.9</v>
      </c>
      <c r="N47" s="514">
        <f>+'Monthly Data-Disposal Fees'!N44</f>
        <v>0</v>
      </c>
      <c r="O47" s="514">
        <f>+'Monthly Data-Disposal Fees'!O44</f>
        <v>0</v>
      </c>
      <c r="P47" s="514">
        <f>+'Monthly Data-Disposal Fees'!P44</f>
        <v>0</v>
      </c>
      <c r="Q47" s="5">
        <f t="shared" si="6"/>
        <v>34839.200000000004</v>
      </c>
    </row>
    <row r="48" spans="1:17">
      <c r="A48" s="574" t="str">
        <f>+'Monthly Data-Disposal Fees'!A45</f>
        <v>May</v>
      </c>
      <c r="C48" s="574">
        <f>+'Monthly Data-Disposal Fees'!C45</f>
        <v>1033</v>
      </c>
      <c r="D48" s="574">
        <f>+'Monthly Data-Disposal Fees'!D45</f>
        <v>10</v>
      </c>
      <c r="E48" s="574">
        <f>+'Monthly Data-Disposal Fees'!E45</f>
        <v>3</v>
      </c>
      <c r="F48" s="574">
        <f>+'Monthly Data-Disposal Fees'!F45</f>
        <v>0</v>
      </c>
      <c r="G48" s="574">
        <f>+'Monthly Data-Disposal Fees'!G45</f>
        <v>0</v>
      </c>
      <c r="H48" s="26">
        <f t="shared" si="5"/>
        <v>1046</v>
      </c>
      <c r="J48" s="26" t="str">
        <f t="shared" si="7"/>
        <v>May</v>
      </c>
      <c r="L48" s="514">
        <f>+'Monthly Data-Disposal Fees'!L45</f>
        <v>40896.47</v>
      </c>
      <c r="M48" s="514">
        <f>+'Monthly Data-Disposal Fees'!M45</f>
        <v>395.9</v>
      </c>
      <c r="N48" s="514">
        <f>+'Monthly Data-Disposal Fees'!N45</f>
        <v>118.77</v>
      </c>
      <c r="O48" s="514">
        <f>+'Monthly Data-Disposal Fees'!O45</f>
        <v>0</v>
      </c>
      <c r="P48" s="514">
        <f>+'Monthly Data-Disposal Fees'!P45</f>
        <v>0</v>
      </c>
      <c r="Q48" s="5">
        <f t="shared" si="6"/>
        <v>41411.14</v>
      </c>
    </row>
    <row r="49" spans="1:19" ht="13.5" thickBot="1">
      <c r="A49" s="574" t="str">
        <f>+'Monthly Data-Disposal Fees'!A46</f>
        <v>June</v>
      </c>
      <c r="C49" s="575">
        <f>+'Monthly Data-Disposal Fees'!C46</f>
        <v>1033</v>
      </c>
      <c r="D49" s="575">
        <f>+'Monthly Data-Disposal Fees'!D46</f>
        <v>10</v>
      </c>
      <c r="E49" s="575">
        <f>+'Monthly Data-Disposal Fees'!E46</f>
        <v>0</v>
      </c>
      <c r="F49" s="575">
        <f>+'Monthly Data-Disposal Fees'!F46</f>
        <v>10</v>
      </c>
      <c r="G49" s="575">
        <f>+'Monthly Data-Disposal Fees'!G46</f>
        <v>0</v>
      </c>
      <c r="H49" s="130">
        <f t="shared" si="5"/>
        <v>1053</v>
      </c>
      <c r="J49" s="26" t="str">
        <f t="shared" si="7"/>
        <v>June</v>
      </c>
      <c r="L49" s="576">
        <f>+'Monthly Data-Disposal Fees'!L46</f>
        <v>40896.47</v>
      </c>
      <c r="M49" s="576">
        <f>+'Monthly Data-Disposal Fees'!M46</f>
        <v>395.9</v>
      </c>
      <c r="N49" s="576">
        <f>+'Monthly Data-Disposal Fees'!N46</f>
        <v>0</v>
      </c>
      <c r="O49" s="576">
        <f>+'Monthly Data-Disposal Fees'!O46</f>
        <v>395.9</v>
      </c>
      <c r="P49" s="576">
        <f>+'Monthly Data-Disposal Fees'!P46</f>
        <v>0</v>
      </c>
      <c r="Q49" s="6">
        <f t="shared" si="6"/>
        <v>41688.270000000004</v>
      </c>
    </row>
    <row r="50" spans="1:19">
      <c r="C50" s="26"/>
      <c r="D50" s="26"/>
      <c r="E50" s="26"/>
      <c r="F50" s="26"/>
      <c r="G50" s="26"/>
      <c r="H50" s="26"/>
      <c r="L50" s="5"/>
      <c r="M50" s="5"/>
      <c r="N50" s="5"/>
      <c r="O50" s="5"/>
      <c r="P50" s="5"/>
      <c r="Q50" s="5"/>
    </row>
    <row r="51" spans="1:19" ht="13.5" thickBot="1">
      <c r="B51" t="s">
        <v>27</v>
      </c>
      <c r="C51" s="125">
        <f t="shared" ref="C51:H51" si="8">SUM(C38:C49)</f>
        <v>10947</v>
      </c>
      <c r="D51" s="125">
        <f t="shared" si="8"/>
        <v>143</v>
      </c>
      <c r="E51" s="125">
        <f t="shared" si="8"/>
        <v>6</v>
      </c>
      <c r="F51" s="125">
        <f t="shared" si="8"/>
        <v>10</v>
      </c>
      <c r="G51" s="125">
        <f t="shared" si="8"/>
        <v>0</v>
      </c>
      <c r="H51" s="125">
        <f t="shared" si="8"/>
        <v>11106</v>
      </c>
      <c r="K51" t="s">
        <v>27</v>
      </c>
      <c r="L51" s="7">
        <f t="shared" ref="L51:Q51" si="9">SUM(L38:L49)</f>
        <v>433391.73</v>
      </c>
      <c r="M51" s="7">
        <f t="shared" si="9"/>
        <v>5661.369999999999</v>
      </c>
      <c r="N51" s="7">
        <f t="shared" si="9"/>
        <v>237.54</v>
      </c>
      <c r="O51" s="7">
        <f t="shared" si="9"/>
        <v>395.9</v>
      </c>
      <c r="P51" s="7">
        <f t="shared" si="9"/>
        <v>0</v>
      </c>
      <c r="Q51" s="7">
        <f t="shared" si="9"/>
        <v>439686.54000000004</v>
      </c>
      <c r="S51" s="5">
        <f>L51+M51+N51</f>
        <v>439290.63999999996</v>
      </c>
    </row>
    <row r="52" spans="1:19" ht="13.5" thickTop="1"/>
    <row r="53" spans="1:19" ht="13.5" thickBot="1">
      <c r="C53" s="13">
        <f>+C51/H51</f>
        <v>0.98568341437061047</v>
      </c>
      <c r="D53" s="13">
        <f>+D51/H51</f>
        <v>1.2875922924545291E-2</v>
      </c>
      <c r="E53" s="13">
        <f>+E51/H51</f>
        <v>5.4024851431658564E-4</v>
      </c>
      <c r="F53" s="13">
        <f>+F51/H51</f>
        <v>9.004141905276427E-4</v>
      </c>
      <c r="G53" s="13">
        <f>+G51/H51</f>
        <v>0</v>
      </c>
      <c r="H53" s="13">
        <f>SUM(C53:G53)</f>
        <v>1</v>
      </c>
      <c r="L53" s="13">
        <f>+L51/Q51</f>
        <v>0.98568341437061036</v>
      </c>
      <c r="M53" s="13">
        <f>+M51/Q51</f>
        <v>1.2875922924545287E-2</v>
      </c>
      <c r="N53" s="13">
        <f>+N51/Q51</f>
        <v>5.4024851431658553E-4</v>
      </c>
      <c r="O53" s="13">
        <f>+O51/Q51</f>
        <v>9.0041419052764259E-4</v>
      </c>
      <c r="P53" s="13">
        <f>+P51/Q51</f>
        <v>0</v>
      </c>
      <c r="Q53" s="13">
        <f>SUM(L53:P53)</f>
        <v>0.99999999999999989</v>
      </c>
    </row>
    <row r="54" spans="1:19" ht="13.5" thickTop="1"/>
    <row r="55" spans="1:19" ht="13.5" thickBot="1">
      <c r="K55" t="s">
        <v>1035</v>
      </c>
      <c r="L55" s="13">
        <f>+L51/SUM(L51:N51)</f>
        <v>0.9865717375630858</v>
      </c>
      <c r="M55" s="13">
        <f>+M51/SUM(L51:N51)</f>
        <v>1.2887527036770006E-2</v>
      </c>
      <c r="N55" s="13">
        <f>1-L55-M55</f>
        <v>5.4073540014418914E-4</v>
      </c>
      <c r="S55" s="5">
        <f>S28+S51</f>
        <v>555743.9</v>
      </c>
    </row>
    <row r="56" spans="1:19" ht="13.5" thickTop="1"/>
  </sheetData>
  <pageMargins left="0.25" right="0.25" top="0.25" bottom="0.25" header="0.5" footer="0.5"/>
  <pageSetup scale="67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59999389629810485"/>
    <pageSetUpPr fitToPage="1"/>
  </sheetPr>
  <dimension ref="A1:AH100"/>
  <sheetViews>
    <sheetView zoomScale="101" zoomScaleNormal="101" workbookViewId="0">
      <selection activeCell="E4" sqref="E4"/>
    </sheetView>
  </sheetViews>
  <sheetFormatPr defaultRowHeight="12.75"/>
  <cols>
    <col min="1" max="1" width="18.85546875" customWidth="1"/>
    <col min="2" max="2" width="7.140625" customWidth="1"/>
    <col min="3" max="3" width="10" customWidth="1"/>
    <col min="4" max="4" width="9.140625" customWidth="1"/>
    <col min="5" max="5" width="12.7109375" customWidth="1"/>
    <col min="6" max="6" width="10.140625" customWidth="1"/>
    <col min="7" max="7" width="8.85546875" customWidth="1"/>
    <col min="8" max="8" width="13.85546875" customWidth="1"/>
    <col min="9" max="9" width="9.85546875" customWidth="1"/>
    <col min="10" max="10" width="13.5703125" customWidth="1"/>
    <col min="11" max="11" width="7.42578125" customWidth="1"/>
    <col min="12" max="12" width="10" customWidth="1"/>
    <col min="13" max="13" width="9.7109375" customWidth="1"/>
    <col min="14" max="14" width="11.5703125" customWidth="1"/>
    <col min="15" max="15" width="9.28515625" customWidth="1"/>
    <col min="16" max="16" width="8.85546875" customWidth="1"/>
    <col min="17" max="17" width="12" customWidth="1"/>
    <col min="18" max="18" width="9.42578125" customWidth="1"/>
    <col min="19" max="19" width="12.28515625" customWidth="1"/>
    <col min="20" max="20" width="8.140625" customWidth="1"/>
    <col min="21" max="21" width="9.28515625" customWidth="1"/>
    <col min="22" max="22" width="9.140625" customWidth="1"/>
    <col min="23" max="23" width="11.5703125" customWidth="1"/>
    <col min="24" max="24" width="9.85546875" customWidth="1"/>
    <col min="25" max="25" width="9.140625" customWidth="1"/>
    <col min="26" max="26" width="12.140625" customWidth="1"/>
    <col min="27" max="27" width="9.42578125" customWidth="1"/>
    <col min="28" max="28" width="12.28515625" customWidth="1"/>
    <col min="29" max="29" width="12" customWidth="1"/>
    <col min="31" max="31" width="13.140625" customWidth="1"/>
    <col min="32" max="32" width="14.140625" customWidth="1"/>
  </cols>
  <sheetData>
    <row r="1" spans="1:34">
      <c r="A1" t="s">
        <v>4</v>
      </c>
    </row>
    <row r="2" spans="1:34">
      <c r="A2" t="s">
        <v>1038</v>
      </c>
      <c r="D2" s="459" t="s">
        <v>11</v>
      </c>
      <c r="E2" s="462" t="s">
        <v>12</v>
      </c>
      <c r="G2" t="s">
        <v>1039</v>
      </c>
    </row>
    <row r="3" spans="1:34">
      <c r="A3" s="466" t="s">
        <v>1423</v>
      </c>
      <c r="G3" t="s">
        <v>1040</v>
      </c>
    </row>
    <row r="5" spans="1:34" ht="13.5" thickBot="1">
      <c r="C5" s="102" t="s">
        <v>15</v>
      </c>
      <c r="D5" s="4"/>
      <c r="E5" s="4"/>
      <c r="F5" s="102" t="s">
        <v>15</v>
      </c>
      <c r="G5" s="4"/>
      <c r="H5" s="4"/>
      <c r="I5" s="102" t="s">
        <v>1041</v>
      </c>
      <c r="J5" s="4"/>
      <c r="L5" s="102" t="s">
        <v>991</v>
      </c>
      <c r="M5" s="4"/>
      <c r="N5" s="4"/>
      <c r="O5" s="102" t="s">
        <v>991</v>
      </c>
      <c r="P5" s="4"/>
      <c r="Q5" s="4"/>
      <c r="R5" s="102" t="s">
        <v>1042</v>
      </c>
      <c r="S5" s="4"/>
      <c r="U5" s="102" t="s">
        <v>1043</v>
      </c>
      <c r="V5" s="4"/>
      <c r="W5" s="4"/>
      <c r="X5" s="102" t="s">
        <v>1043</v>
      </c>
      <c r="Y5" s="4"/>
      <c r="Z5" s="4"/>
      <c r="AA5" s="102" t="s">
        <v>1044</v>
      </c>
      <c r="AB5" s="4"/>
    </row>
    <row r="6" spans="1:34" ht="13.5" thickBot="1">
      <c r="C6" s="467" t="s">
        <v>1381</v>
      </c>
      <c r="D6" s="4"/>
      <c r="E6" s="4"/>
      <c r="F6" s="467" t="s">
        <v>1424</v>
      </c>
      <c r="G6" s="4"/>
      <c r="H6" s="4"/>
      <c r="I6" s="102" t="s">
        <v>1045</v>
      </c>
      <c r="J6" s="4"/>
      <c r="L6" s="467" t="str">
        <f>+C6</f>
        <v xml:space="preserve">  January 1 - December 31, 2022</v>
      </c>
      <c r="M6" s="4"/>
      <c r="N6" s="4"/>
      <c r="O6" s="467" t="str">
        <f>+F6</f>
        <v xml:space="preserve">  July 1, 2023 - June 30, 2024</v>
      </c>
      <c r="P6" s="4"/>
      <c r="Q6" s="4"/>
      <c r="R6" s="102" t="s">
        <v>1045</v>
      </c>
      <c r="S6" s="4"/>
      <c r="U6" s="467" t="str">
        <f>+L6</f>
        <v xml:space="preserve">  January 1 - December 31, 2022</v>
      </c>
      <c r="V6" s="4"/>
      <c r="W6" s="4"/>
      <c r="X6" s="467" t="str">
        <f>+O6</f>
        <v xml:space="preserve">  July 1, 2023 - June 30, 2024</v>
      </c>
      <c r="Y6" s="4"/>
      <c r="Z6" s="4"/>
      <c r="AA6" s="102" t="s">
        <v>1045</v>
      </c>
      <c r="AB6" s="4"/>
      <c r="AD6" s="530" t="s">
        <v>27</v>
      </c>
    </row>
    <row r="7" spans="1:34">
      <c r="C7" s="530"/>
      <c r="D7" s="530"/>
      <c r="E7" s="530"/>
      <c r="F7" s="530"/>
      <c r="G7" s="530"/>
      <c r="H7" s="530"/>
      <c r="I7" s="146" t="s">
        <v>1046</v>
      </c>
      <c r="J7" s="145"/>
      <c r="L7" s="530"/>
      <c r="M7" s="530"/>
      <c r="N7" s="530"/>
      <c r="O7" s="530"/>
      <c r="P7" s="530"/>
      <c r="Q7" s="530"/>
      <c r="R7" s="146" t="s">
        <v>1046</v>
      </c>
      <c r="S7" s="145"/>
      <c r="U7" s="530"/>
      <c r="V7" s="530"/>
      <c r="W7" s="530"/>
      <c r="X7" s="530"/>
      <c r="Y7" s="530"/>
      <c r="Z7" s="530"/>
      <c r="AA7" s="146" t="s">
        <v>1046</v>
      </c>
      <c r="AB7" s="145"/>
      <c r="AC7" s="530"/>
      <c r="AD7" s="530" t="s">
        <v>369</v>
      </c>
    </row>
    <row r="8" spans="1:34" ht="13.5" thickBot="1">
      <c r="A8" s="4" t="s">
        <v>25</v>
      </c>
      <c r="B8" s="4"/>
      <c r="C8" s="18" t="s">
        <v>7</v>
      </c>
      <c r="D8" s="18" t="s">
        <v>26</v>
      </c>
      <c r="E8" s="18" t="s">
        <v>27</v>
      </c>
      <c r="F8" s="18" t="s">
        <v>7</v>
      </c>
      <c r="G8" s="18" t="s">
        <v>26</v>
      </c>
      <c r="H8" s="18" t="s">
        <v>27</v>
      </c>
      <c r="I8" s="95" t="s">
        <v>7</v>
      </c>
      <c r="J8" s="94" t="s">
        <v>27</v>
      </c>
      <c r="L8" s="18" t="s">
        <v>7</v>
      </c>
      <c r="M8" s="18" t="s">
        <v>26</v>
      </c>
      <c r="N8" s="18" t="s">
        <v>27</v>
      </c>
      <c r="O8" s="18" t="s">
        <v>7</v>
      </c>
      <c r="P8" s="18" t="s">
        <v>26</v>
      </c>
      <c r="Q8" s="18" t="s">
        <v>27</v>
      </c>
      <c r="R8" s="95" t="s">
        <v>7</v>
      </c>
      <c r="S8" s="94" t="s">
        <v>27</v>
      </c>
      <c r="U8" s="18" t="s">
        <v>7</v>
      </c>
      <c r="V8" s="18" t="s">
        <v>26</v>
      </c>
      <c r="W8" s="18" t="s">
        <v>27</v>
      </c>
      <c r="X8" s="18" t="s">
        <v>7</v>
      </c>
      <c r="Y8" s="18" t="s">
        <v>26</v>
      </c>
      <c r="Z8" s="18" t="s">
        <v>27</v>
      </c>
      <c r="AA8" s="95" t="s">
        <v>7</v>
      </c>
      <c r="AB8" s="94" t="s">
        <v>27</v>
      </c>
      <c r="AC8" s="530"/>
      <c r="AD8" s="18" t="s">
        <v>7</v>
      </c>
      <c r="AE8" s="18" t="s">
        <v>27</v>
      </c>
    </row>
    <row r="9" spans="1:34">
      <c r="A9" t="s">
        <v>30</v>
      </c>
      <c r="I9" s="101"/>
      <c r="J9" s="99"/>
      <c r="R9" s="101"/>
      <c r="S9" s="99"/>
      <c r="AA9" s="101"/>
      <c r="AB9" s="99"/>
    </row>
    <row r="10" spans="1:34">
      <c r="A10" t="s">
        <v>31</v>
      </c>
      <c r="C10" s="26">
        <f>+'Service Count Data'!$X$55</f>
        <v>0</v>
      </c>
      <c r="D10" s="470">
        <v>16.149999999999999</v>
      </c>
      <c r="E10" s="51">
        <f t="shared" ref="E10:E32" si="0">+C10*D10</f>
        <v>0</v>
      </c>
      <c r="F10" s="26">
        <f>+'Service Count Data'!$AD$55</f>
        <v>12</v>
      </c>
      <c r="G10" s="470">
        <v>16.54</v>
      </c>
      <c r="H10" s="51">
        <f t="shared" ref="H10:H32" si="1">+F10*G10</f>
        <v>198.48</v>
      </c>
      <c r="I10" s="140">
        <f>+C10+F10</f>
        <v>12</v>
      </c>
      <c r="J10" s="132">
        <f>+E10+H10</f>
        <v>198.48</v>
      </c>
      <c r="L10" s="26">
        <f>+'Service Count Data'!$X$56</f>
        <v>0</v>
      </c>
      <c r="M10" s="471">
        <v>13.65</v>
      </c>
      <c r="N10" s="51">
        <f t="shared" ref="N10:N32" si="2">+L10*M10</f>
        <v>0</v>
      </c>
      <c r="O10" s="26">
        <f>+'Service Count Data'!$AD$56</f>
        <v>0</v>
      </c>
      <c r="P10" s="471">
        <v>13.65</v>
      </c>
      <c r="Q10" s="51">
        <f t="shared" ref="Q10:Q32" si="3">+O10*P10</f>
        <v>0</v>
      </c>
      <c r="R10" s="140">
        <f t="shared" ref="R10:R32" si="4">+L10+O10</f>
        <v>0</v>
      </c>
      <c r="S10" s="132">
        <f t="shared" ref="S10:S32" si="5">+N10+Q10</f>
        <v>0</v>
      </c>
      <c r="U10" s="26">
        <f>+'Service Count Data'!$X$57</f>
        <v>0</v>
      </c>
      <c r="V10" s="471">
        <v>13.65</v>
      </c>
      <c r="W10" s="51">
        <f t="shared" ref="W10:W32" si="6">+U10*V10</f>
        <v>0</v>
      </c>
      <c r="X10" s="26">
        <f>+'Service Count Data'!$AD$57</f>
        <v>0</v>
      </c>
      <c r="Y10" s="471">
        <v>13.65</v>
      </c>
      <c r="Z10" s="51">
        <f t="shared" ref="Z10:Z32" si="7">+X10*Y10</f>
        <v>0</v>
      </c>
      <c r="AA10" s="140">
        <f t="shared" ref="AA10:AA32" si="8">+U10+X10</f>
        <v>0</v>
      </c>
      <c r="AB10" s="132">
        <f t="shared" ref="AB10:AB32" si="9">+W10+Z10</f>
        <v>0</v>
      </c>
      <c r="AC10" s="51">
        <f t="shared" ref="AC10:AC42" si="10">+R10+AA10</f>
        <v>0</v>
      </c>
      <c r="AD10" s="26">
        <f t="shared" ref="AD10:AD32" si="11">+I10+R10+AA10</f>
        <v>12</v>
      </c>
      <c r="AE10" s="51">
        <f t="shared" ref="AE10:AE32" si="12">+J10+S10+AB10</f>
        <v>198.48</v>
      </c>
      <c r="AH10" s="26">
        <f t="shared" ref="AH10:AH19" si="13">+R10+AA10</f>
        <v>0</v>
      </c>
    </row>
    <row r="11" spans="1:34">
      <c r="A11" t="s">
        <v>1461</v>
      </c>
      <c r="C11" s="26">
        <f>+'Service Count Data'!$X$58</f>
        <v>0</v>
      </c>
      <c r="D11" s="470">
        <v>9.5</v>
      </c>
      <c r="E11" s="51">
        <f t="shared" si="0"/>
        <v>0</v>
      </c>
      <c r="F11" s="26">
        <f>+'Service Count Data'!$AD$58</f>
        <v>24</v>
      </c>
      <c r="G11" s="470">
        <v>9.73</v>
      </c>
      <c r="H11" s="51">
        <f t="shared" si="1"/>
        <v>233.52</v>
      </c>
      <c r="I11" s="140">
        <f t="shared" ref="I11:I32" si="14">+C11+F11</f>
        <v>24</v>
      </c>
      <c r="J11" s="139">
        <f t="shared" ref="J11:J32" si="15">+E11+H11</f>
        <v>233.52</v>
      </c>
      <c r="L11" s="26">
        <f>+'Service Count Data'!$X$59</f>
        <v>0</v>
      </c>
      <c r="M11" s="471">
        <v>8.75</v>
      </c>
      <c r="N11" s="51">
        <f t="shared" si="2"/>
        <v>0</v>
      </c>
      <c r="O11" s="26">
        <f>+'Service Count Data'!$AD$59</f>
        <v>0</v>
      </c>
      <c r="P11" s="471">
        <v>8.75</v>
      </c>
      <c r="Q11" s="51">
        <f t="shared" si="3"/>
        <v>0</v>
      </c>
      <c r="R11" s="140">
        <f t="shared" si="4"/>
        <v>0</v>
      </c>
      <c r="S11" s="139">
        <f t="shared" si="5"/>
        <v>0</v>
      </c>
      <c r="U11" s="26">
        <f>+'Service Count Data'!$X$60</f>
        <v>0</v>
      </c>
      <c r="V11" s="471">
        <v>8.75</v>
      </c>
      <c r="W11" s="51">
        <f t="shared" si="6"/>
        <v>0</v>
      </c>
      <c r="X11" s="26">
        <f>+'Service Count Data'!$AD$60</f>
        <v>9</v>
      </c>
      <c r="Y11" s="471">
        <v>8.75</v>
      </c>
      <c r="Z11" s="51">
        <f t="shared" si="7"/>
        <v>78.75</v>
      </c>
      <c r="AA11" s="140">
        <f t="shared" si="8"/>
        <v>9</v>
      </c>
      <c r="AB11" s="139">
        <f t="shared" si="9"/>
        <v>78.75</v>
      </c>
      <c r="AC11" s="26">
        <f t="shared" si="10"/>
        <v>9</v>
      </c>
      <c r="AD11" s="26">
        <f t="shared" si="11"/>
        <v>33</v>
      </c>
      <c r="AE11" s="5">
        <f t="shared" si="12"/>
        <v>312.27</v>
      </c>
      <c r="AH11" s="26">
        <f t="shared" si="13"/>
        <v>9</v>
      </c>
    </row>
    <row r="12" spans="1:34">
      <c r="A12" t="s">
        <v>32</v>
      </c>
      <c r="C12" s="26">
        <f>+'Service Count Data'!$X$10</f>
        <v>0</v>
      </c>
      <c r="D12" s="470">
        <v>19.850000000000001</v>
      </c>
      <c r="E12" s="5">
        <f t="shared" si="0"/>
        <v>0</v>
      </c>
      <c r="F12" s="26">
        <f>+'Service Count Data'!$AD$10</f>
        <v>259</v>
      </c>
      <c r="G12" s="470">
        <v>20.329999999999998</v>
      </c>
      <c r="H12" s="5">
        <f t="shared" si="1"/>
        <v>5265.4699999999993</v>
      </c>
      <c r="I12" s="140">
        <f t="shared" si="14"/>
        <v>259</v>
      </c>
      <c r="J12" s="139">
        <f t="shared" si="15"/>
        <v>5265.4699999999993</v>
      </c>
      <c r="L12" s="26">
        <f>+'Service Count Data'!$X$11</f>
        <v>0</v>
      </c>
      <c r="M12" s="471">
        <v>16.350000000000001</v>
      </c>
      <c r="N12" s="5">
        <f t="shared" si="2"/>
        <v>0</v>
      </c>
      <c r="O12" s="26">
        <f>+'Service Count Data'!$AD$11</f>
        <v>587.15</v>
      </c>
      <c r="P12" s="471">
        <v>16.350000000000001</v>
      </c>
      <c r="Q12" s="5">
        <f t="shared" si="3"/>
        <v>9599.9025000000001</v>
      </c>
      <c r="R12" s="140">
        <f t="shared" si="4"/>
        <v>587.15</v>
      </c>
      <c r="S12" s="139">
        <f t="shared" si="5"/>
        <v>9599.9025000000001</v>
      </c>
      <c r="U12" s="26">
        <f>+'Service Count Data'!$X$12</f>
        <v>0</v>
      </c>
      <c r="V12" s="471">
        <v>16.350000000000001</v>
      </c>
      <c r="W12" s="5">
        <f t="shared" si="6"/>
        <v>0</v>
      </c>
      <c r="X12" s="26">
        <f>+'Service Count Data'!$AD$12</f>
        <v>724.35</v>
      </c>
      <c r="Y12" s="471">
        <v>16.350000000000001</v>
      </c>
      <c r="Z12" s="5">
        <f t="shared" si="7"/>
        <v>11843.122500000001</v>
      </c>
      <c r="AA12" s="140">
        <f t="shared" si="8"/>
        <v>724.35</v>
      </c>
      <c r="AB12" s="139">
        <f t="shared" si="9"/>
        <v>11843.122500000001</v>
      </c>
      <c r="AC12" s="26">
        <f t="shared" si="10"/>
        <v>1311.5</v>
      </c>
      <c r="AD12" s="26">
        <f t="shared" si="11"/>
        <v>1570.5</v>
      </c>
      <c r="AE12" s="5">
        <f t="shared" si="12"/>
        <v>26708.495000000003</v>
      </c>
      <c r="AH12" s="26">
        <f t="shared" si="13"/>
        <v>1311.5</v>
      </c>
    </row>
    <row r="13" spans="1:34">
      <c r="A13" t="s">
        <v>33</v>
      </c>
      <c r="C13" s="26">
        <f>+'Service Count Data'!$X$13</f>
        <v>0</v>
      </c>
      <c r="D13" s="470">
        <v>24.4</v>
      </c>
      <c r="E13" s="5">
        <f t="shared" si="0"/>
        <v>0</v>
      </c>
      <c r="F13" s="26">
        <f>+'Service Count Data'!$AD$13</f>
        <v>231.25</v>
      </c>
      <c r="G13" s="470">
        <v>24.98</v>
      </c>
      <c r="H13" s="5">
        <f t="shared" si="1"/>
        <v>5776.625</v>
      </c>
      <c r="I13" s="140">
        <f t="shared" si="14"/>
        <v>231.25</v>
      </c>
      <c r="J13" s="139">
        <f t="shared" si="15"/>
        <v>5776.625</v>
      </c>
      <c r="L13" s="26">
        <f>+'Service Count Data'!$X$14</f>
        <v>0</v>
      </c>
      <c r="M13" s="471">
        <v>20.55</v>
      </c>
      <c r="N13" s="5">
        <f t="shared" si="2"/>
        <v>0</v>
      </c>
      <c r="O13" s="26">
        <f>+'Service Count Data'!$AD$14</f>
        <v>1096.1500000000001</v>
      </c>
      <c r="P13" s="471">
        <v>20.55</v>
      </c>
      <c r="Q13" s="5">
        <f t="shared" si="3"/>
        <v>22525.882500000003</v>
      </c>
      <c r="R13" s="140">
        <f t="shared" si="4"/>
        <v>1096.1500000000001</v>
      </c>
      <c r="S13" s="139">
        <f t="shared" si="5"/>
        <v>22525.882500000003</v>
      </c>
      <c r="U13" s="26">
        <f>+'Service Count Data'!$X$15</f>
        <v>0</v>
      </c>
      <c r="V13" s="471">
        <v>20.55</v>
      </c>
      <c r="W13" s="5">
        <f t="shared" si="6"/>
        <v>0</v>
      </c>
      <c r="X13" s="26">
        <f>+'Service Count Data'!$AD$15</f>
        <v>978.87852193995377</v>
      </c>
      <c r="Y13" s="471">
        <v>20.55</v>
      </c>
      <c r="Z13" s="5">
        <f t="shared" si="7"/>
        <v>20115.953625866052</v>
      </c>
      <c r="AA13" s="140">
        <f t="shared" si="8"/>
        <v>978.87852193995377</v>
      </c>
      <c r="AB13" s="139">
        <f t="shared" si="9"/>
        <v>20115.953625866052</v>
      </c>
      <c r="AC13" s="26">
        <f t="shared" si="10"/>
        <v>2075.0285219399539</v>
      </c>
      <c r="AD13" s="26">
        <f t="shared" si="11"/>
        <v>2306.2785219399539</v>
      </c>
      <c r="AE13" s="5">
        <f t="shared" si="12"/>
        <v>48418.461125866059</v>
      </c>
      <c r="AH13" s="26">
        <f t="shared" si="13"/>
        <v>2075.0285219399539</v>
      </c>
    </row>
    <row r="14" spans="1:34">
      <c r="A14" t="s">
        <v>34</v>
      </c>
      <c r="C14" s="26">
        <f>+'Service Count Data'!$X$16</f>
        <v>0</v>
      </c>
      <c r="D14" s="470">
        <v>30.6</v>
      </c>
      <c r="E14" s="5">
        <f t="shared" si="0"/>
        <v>0</v>
      </c>
      <c r="F14" s="26">
        <f>+'Service Count Data'!$AD$16</f>
        <v>5.2</v>
      </c>
      <c r="G14" s="470">
        <v>31.33</v>
      </c>
      <c r="H14" s="5">
        <f t="shared" si="1"/>
        <v>162.916</v>
      </c>
      <c r="I14" s="140">
        <f t="shared" si="14"/>
        <v>5.2</v>
      </c>
      <c r="J14" s="139">
        <f t="shared" si="15"/>
        <v>162.916</v>
      </c>
      <c r="L14" s="26">
        <f>+'Service Count Data'!$X$17</f>
        <v>0</v>
      </c>
      <c r="M14" s="471">
        <v>24.25</v>
      </c>
      <c r="N14" s="5">
        <f t="shared" si="2"/>
        <v>0</v>
      </c>
      <c r="O14" s="26">
        <f>+'Service Count Data'!$AD$17</f>
        <v>296.60000000000002</v>
      </c>
      <c r="P14" s="471">
        <v>24.25</v>
      </c>
      <c r="Q14" s="5">
        <f t="shared" si="3"/>
        <v>7192.55</v>
      </c>
      <c r="R14" s="140">
        <f t="shared" si="4"/>
        <v>296.60000000000002</v>
      </c>
      <c r="S14" s="139">
        <f t="shared" si="5"/>
        <v>7192.55</v>
      </c>
      <c r="U14" s="26">
        <f>+'Service Count Data'!$X$18</f>
        <v>0</v>
      </c>
      <c r="V14" s="471">
        <v>24.25</v>
      </c>
      <c r="W14" s="5">
        <f t="shared" si="6"/>
        <v>0</v>
      </c>
      <c r="X14" s="26">
        <f>+'Service Count Data'!$AD$18</f>
        <v>107.6</v>
      </c>
      <c r="Y14" s="471">
        <v>24.25</v>
      </c>
      <c r="Z14" s="5">
        <f t="shared" si="7"/>
        <v>2609.2999999999997</v>
      </c>
      <c r="AA14" s="140">
        <f t="shared" si="8"/>
        <v>107.6</v>
      </c>
      <c r="AB14" s="139">
        <f t="shared" si="9"/>
        <v>2609.2999999999997</v>
      </c>
      <c r="AC14" s="26">
        <f t="shared" si="10"/>
        <v>404.20000000000005</v>
      </c>
      <c r="AD14" s="26">
        <f t="shared" si="11"/>
        <v>409.4</v>
      </c>
      <c r="AE14" s="5">
        <f t="shared" si="12"/>
        <v>9964.7659999999996</v>
      </c>
      <c r="AH14" s="26">
        <f t="shared" si="13"/>
        <v>404.20000000000005</v>
      </c>
    </row>
    <row r="15" spans="1:34">
      <c r="A15" t="s">
        <v>35</v>
      </c>
      <c r="C15" s="26">
        <f>+'Service Count Data'!$X$19</f>
        <v>0</v>
      </c>
      <c r="D15" s="470">
        <v>37.25</v>
      </c>
      <c r="E15" s="5">
        <f t="shared" si="0"/>
        <v>0</v>
      </c>
      <c r="F15" s="26">
        <f>+'Service Count Data'!$AD$19</f>
        <v>0</v>
      </c>
      <c r="G15" s="470">
        <v>38.14</v>
      </c>
      <c r="H15" s="5">
        <f t="shared" si="1"/>
        <v>0</v>
      </c>
      <c r="I15" s="140">
        <f t="shared" si="14"/>
        <v>0</v>
      </c>
      <c r="J15" s="139">
        <f t="shared" si="15"/>
        <v>0</v>
      </c>
      <c r="L15" s="26">
        <f>+'Service Count Data'!$X$20</f>
        <v>0</v>
      </c>
      <c r="M15" s="471">
        <v>27.75</v>
      </c>
      <c r="N15" s="5">
        <f t="shared" si="2"/>
        <v>0</v>
      </c>
      <c r="O15" s="26">
        <f>+'Service Count Data'!$AD$20</f>
        <v>146.1</v>
      </c>
      <c r="P15" s="471">
        <v>27.75</v>
      </c>
      <c r="Q15" s="5">
        <f t="shared" si="3"/>
        <v>4054.2749999999996</v>
      </c>
      <c r="R15" s="140">
        <f t="shared" si="4"/>
        <v>146.1</v>
      </c>
      <c r="S15" s="139">
        <f t="shared" si="5"/>
        <v>4054.2749999999996</v>
      </c>
      <c r="U15" s="26">
        <f>+'Service Count Data'!$X$21</f>
        <v>0</v>
      </c>
      <c r="V15" s="471">
        <v>27.75</v>
      </c>
      <c r="W15" s="5">
        <f t="shared" si="6"/>
        <v>0</v>
      </c>
      <c r="X15" s="26">
        <f>+'Service Count Data'!$AD$21</f>
        <v>51.6</v>
      </c>
      <c r="Y15" s="471">
        <v>27.75</v>
      </c>
      <c r="Z15" s="5">
        <f t="shared" si="7"/>
        <v>1431.9</v>
      </c>
      <c r="AA15" s="140">
        <f t="shared" si="8"/>
        <v>51.6</v>
      </c>
      <c r="AB15" s="139">
        <f t="shared" si="9"/>
        <v>1431.9</v>
      </c>
      <c r="AC15" s="26">
        <f t="shared" si="10"/>
        <v>197.7</v>
      </c>
      <c r="AD15" s="26">
        <f t="shared" si="11"/>
        <v>197.7</v>
      </c>
      <c r="AE15" s="5">
        <f t="shared" si="12"/>
        <v>5486.1749999999993</v>
      </c>
      <c r="AH15" s="26">
        <f t="shared" si="13"/>
        <v>197.7</v>
      </c>
    </row>
    <row r="16" spans="1:34">
      <c r="A16" t="s">
        <v>36</v>
      </c>
      <c r="C16" s="26">
        <f>+'Service Count Data'!$X$22</f>
        <v>0</v>
      </c>
      <c r="D16" s="470">
        <v>42.45</v>
      </c>
      <c r="E16" s="5">
        <f t="shared" si="0"/>
        <v>0</v>
      </c>
      <c r="F16" s="26">
        <f>+'Service Count Data'!$AD$22</f>
        <v>0</v>
      </c>
      <c r="G16" s="470">
        <v>43.47</v>
      </c>
      <c r="H16" s="5">
        <f t="shared" si="1"/>
        <v>0</v>
      </c>
      <c r="I16" s="140">
        <f t="shared" si="14"/>
        <v>0</v>
      </c>
      <c r="J16" s="139">
        <f t="shared" si="15"/>
        <v>0</v>
      </c>
      <c r="L16" s="26">
        <f>+'Service Count Data'!$X$23</f>
        <v>0</v>
      </c>
      <c r="M16" s="471">
        <v>33.25</v>
      </c>
      <c r="N16" s="5">
        <f t="shared" si="2"/>
        <v>0</v>
      </c>
      <c r="O16" s="26">
        <f>+'Service Count Data'!$AD$23</f>
        <v>29.5</v>
      </c>
      <c r="P16" s="471">
        <v>33.25</v>
      </c>
      <c r="Q16" s="5">
        <f t="shared" si="3"/>
        <v>980.875</v>
      </c>
      <c r="R16" s="140">
        <f t="shared" si="4"/>
        <v>29.5</v>
      </c>
      <c r="S16" s="139">
        <f t="shared" si="5"/>
        <v>980.875</v>
      </c>
      <c r="U16" s="26">
        <f>+'Service Count Data'!$X$24</f>
        <v>0</v>
      </c>
      <c r="V16" s="471">
        <v>33.25</v>
      </c>
      <c r="W16" s="5">
        <f t="shared" si="6"/>
        <v>0</v>
      </c>
      <c r="X16" s="26">
        <f>+'Service Count Data'!$AD$24</f>
        <v>12</v>
      </c>
      <c r="Y16" s="471">
        <v>33.25</v>
      </c>
      <c r="Z16" s="5">
        <f t="shared" si="7"/>
        <v>399</v>
      </c>
      <c r="AA16" s="140">
        <f t="shared" si="8"/>
        <v>12</v>
      </c>
      <c r="AB16" s="139">
        <f t="shared" si="9"/>
        <v>399</v>
      </c>
      <c r="AC16" s="26">
        <f t="shared" si="10"/>
        <v>41.5</v>
      </c>
      <c r="AD16" s="26">
        <f t="shared" si="11"/>
        <v>41.5</v>
      </c>
      <c r="AE16" s="5">
        <f t="shared" si="12"/>
        <v>1379.875</v>
      </c>
      <c r="AH16" s="26">
        <f t="shared" si="13"/>
        <v>41.5</v>
      </c>
    </row>
    <row r="17" spans="1:34">
      <c r="A17" t="s">
        <v>37</v>
      </c>
      <c r="C17" s="26">
        <f>+'Service Count Data'!$X$25</f>
        <v>0</v>
      </c>
      <c r="D17" s="470">
        <v>49</v>
      </c>
      <c r="E17" s="5">
        <f t="shared" si="0"/>
        <v>0</v>
      </c>
      <c r="F17" s="26">
        <f>+'Service Count Data'!$AD$25</f>
        <v>12</v>
      </c>
      <c r="G17" s="470">
        <v>50.17</v>
      </c>
      <c r="H17" s="5">
        <f t="shared" si="1"/>
        <v>602.04</v>
      </c>
      <c r="I17" s="140">
        <f t="shared" si="14"/>
        <v>12</v>
      </c>
      <c r="J17" s="139">
        <f t="shared" si="15"/>
        <v>602.04</v>
      </c>
      <c r="L17" s="26">
        <f>+'Service Count Data'!$X$26</f>
        <v>0</v>
      </c>
      <c r="M17" s="471">
        <v>36.85</v>
      </c>
      <c r="N17" s="5">
        <f t="shared" si="2"/>
        <v>0</v>
      </c>
      <c r="O17" s="26">
        <f>+'Service Count Data'!$AD$26</f>
        <v>35.25</v>
      </c>
      <c r="P17" s="471">
        <v>36.85</v>
      </c>
      <c r="Q17" s="5">
        <f t="shared" si="3"/>
        <v>1298.9625000000001</v>
      </c>
      <c r="R17" s="140">
        <f t="shared" si="4"/>
        <v>35.25</v>
      </c>
      <c r="S17" s="139">
        <f t="shared" si="5"/>
        <v>1298.9625000000001</v>
      </c>
      <c r="U17" s="26">
        <f>+'Service Count Data'!$X$27</f>
        <v>0</v>
      </c>
      <c r="V17" s="471">
        <v>36.85</v>
      </c>
      <c r="W17" s="5">
        <f t="shared" si="6"/>
        <v>0</v>
      </c>
      <c r="X17" s="26">
        <f>+'Service Count Data'!$AD$27</f>
        <v>8.4</v>
      </c>
      <c r="Y17" s="471">
        <v>36.85</v>
      </c>
      <c r="Z17" s="5">
        <f t="shared" si="7"/>
        <v>309.54000000000002</v>
      </c>
      <c r="AA17" s="140">
        <f t="shared" si="8"/>
        <v>8.4</v>
      </c>
      <c r="AB17" s="139">
        <f t="shared" si="9"/>
        <v>309.54000000000002</v>
      </c>
      <c r="AC17" s="26">
        <f t="shared" si="10"/>
        <v>43.65</v>
      </c>
      <c r="AD17" s="26">
        <f t="shared" si="11"/>
        <v>55.65</v>
      </c>
      <c r="AE17" s="5">
        <f t="shared" si="12"/>
        <v>2210.5425</v>
      </c>
      <c r="AH17" s="26">
        <f t="shared" si="13"/>
        <v>43.65</v>
      </c>
    </row>
    <row r="18" spans="1:34">
      <c r="A18" s="459" t="s">
        <v>38</v>
      </c>
      <c r="C18" s="26">
        <f>+'Service Count Data'!$X$28</f>
        <v>0</v>
      </c>
      <c r="D18" s="470">
        <v>13.15</v>
      </c>
      <c r="E18" s="5">
        <f t="shared" si="0"/>
        <v>0</v>
      </c>
      <c r="F18" s="26">
        <f>+'Service Count Data'!$AD$28</f>
        <v>46.3</v>
      </c>
      <c r="G18" s="470">
        <v>13.47</v>
      </c>
      <c r="H18" s="5">
        <f t="shared" si="1"/>
        <v>623.66099999999994</v>
      </c>
      <c r="I18" s="140">
        <f t="shared" si="14"/>
        <v>46.3</v>
      </c>
      <c r="J18" s="139">
        <f t="shared" si="15"/>
        <v>623.66099999999994</v>
      </c>
      <c r="L18" s="26">
        <f>+'Service Count Data'!$X$29</f>
        <v>0</v>
      </c>
      <c r="M18" s="471">
        <v>0</v>
      </c>
      <c r="N18" s="5">
        <f t="shared" si="2"/>
        <v>0</v>
      </c>
      <c r="O18" s="26">
        <f>+'Service Count Data'!$AD$29</f>
        <v>0</v>
      </c>
      <c r="P18" s="471">
        <v>0</v>
      </c>
      <c r="Q18" s="5">
        <f t="shared" si="3"/>
        <v>0</v>
      </c>
      <c r="R18" s="140">
        <f t="shared" si="4"/>
        <v>0</v>
      </c>
      <c r="S18" s="139">
        <f t="shared" si="5"/>
        <v>0</v>
      </c>
      <c r="U18" s="26">
        <f>+'Service Count Data'!$X$30</f>
        <v>0</v>
      </c>
      <c r="V18" s="471">
        <v>0</v>
      </c>
      <c r="W18" s="5">
        <f t="shared" si="6"/>
        <v>0</v>
      </c>
      <c r="X18" s="26">
        <f>+'Service Count Data'!$AD$30</f>
        <v>0</v>
      </c>
      <c r="Y18" s="471">
        <v>0</v>
      </c>
      <c r="Z18" s="5">
        <f t="shared" si="7"/>
        <v>0</v>
      </c>
      <c r="AA18" s="140">
        <f t="shared" si="8"/>
        <v>0</v>
      </c>
      <c r="AB18" s="139">
        <f t="shared" si="9"/>
        <v>0</v>
      </c>
      <c r="AC18" s="26">
        <f t="shared" si="10"/>
        <v>0</v>
      </c>
      <c r="AD18" s="26">
        <f t="shared" si="11"/>
        <v>46.3</v>
      </c>
      <c r="AE18" s="5">
        <f t="shared" si="12"/>
        <v>623.66099999999994</v>
      </c>
      <c r="AH18" s="26">
        <f t="shared" si="13"/>
        <v>0</v>
      </c>
    </row>
    <row r="19" spans="1:34">
      <c r="A19" s="459" t="s">
        <v>39</v>
      </c>
      <c r="C19" s="26">
        <f>+'Service Count Data'!$X$31</f>
        <v>0</v>
      </c>
      <c r="D19" s="470">
        <v>19.850000000000001</v>
      </c>
      <c r="E19" s="5">
        <f t="shared" si="0"/>
        <v>0</v>
      </c>
      <c r="F19" s="26">
        <f>+'Service Count Data'!$AD$31</f>
        <v>6200.9</v>
      </c>
      <c r="G19" s="470">
        <v>20.329999999999998</v>
      </c>
      <c r="H19" s="5">
        <f t="shared" si="1"/>
        <v>126064.29699999998</v>
      </c>
      <c r="I19" s="140">
        <f t="shared" si="14"/>
        <v>6200.9</v>
      </c>
      <c r="J19" s="139">
        <f t="shared" si="15"/>
        <v>126064.29699999998</v>
      </c>
      <c r="L19" s="26">
        <f>+'Service Count Data'!$X$32</f>
        <v>0</v>
      </c>
      <c r="M19" s="471">
        <v>0</v>
      </c>
      <c r="N19" s="5">
        <f t="shared" si="2"/>
        <v>0</v>
      </c>
      <c r="O19" s="26">
        <f>+'Service Count Data'!$AD$32</f>
        <v>0</v>
      </c>
      <c r="P19" s="471">
        <v>0</v>
      </c>
      <c r="Q19" s="5">
        <f t="shared" si="3"/>
        <v>0</v>
      </c>
      <c r="R19" s="140">
        <f t="shared" si="4"/>
        <v>0</v>
      </c>
      <c r="S19" s="139">
        <f t="shared" si="5"/>
        <v>0</v>
      </c>
      <c r="U19" s="26">
        <f>+'Service Count Data'!$X$33</f>
        <v>0</v>
      </c>
      <c r="V19" s="471">
        <v>0</v>
      </c>
      <c r="W19" s="5">
        <f t="shared" si="6"/>
        <v>0</v>
      </c>
      <c r="X19" s="26">
        <f>+'Service Count Data'!$AD$33</f>
        <v>0</v>
      </c>
      <c r="Y19" s="471">
        <v>0</v>
      </c>
      <c r="Z19" s="5">
        <f t="shared" si="7"/>
        <v>0</v>
      </c>
      <c r="AA19" s="140">
        <f t="shared" si="8"/>
        <v>0</v>
      </c>
      <c r="AB19" s="139">
        <f t="shared" si="9"/>
        <v>0</v>
      </c>
      <c r="AC19" s="26">
        <f t="shared" si="10"/>
        <v>0</v>
      </c>
      <c r="AD19" s="26">
        <f t="shared" si="11"/>
        <v>6200.9</v>
      </c>
      <c r="AE19" s="5">
        <f t="shared" si="12"/>
        <v>126064.29699999998</v>
      </c>
      <c r="AH19" s="26">
        <f t="shared" si="13"/>
        <v>0</v>
      </c>
    </row>
    <row r="20" spans="1:34">
      <c r="A20" t="s">
        <v>40</v>
      </c>
      <c r="C20" s="26">
        <f>+'Service Count Data'!$X$34</f>
        <v>0</v>
      </c>
      <c r="D20" s="470">
        <v>14.25</v>
      </c>
      <c r="E20" s="5">
        <f t="shared" si="0"/>
        <v>0</v>
      </c>
      <c r="F20" s="26">
        <f>+'Service Count Data'!$AD$34</f>
        <v>22</v>
      </c>
      <c r="G20" s="470">
        <v>14.59</v>
      </c>
      <c r="H20" s="5">
        <f t="shared" si="1"/>
        <v>320.98</v>
      </c>
      <c r="I20" s="140">
        <f t="shared" si="14"/>
        <v>22</v>
      </c>
      <c r="J20" s="139">
        <f t="shared" si="15"/>
        <v>320.98</v>
      </c>
      <c r="L20" s="26">
        <f>+'Service Count Data'!$X$35</f>
        <v>0</v>
      </c>
      <c r="M20" s="471">
        <v>0</v>
      </c>
      <c r="N20" s="5">
        <f t="shared" si="2"/>
        <v>0</v>
      </c>
      <c r="O20" s="26">
        <f>+'Service Count Data'!$AD$35</f>
        <v>0</v>
      </c>
      <c r="P20" s="471">
        <v>0</v>
      </c>
      <c r="Q20" s="5">
        <f t="shared" si="3"/>
        <v>0</v>
      </c>
      <c r="R20" s="140">
        <f t="shared" si="4"/>
        <v>0</v>
      </c>
      <c r="S20" s="139">
        <f t="shared" si="5"/>
        <v>0</v>
      </c>
      <c r="U20" s="26">
        <f>+'Service Count Data'!$X$36</f>
        <v>0</v>
      </c>
      <c r="V20" s="471">
        <v>0</v>
      </c>
      <c r="W20" s="5">
        <f t="shared" si="6"/>
        <v>0</v>
      </c>
      <c r="X20" s="26">
        <f>+'Service Count Data'!$AD$36</f>
        <v>0</v>
      </c>
      <c r="Y20" s="471">
        <v>0</v>
      </c>
      <c r="Z20" s="5">
        <f t="shared" si="7"/>
        <v>0</v>
      </c>
      <c r="AA20" s="140">
        <f t="shared" si="8"/>
        <v>0</v>
      </c>
      <c r="AB20" s="139">
        <f t="shared" si="9"/>
        <v>0</v>
      </c>
      <c r="AC20" s="26">
        <f t="shared" si="10"/>
        <v>0</v>
      </c>
      <c r="AD20" s="26">
        <f t="shared" si="11"/>
        <v>22</v>
      </c>
      <c r="AE20" s="5">
        <f t="shared" si="12"/>
        <v>320.98</v>
      </c>
      <c r="AH20" s="26">
        <f t="shared" ref="AH20:AH32" si="16">+R20+AA20</f>
        <v>0</v>
      </c>
    </row>
    <row r="21" spans="1:34">
      <c r="A21" t="s">
        <v>41</v>
      </c>
      <c r="C21" s="26">
        <f>+'Service Count Data'!$X$37</f>
        <v>0</v>
      </c>
      <c r="D21" s="470">
        <v>24.4</v>
      </c>
      <c r="E21" s="5">
        <f>+C21*D21</f>
        <v>0</v>
      </c>
      <c r="F21" s="26">
        <f>+'Service Count Data'!$AD$37</f>
        <v>11226.65</v>
      </c>
      <c r="G21" s="470">
        <v>24.98</v>
      </c>
      <c r="H21" s="5">
        <f t="shared" si="1"/>
        <v>280441.717</v>
      </c>
      <c r="I21" s="140">
        <f t="shared" si="14"/>
        <v>11226.65</v>
      </c>
      <c r="J21" s="139">
        <f t="shared" si="15"/>
        <v>280441.717</v>
      </c>
      <c r="L21" s="26">
        <f>+'Service Count Data'!$X$38</f>
        <v>0</v>
      </c>
      <c r="M21" s="471">
        <v>0</v>
      </c>
      <c r="N21" s="5">
        <f t="shared" si="2"/>
        <v>0</v>
      </c>
      <c r="O21" s="26">
        <f>+'Service Count Data'!$AD$38</f>
        <v>0</v>
      </c>
      <c r="P21" s="471">
        <v>0</v>
      </c>
      <c r="Q21" s="5">
        <f t="shared" si="3"/>
        <v>0</v>
      </c>
      <c r="R21" s="140">
        <f t="shared" si="4"/>
        <v>0</v>
      </c>
      <c r="S21" s="139">
        <f t="shared" si="5"/>
        <v>0</v>
      </c>
      <c r="U21" s="26">
        <f>+'Service Count Data'!$X$39</f>
        <v>0</v>
      </c>
      <c r="V21" s="471">
        <v>0</v>
      </c>
      <c r="W21" s="5">
        <f t="shared" si="6"/>
        <v>0</v>
      </c>
      <c r="X21" s="26">
        <f>+'Service Count Data'!$AD$39</f>
        <v>0</v>
      </c>
      <c r="Y21" s="471">
        <v>0</v>
      </c>
      <c r="Z21" s="5">
        <f t="shared" si="7"/>
        <v>0</v>
      </c>
      <c r="AA21" s="140">
        <f t="shared" si="8"/>
        <v>0</v>
      </c>
      <c r="AB21" s="139">
        <f t="shared" si="9"/>
        <v>0</v>
      </c>
      <c r="AC21" s="26">
        <f t="shared" si="10"/>
        <v>0</v>
      </c>
      <c r="AD21" s="26">
        <f t="shared" si="11"/>
        <v>11226.65</v>
      </c>
      <c r="AE21" s="5">
        <f t="shared" si="12"/>
        <v>280441.717</v>
      </c>
      <c r="AH21" s="26">
        <f t="shared" si="16"/>
        <v>0</v>
      </c>
    </row>
    <row r="22" spans="1:34">
      <c r="A22" t="s">
        <v>42</v>
      </c>
      <c r="C22" s="26">
        <f>+'Service Count Data'!$X$43</f>
        <v>0</v>
      </c>
      <c r="D22" s="470">
        <v>30.6</v>
      </c>
      <c r="E22" s="5">
        <f t="shared" si="0"/>
        <v>0</v>
      </c>
      <c r="F22" s="26">
        <f>+'Service Count Data'!$AD$43</f>
        <v>12384.85</v>
      </c>
      <c r="G22" s="470">
        <v>31.33</v>
      </c>
      <c r="H22" s="5">
        <f t="shared" si="1"/>
        <v>388017.3505</v>
      </c>
      <c r="I22" s="140">
        <f t="shared" si="14"/>
        <v>12384.85</v>
      </c>
      <c r="J22" s="139">
        <f t="shared" si="15"/>
        <v>388017.3505</v>
      </c>
      <c r="L22" s="26">
        <f>+'Service Count Data'!$X$44</f>
        <v>0</v>
      </c>
      <c r="M22" s="471">
        <v>0</v>
      </c>
      <c r="N22" s="5">
        <f t="shared" si="2"/>
        <v>0</v>
      </c>
      <c r="O22" s="26">
        <f>+'Service Count Data'!$AD$44</f>
        <v>0</v>
      </c>
      <c r="P22" s="471">
        <v>0</v>
      </c>
      <c r="Q22" s="5">
        <f t="shared" si="3"/>
        <v>0</v>
      </c>
      <c r="R22" s="140">
        <f t="shared" si="4"/>
        <v>0</v>
      </c>
      <c r="S22" s="139">
        <f t="shared" si="5"/>
        <v>0</v>
      </c>
      <c r="U22" s="26">
        <f>+'Service Count Data'!$X$45</f>
        <v>0</v>
      </c>
      <c r="V22" s="471">
        <v>0</v>
      </c>
      <c r="W22" s="5">
        <f t="shared" si="6"/>
        <v>0</v>
      </c>
      <c r="X22" s="26">
        <f>+'Service Count Data'!$AD$45</f>
        <v>0</v>
      </c>
      <c r="Y22" s="471">
        <v>0</v>
      </c>
      <c r="Z22" s="5">
        <f t="shared" si="7"/>
        <v>0</v>
      </c>
      <c r="AA22" s="140">
        <f t="shared" si="8"/>
        <v>0</v>
      </c>
      <c r="AB22" s="139">
        <f t="shared" si="9"/>
        <v>0</v>
      </c>
      <c r="AC22" s="26">
        <f t="shared" si="10"/>
        <v>0</v>
      </c>
      <c r="AD22" s="26">
        <f t="shared" si="11"/>
        <v>12384.85</v>
      </c>
      <c r="AE22" s="5">
        <f t="shared" si="12"/>
        <v>388017.3505</v>
      </c>
      <c r="AH22" s="26">
        <f t="shared" si="16"/>
        <v>0</v>
      </c>
    </row>
    <row r="23" spans="1:34">
      <c r="A23" s="459" t="s">
        <v>1383</v>
      </c>
      <c r="C23" s="26">
        <f>+'Service Count Data'!$X$49</f>
        <v>0</v>
      </c>
      <c r="D23" s="470">
        <v>35.4</v>
      </c>
      <c r="E23" s="5">
        <f>+C23*D23</f>
        <v>0</v>
      </c>
      <c r="F23" s="26">
        <f>+'Service Count Data'!$AD$49</f>
        <v>42.25</v>
      </c>
      <c r="G23" s="470">
        <v>36.25</v>
      </c>
      <c r="H23" s="5">
        <f>+F23*G23</f>
        <v>1531.5625</v>
      </c>
      <c r="I23" s="140">
        <f>+C23+F23</f>
        <v>42.25</v>
      </c>
      <c r="J23" s="139">
        <f>+E23+H23</f>
        <v>1531.5625</v>
      </c>
      <c r="L23" s="26">
        <f>+'Service Count Data'!$X$50</f>
        <v>0</v>
      </c>
      <c r="M23" s="471">
        <v>0</v>
      </c>
      <c r="N23" s="5">
        <f>+L23*M23</f>
        <v>0</v>
      </c>
      <c r="O23" s="26">
        <f>+'Service Count Data'!$AD$50</f>
        <v>0</v>
      </c>
      <c r="P23" s="471">
        <v>0</v>
      </c>
      <c r="Q23" s="5">
        <f>+O23*P23</f>
        <v>0</v>
      </c>
      <c r="R23" s="140">
        <f>+L23+O23</f>
        <v>0</v>
      </c>
      <c r="S23" s="139">
        <f>+N23+Q23</f>
        <v>0</v>
      </c>
      <c r="U23" s="26">
        <f>+'Service Count Data'!$X$51</f>
        <v>0</v>
      </c>
      <c r="V23" s="471">
        <v>0</v>
      </c>
      <c r="W23" s="5">
        <f>+U23*V23</f>
        <v>0</v>
      </c>
      <c r="X23" s="26">
        <f>+'Service Count Data'!$AD$51</f>
        <v>0</v>
      </c>
      <c r="Y23" s="471">
        <v>0</v>
      </c>
      <c r="Z23" s="5">
        <f>+X23*Y23</f>
        <v>0</v>
      </c>
      <c r="AA23" s="140">
        <f>+U23+X23</f>
        <v>0</v>
      </c>
      <c r="AB23" s="139">
        <f>+W23+Z23</f>
        <v>0</v>
      </c>
      <c r="AC23" s="26">
        <f>+R23+AA23</f>
        <v>0</v>
      </c>
      <c r="AD23" s="26">
        <f t="shared" ref="AD23:AE25" si="17">+I23+R23+AA23</f>
        <v>42.25</v>
      </c>
      <c r="AE23" s="5">
        <f t="shared" si="17"/>
        <v>1531.5625</v>
      </c>
      <c r="AH23" s="26">
        <f>+R23+AA23</f>
        <v>0</v>
      </c>
    </row>
    <row r="24" spans="1:34">
      <c r="A24" s="459" t="s">
        <v>1384</v>
      </c>
      <c r="C24" s="26">
        <f>+'Service Count Data'!$X$52</f>
        <v>0</v>
      </c>
      <c r="D24" s="470">
        <v>41.6</v>
      </c>
      <c r="E24" s="5">
        <f>+C24*D24</f>
        <v>0</v>
      </c>
      <c r="F24" s="26">
        <f>+'Service Count Data'!$AD$52</f>
        <v>83.25</v>
      </c>
      <c r="G24" s="470">
        <v>42.6</v>
      </c>
      <c r="H24" s="5">
        <f>+F24*G24</f>
        <v>3546.4500000000003</v>
      </c>
      <c r="I24" s="140">
        <f>+C24+F24</f>
        <v>83.25</v>
      </c>
      <c r="J24" s="139">
        <f>+E24+H24</f>
        <v>3546.4500000000003</v>
      </c>
      <c r="L24" s="26">
        <f>+'Service Count Data'!$X$53</f>
        <v>0</v>
      </c>
      <c r="M24" s="471">
        <v>0</v>
      </c>
      <c r="N24" s="5">
        <f>+L24*M24</f>
        <v>0</v>
      </c>
      <c r="O24" s="26">
        <f>+'Service Count Data'!$AD$53</f>
        <v>0</v>
      </c>
      <c r="P24" s="471">
        <v>0</v>
      </c>
      <c r="Q24" s="5">
        <f>+O24*P24</f>
        <v>0</v>
      </c>
      <c r="R24" s="140">
        <f>+L24+O24</f>
        <v>0</v>
      </c>
      <c r="S24" s="139">
        <f>+N24+Q24</f>
        <v>0</v>
      </c>
      <c r="U24" s="26">
        <f>+'Service Count Data'!$X$54</f>
        <v>0</v>
      </c>
      <c r="V24" s="471">
        <v>0</v>
      </c>
      <c r="W24" s="5">
        <f>+U24*V24</f>
        <v>0</v>
      </c>
      <c r="X24" s="26">
        <f>+'Service Count Data'!$AD$54</f>
        <v>0</v>
      </c>
      <c r="Y24" s="471">
        <v>0</v>
      </c>
      <c r="Z24" s="5">
        <f>+X24*Y24</f>
        <v>0</v>
      </c>
      <c r="AA24" s="140">
        <f>+U24+X24</f>
        <v>0</v>
      </c>
      <c r="AB24" s="139">
        <f>+W24+Z24</f>
        <v>0</v>
      </c>
      <c r="AC24" s="26">
        <f>+R24+AA24</f>
        <v>0</v>
      </c>
      <c r="AD24" s="26">
        <f t="shared" si="17"/>
        <v>83.25</v>
      </c>
      <c r="AE24" s="5">
        <f t="shared" si="17"/>
        <v>3546.4500000000003</v>
      </c>
      <c r="AH24" s="26">
        <f>+R24+AA24</f>
        <v>0</v>
      </c>
    </row>
    <row r="25" spans="1:34">
      <c r="A25" s="459" t="s">
        <v>1047</v>
      </c>
      <c r="C25" s="26">
        <f>+'Service Count Data'!$X$190</f>
        <v>0</v>
      </c>
      <c r="D25" s="470">
        <v>15</v>
      </c>
      <c r="E25" s="5">
        <f>+C25*D25</f>
        <v>0</v>
      </c>
      <c r="F25" s="26">
        <v>443</v>
      </c>
      <c r="G25" s="470">
        <v>15.36</v>
      </c>
      <c r="H25" s="5">
        <f>+F25*G25</f>
        <v>6804.48</v>
      </c>
      <c r="I25" s="140">
        <f>+C25+F25</f>
        <v>443</v>
      </c>
      <c r="J25" s="139">
        <f>+E25+H25</f>
        <v>6804.48</v>
      </c>
      <c r="L25" s="26">
        <f>+'Service Count Data'!$X$191</f>
        <v>0</v>
      </c>
      <c r="M25" s="471">
        <v>0</v>
      </c>
      <c r="N25" s="5">
        <f>+L25*M25</f>
        <v>0</v>
      </c>
      <c r="O25" s="26">
        <f>+'Service Count Data'!$AD$191</f>
        <v>0</v>
      </c>
      <c r="P25" s="471">
        <v>0</v>
      </c>
      <c r="Q25" s="5">
        <f>+O25*P25</f>
        <v>0</v>
      </c>
      <c r="R25" s="140">
        <f>+L25+O25</f>
        <v>0</v>
      </c>
      <c r="S25" s="139">
        <f>+N25+Q25</f>
        <v>0</v>
      </c>
      <c r="U25" s="26">
        <f>+'Service Count Data'!$X$192</f>
        <v>0</v>
      </c>
      <c r="V25" s="471">
        <v>0</v>
      </c>
      <c r="W25" s="5">
        <f>+U25*V25</f>
        <v>0</v>
      </c>
      <c r="X25" s="26">
        <f>+'Service Count Data'!$AD$192</f>
        <v>0</v>
      </c>
      <c r="Y25" s="471">
        <v>0</v>
      </c>
      <c r="Z25" s="5">
        <f>+X25*Y25</f>
        <v>0</v>
      </c>
      <c r="AA25" s="140">
        <f>+U25+X25</f>
        <v>0</v>
      </c>
      <c r="AB25" s="139">
        <f>+W25+Z25</f>
        <v>0</v>
      </c>
      <c r="AC25" s="26">
        <f>+R25+AA25</f>
        <v>0</v>
      </c>
      <c r="AD25" s="26">
        <f t="shared" si="17"/>
        <v>443</v>
      </c>
      <c r="AE25" s="5">
        <f t="shared" si="17"/>
        <v>6804.48</v>
      </c>
      <c r="AH25" s="26">
        <f>+R25+AA25</f>
        <v>0</v>
      </c>
    </row>
    <row r="26" spans="1:34">
      <c r="A26" t="s">
        <v>43</v>
      </c>
      <c r="C26" s="26">
        <f>+'Service Count Data'!$X$82</f>
        <v>0</v>
      </c>
      <c r="D26" s="470">
        <v>4.3499999999999996</v>
      </c>
      <c r="E26" s="5">
        <f t="shared" si="0"/>
        <v>0</v>
      </c>
      <c r="F26" s="26">
        <f>+'Service Count Data'!$AD$82</f>
        <v>2246.5</v>
      </c>
      <c r="G26" s="470">
        <v>4.45</v>
      </c>
      <c r="H26" s="5">
        <f t="shared" si="1"/>
        <v>9996.9250000000011</v>
      </c>
      <c r="I26" s="140">
        <f t="shared" si="14"/>
        <v>2246.5</v>
      </c>
      <c r="J26" s="139">
        <f t="shared" si="15"/>
        <v>9996.9250000000011</v>
      </c>
      <c r="L26" s="26">
        <f>+'Service Count Data'!$X$83</f>
        <v>0</v>
      </c>
      <c r="M26" s="471">
        <v>3.95</v>
      </c>
      <c r="N26" s="5">
        <f t="shared" si="2"/>
        <v>0</v>
      </c>
      <c r="O26" s="26">
        <f>+'Service Count Data'!$AD$83</f>
        <v>430</v>
      </c>
      <c r="P26" s="471">
        <v>3.95</v>
      </c>
      <c r="Q26" s="5">
        <f t="shared" si="3"/>
        <v>1698.5</v>
      </c>
      <c r="R26" s="140">
        <f t="shared" si="4"/>
        <v>430</v>
      </c>
      <c r="S26" s="139">
        <f t="shared" si="5"/>
        <v>1698.5</v>
      </c>
      <c r="U26" s="26">
        <f>+'Service Count Data'!$X$84</f>
        <v>0</v>
      </c>
      <c r="V26" s="471">
        <v>3.95</v>
      </c>
      <c r="W26" s="5">
        <f t="shared" si="6"/>
        <v>0</v>
      </c>
      <c r="X26" s="26">
        <f>+'Service Count Data'!$AD$84</f>
        <v>360</v>
      </c>
      <c r="Y26" s="471">
        <v>3.95</v>
      </c>
      <c r="Z26" s="5">
        <f t="shared" si="7"/>
        <v>1422</v>
      </c>
      <c r="AA26" s="140">
        <f t="shared" si="8"/>
        <v>360</v>
      </c>
      <c r="AB26" s="139">
        <f t="shared" si="9"/>
        <v>1422</v>
      </c>
      <c r="AC26" s="26">
        <f t="shared" si="10"/>
        <v>790</v>
      </c>
      <c r="AD26" s="26">
        <f t="shared" si="11"/>
        <v>3036.5</v>
      </c>
      <c r="AE26" s="5">
        <f t="shared" si="12"/>
        <v>13117.425000000001</v>
      </c>
      <c r="AH26" s="26">
        <f t="shared" si="16"/>
        <v>790</v>
      </c>
    </row>
    <row r="27" spans="1:34">
      <c r="A27" t="s">
        <v>44</v>
      </c>
      <c r="C27" s="26">
        <f>+'Service Count Data'!$X$91</f>
        <v>0</v>
      </c>
      <c r="D27" s="470">
        <v>3.25</v>
      </c>
      <c r="E27" s="5">
        <f t="shared" si="0"/>
        <v>0</v>
      </c>
      <c r="F27" s="26">
        <f>+'Service Count Data'!$AD$91</f>
        <v>0</v>
      </c>
      <c r="G27" s="470">
        <v>3.33</v>
      </c>
      <c r="H27" s="5">
        <f t="shared" si="1"/>
        <v>0</v>
      </c>
      <c r="I27" s="140">
        <f t="shared" si="14"/>
        <v>0</v>
      </c>
      <c r="J27" s="139">
        <f t="shared" si="15"/>
        <v>0</v>
      </c>
      <c r="L27" s="26">
        <f>+'Service Count Data'!$X$92</f>
        <v>0</v>
      </c>
      <c r="M27" s="471">
        <v>2.95</v>
      </c>
      <c r="N27" s="5">
        <f t="shared" si="2"/>
        <v>0</v>
      </c>
      <c r="O27" s="26">
        <f>+'Service Count Data'!$AD$92</f>
        <v>0</v>
      </c>
      <c r="P27" s="471">
        <v>2.95</v>
      </c>
      <c r="Q27" s="5">
        <f t="shared" si="3"/>
        <v>0</v>
      </c>
      <c r="R27" s="140">
        <f t="shared" si="4"/>
        <v>0</v>
      </c>
      <c r="S27" s="139">
        <f t="shared" si="5"/>
        <v>0</v>
      </c>
      <c r="U27" s="26">
        <f>+'Service Count Data'!$X$93</f>
        <v>0</v>
      </c>
      <c r="V27" s="471">
        <v>2.95</v>
      </c>
      <c r="W27" s="5">
        <f t="shared" si="6"/>
        <v>0</v>
      </c>
      <c r="X27" s="26">
        <f>+'Service Count Data'!$AD$93</f>
        <v>0</v>
      </c>
      <c r="Y27" s="471">
        <v>2.95</v>
      </c>
      <c r="Z27" s="5">
        <f t="shared" si="7"/>
        <v>0</v>
      </c>
      <c r="AA27" s="140">
        <f t="shared" si="8"/>
        <v>0</v>
      </c>
      <c r="AB27" s="139">
        <f t="shared" si="9"/>
        <v>0</v>
      </c>
      <c r="AC27" s="26">
        <f t="shared" si="10"/>
        <v>0</v>
      </c>
      <c r="AD27" s="26">
        <f t="shared" si="11"/>
        <v>0</v>
      </c>
      <c r="AE27" s="5">
        <f t="shared" si="12"/>
        <v>0</v>
      </c>
      <c r="AH27" s="26">
        <f t="shared" si="16"/>
        <v>0</v>
      </c>
    </row>
    <row r="28" spans="1:34">
      <c r="A28" t="s">
        <v>1048</v>
      </c>
      <c r="C28" s="26">
        <f>+'Service Count Data'!$Y$91</f>
        <v>0</v>
      </c>
      <c r="D28" s="470">
        <v>1.95</v>
      </c>
      <c r="E28" s="5">
        <f t="shared" si="0"/>
        <v>0</v>
      </c>
      <c r="F28" s="26">
        <f>+'Service Count Data'!$AE$91</f>
        <v>0</v>
      </c>
      <c r="G28" s="470">
        <v>2</v>
      </c>
      <c r="H28" s="5">
        <f t="shared" si="1"/>
        <v>0</v>
      </c>
      <c r="I28" s="140">
        <f t="shared" si="14"/>
        <v>0</v>
      </c>
      <c r="J28" s="139">
        <f t="shared" si="15"/>
        <v>0</v>
      </c>
      <c r="L28" s="26">
        <f>+'Service Count Data'!$Y$92</f>
        <v>0</v>
      </c>
      <c r="M28" s="471">
        <v>1.65</v>
      </c>
      <c r="N28" s="5">
        <f t="shared" si="2"/>
        <v>0</v>
      </c>
      <c r="O28" s="26">
        <f>+'Service Count Data'!$AE$92</f>
        <v>0</v>
      </c>
      <c r="P28" s="471">
        <v>1.65</v>
      </c>
      <c r="Q28" s="5">
        <f t="shared" si="3"/>
        <v>0</v>
      </c>
      <c r="R28" s="140">
        <f t="shared" si="4"/>
        <v>0</v>
      </c>
      <c r="S28" s="139">
        <f t="shared" si="5"/>
        <v>0</v>
      </c>
      <c r="U28" s="26">
        <f>+'Service Count Data'!$Y$93</f>
        <v>0</v>
      </c>
      <c r="V28" s="471">
        <v>1.65</v>
      </c>
      <c r="W28" s="5">
        <f t="shared" si="6"/>
        <v>0</v>
      </c>
      <c r="X28" s="26">
        <f>+'Service Count Data'!$Y$93</f>
        <v>0</v>
      </c>
      <c r="Y28" s="471">
        <v>1.65</v>
      </c>
      <c r="Z28" s="5">
        <f t="shared" si="7"/>
        <v>0</v>
      </c>
      <c r="AA28" s="140">
        <f t="shared" si="8"/>
        <v>0</v>
      </c>
      <c r="AB28" s="139">
        <f t="shared" si="9"/>
        <v>0</v>
      </c>
      <c r="AC28" s="26">
        <f t="shared" si="10"/>
        <v>0</v>
      </c>
      <c r="AD28" s="26">
        <f t="shared" si="11"/>
        <v>0</v>
      </c>
      <c r="AE28" s="5">
        <f t="shared" si="12"/>
        <v>0</v>
      </c>
      <c r="AH28" s="26">
        <f t="shared" si="16"/>
        <v>0</v>
      </c>
    </row>
    <row r="29" spans="1:34">
      <c r="A29" t="s">
        <v>46</v>
      </c>
      <c r="C29" s="26">
        <f>+'Service Count Data'!$X$145</f>
        <v>0</v>
      </c>
      <c r="D29" s="470">
        <v>13.9</v>
      </c>
      <c r="E29" s="5">
        <f t="shared" si="0"/>
        <v>0</v>
      </c>
      <c r="F29" s="26">
        <f>+'Service Count Data'!$AD$145</f>
        <v>107.25</v>
      </c>
      <c r="G29" s="470">
        <v>14.23</v>
      </c>
      <c r="H29" s="5">
        <f t="shared" si="1"/>
        <v>1526.1675</v>
      </c>
      <c r="I29" s="140">
        <f t="shared" si="14"/>
        <v>107.25</v>
      </c>
      <c r="J29" s="139">
        <f t="shared" si="15"/>
        <v>1526.1675</v>
      </c>
      <c r="L29" s="26">
        <f>+'Service Count Data'!$X$146</f>
        <v>0</v>
      </c>
      <c r="M29" s="471">
        <v>10.55</v>
      </c>
      <c r="N29" s="5">
        <f t="shared" si="2"/>
        <v>0</v>
      </c>
      <c r="O29" s="26">
        <f>+'Service Count Data'!$AD$146</f>
        <v>6.5</v>
      </c>
      <c r="P29" s="471">
        <v>10.55</v>
      </c>
      <c r="Q29" s="5">
        <f t="shared" si="3"/>
        <v>68.575000000000003</v>
      </c>
      <c r="R29" s="140">
        <f t="shared" si="4"/>
        <v>6.5</v>
      </c>
      <c r="S29" s="139">
        <f t="shared" si="5"/>
        <v>68.575000000000003</v>
      </c>
      <c r="U29" s="26">
        <f>+'Service Count Data'!$X$147</f>
        <v>0</v>
      </c>
      <c r="V29" s="471">
        <v>10.55</v>
      </c>
      <c r="W29" s="5">
        <f t="shared" si="6"/>
        <v>0</v>
      </c>
      <c r="X29" s="26">
        <f>+'Service Count Data'!$AD$147</f>
        <v>0</v>
      </c>
      <c r="Y29" s="471">
        <v>10.55</v>
      </c>
      <c r="Z29" s="5">
        <f t="shared" si="7"/>
        <v>0</v>
      </c>
      <c r="AA29" s="140">
        <f t="shared" si="8"/>
        <v>0</v>
      </c>
      <c r="AB29" s="139">
        <f t="shared" si="9"/>
        <v>0</v>
      </c>
      <c r="AC29" s="26">
        <f t="shared" si="10"/>
        <v>6.5</v>
      </c>
      <c r="AD29" s="26">
        <f t="shared" si="11"/>
        <v>113.75</v>
      </c>
      <c r="AE29" s="5">
        <f t="shared" si="12"/>
        <v>1594.7425000000001</v>
      </c>
      <c r="AH29" s="26">
        <f t="shared" si="16"/>
        <v>6.5</v>
      </c>
    </row>
    <row r="30" spans="1:34">
      <c r="A30" s="459" t="s">
        <v>1382</v>
      </c>
      <c r="C30" s="26">
        <f>+'Service Count Data'!$X$148</f>
        <v>0</v>
      </c>
      <c r="D30" s="470">
        <v>25.5</v>
      </c>
      <c r="E30" s="5">
        <f>+C30*D30</f>
        <v>0</v>
      </c>
      <c r="F30" s="26">
        <f>+'Service Count Data'!$AD$148</f>
        <v>12</v>
      </c>
      <c r="G30" s="470">
        <v>26.11</v>
      </c>
      <c r="H30" s="5">
        <f>+F30*G30</f>
        <v>313.32</v>
      </c>
      <c r="I30" s="140">
        <f>+C30+F30</f>
        <v>12</v>
      </c>
      <c r="J30" s="139">
        <f>+E30+H30</f>
        <v>313.32</v>
      </c>
      <c r="L30" s="26">
        <f>+'Service Count Data'!$X$149</f>
        <v>0</v>
      </c>
      <c r="M30" s="471">
        <v>0</v>
      </c>
      <c r="N30" s="5">
        <f>+L30*M30</f>
        <v>0</v>
      </c>
      <c r="O30" s="26">
        <f>+'Service Count Data'!$AD$149</f>
        <v>0</v>
      </c>
      <c r="P30" s="471">
        <v>0</v>
      </c>
      <c r="Q30" s="5">
        <f>+O30*P30</f>
        <v>0</v>
      </c>
      <c r="R30" s="140">
        <f>+L30+O30</f>
        <v>0</v>
      </c>
      <c r="S30" s="139">
        <f>+N30+Q30</f>
        <v>0</v>
      </c>
      <c r="U30" s="26">
        <f>+'Service Count Data'!$X$150</f>
        <v>0</v>
      </c>
      <c r="V30" s="471">
        <v>0</v>
      </c>
      <c r="W30" s="5">
        <f>+U30*V30</f>
        <v>0</v>
      </c>
      <c r="X30" s="26">
        <f>+'Service Count Data'!$AD$150</f>
        <v>0</v>
      </c>
      <c r="Y30" s="471">
        <v>0</v>
      </c>
      <c r="Z30" s="5">
        <f>+X30*Y30</f>
        <v>0</v>
      </c>
      <c r="AA30" s="140">
        <f>+U30+X30</f>
        <v>0</v>
      </c>
      <c r="AB30" s="139">
        <f>+W30+Z30</f>
        <v>0</v>
      </c>
      <c r="AC30" s="26">
        <f>+R30+AA30</f>
        <v>0</v>
      </c>
      <c r="AD30" s="26">
        <f>+I30+R30+AA30</f>
        <v>12</v>
      </c>
      <c r="AE30" s="5">
        <f>+J30+S30+AB30</f>
        <v>313.32</v>
      </c>
      <c r="AH30" s="26">
        <f>+R30+AA30</f>
        <v>0</v>
      </c>
    </row>
    <row r="31" spans="1:34">
      <c r="A31" t="s">
        <v>47</v>
      </c>
      <c r="C31" s="26">
        <f>+'Service Count Data'!$X$169</f>
        <v>0</v>
      </c>
      <c r="D31" s="470">
        <v>22.4</v>
      </c>
      <c r="E31" s="5">
        <f t="shared" si="0"/>
        <v>0</v>
      </c>
      <c r="F31" s="26">
        <f>+'Service Count Data'!$AD$169</f>
        <v>897.25</v>
      </c>
      <c r="G31" s="470">
        <v>22.94</v>
      </c>
      <c r="H31" s="5">
        <f t="shared" si="1"/>
        <v>20582.915000000001</v>
      </c>
      <c r="I31" s="140">
        <f t="shared" si="14"/>
        <v>897.25</v>
      </c>
      <c r="J31" s="139">
        <f t="shared" si="15"/>
        <v>20582.915000000001</v>
      </c>
      <c r="L31" s="26">
        <f>+'Service Count Data'!$X$170</f>
        <v>0</v>
      </c>
      <c r="M31" s="471">
        <v>19.600000000000001</v>
      </c>
      <c r="N31" s="5">
        <f t="shared" si="2"/>
        <v>0</v>
      </c>
      <c r="O31" s="26">
        <f>+'Service Count Data'!$AD$170</f>
        <v>198</v>
      </c>
      <c r="P31" s="471">
        <v>19.600000000000001</v>
      </c>
      <c r="Q31" s="5">
        <f t="shared" si="3"/>
        <v>3880.8</v>
      </c>
      <c r="R31" s="140">
        <f t="shared" si="4"/>
        <v>198</v>
      </c>
      <c r="S31" s="139">
        <f t="shared" si="5"/>
        <v>3880.8</v>
      </c>
      <c r="U31" s="26">
        <f>+'Service Count Data'!$X$171</f>
        <v>0</v>
      </c>
      <c r="V31" s="471">
        <v>19.600000000000001</v>
      </c>
      <c r="W31" s="5">
        <f t="shared" si="6"/>
        <v>0</v>
      </c>
      <c r="X31" s="26">
        <f>+'Service Count Data'!$AD$171</f>
        <v>1005.5</v>
      </c>
      <c r="Y31" s="471">
        <v>19.600000000000001</v>
      </c>
      <c r="Z31" s="5">
        <f t="shared" si="7"/>
        <v>19707.800000000003</v>
      </c>
      <c r="AA31" s="140">
        <f t="shared" si="8"/>
        <v>1005.5</v>
      </c>
      <c r="AB31" s="139">
        <f t="shared" si="9"/>
        <v>19707.800000000003</v>
      </c>
      <c r="AC31" s="26">
        <f t="shared" si="10"/>
        <v>1203.5</v>
      </c>
      <c r="AD31" s="26">
        <f t="shared" si="11"/>
        <v>2100.75</v>
      </c>
      <c r="AE31" s="5">
        <f t="shared" si="12"/>
        <v>44171.514999999999</v>
      </c>
      <c r="AH31" s="26">
        <f t="shared" si="16"/>
        <v>1203.5</v>
      </c>
    </row>
    <row r="32" spans="1:34">
      <c r="A32" t="s">
        <v>48</v>
      </c>
      <c r="C32" s="26">
        <f>+'Service Count Data'!$X$151</f>
        <v>0</v>
      </c>
      <c r="D32" s="470">
        <v>0</v>
      </c>
      <c r="E32" s="5">
        <f t="shared" si="0"/>
        <v>0</v>
      </c>
      <c r="F32" s="26">
        <f>+'Service Count Data'!$AD$151</f>
        <v>0</v>
      </c>
      <c r="G32" s="470">
        <v>0</v>
      </c>
      <c r="H32" s="5">
        <f t="shared" si="1"/>
        <v>0</v>
      </c>
      <c r="I32" s="140">
        <f t="shared" si="14"/>
        <v>0</v>
      </c>
      <c r="J32" s="139">
        <f t="shared" si="15"/>
        <v>0</v>
      </c>
      <c r="L32" s="26">
        <f>+'Service Count Data'!$X$152</f>
        <v>0</v>
      </c>
      <c r="M32" s="471">
        <v>12.2</v>
      </c>
      <c r="N32" s="5">
        <f t="shared" si="2"/>
        <v>0</v>
      </c>
      <c r="O32" s="26">
        <f>+'Service Count Data'!$AD$152</f>
        <v>0</v>
      </c>
      <c r="P32" s="471">
        <v>12.2</v>
      </c>
      <c r="Q32" s="5">
        <f t="shared" si="3"/>
        <v>0</v>
      </c>
      <c r="R32" s="140">
        <f t="shared" si="4"/>
        <v>0</v>
      </c>
      <c r="S32" s="139">
        <f t="shared" si="5"/>
        <v>0</v>
      </c>
      <c r="U32" s="26">
        <f>+'Service Count Data'!$X$153</f>
        <v>0</v>
      </c>
      <c r="V32" s="471">
        <v>12.2</v>
      </c>
      <c r="W32" s="5">
        <f t="shared" si="6"/>
        <v>0</v>
      </c>
      <c r="X32" s="26">
        <f>+'Service Count Data'!$AD$153</f>
        <v>0</v>
      </c>
      <c r="Y32" s="471">
        <v>12.2</v>
      </c>
      <c r="Z32" s="5">
        <f t="shared" si="7"/>
        <v>0</v>
      </c>
      <c r="AA32" s="140">
        <f t="shared" si="8"/>
        <v>0</v>
      </c>
      <c r="AB32" s="139">
        <f t="shared" si="9"/>
        <v>0</v>
      </c>
      <c r="AC32" s="26">
        <f t="shared" si="10"/>
        <v>0</v>
      </c>
      <c r="AD32" s="26">
        <f t="shared" si="11"/>
        <v>0</v>
      </c>
      <c r="AE32" s="5">
        <f t="shared" si="12"/>
        <v>0</v>
      </c>
      <c r="AF32" s="51">
        <f>SUM(AE10:AE32)</f>
        <v>961226.56512586598</v>
      </c>
      <c r="AH32" s="26">
        <f t="shared" si="16"/>
        <v>0</v>
      </c>
    </row>
    <row r="33" spans="1:34">
      <c r="C33" s="26"/>
      <c r="D33" s="120"/>
      <c r="F33" s="26"/>
      <c r="G33" s="120"/>
      <c r="I33" s="140"/>
      <c r="J33" s="134"/>
      <c r="L33" s="26"/>
      <c r="M33" s="120"/>
      <c r="O33" s="26"/>
      <c r="P33" s="120"/>
      <c r="R33" s="140"/>
      <c r="S33" s="134"/>
      <c r="U33" s="26"/>
      <c r="V33" s="120"/>
      <c r="X33" s="26"/>
      <c r="Y33" s="120"/>
      <c r="AA33" s="140"/>
      <c r="AB33" s="134"/>
      <c r="AC33" s="26">
        <f t="shared" si="10"/>
        <v>0</v>
      </c>
    </row>
    <row r="34" spans="1:34">
      <c r="A34" t="s">
        <v>49</v>
      </c>
      <c r="C34" s="26"/>
      <c r="D34" s="120"/>
      <c r="F34" s="26"/>
      <c r="G34" s="120"/>
      <c r="I34" s="140"/>
      <c r="J34" s="134"/>
      <c r="L34" s="26"/>
      <c r="M34" s="120"/>
      <c r="O34" s="26"/>
      <c r="P34" s="120"/>
      <c r="R34" s="140"/>
      <c r="S34" s="134"/>
      <c r="U34" s="26"/>
      <c r="V34" s="120"/>
      <c r="X34" s="26"/>
      <c r="Y34" s="120"/>
      <c r="AA34" s="140"/>
      <c r="AB34" s="134"/>
      <c r="AC34" s="26">
        <f t="shared" si="10"/>
        <v>0</v>
      </c>
    </row>
    <row r="35" spans="1:34">
      <c r="A35" t="s">
        <v>50</v>
      </c>
      <c r="C35" s="26">
        <f>+'Service Count Data'!$X$250</f>
        <v>0</v>
      </c>
      <c r="D35" s="470">
        <v>17.8</v>
      </c>
      <c r="E35" s="5">
        <f t="shared" ref="E35:E50" si="18">+C35*D35</f>
        <v>0</v>
      </c>
      <c r="F35" s="26">
        <f>+'Service Count Data'!$AD$250</f>
        <v>7772</v>
      </c>
      <c r="G35" s="470">
        <v>18.23</v>
      </c>
      <c r="H35" s="5">
        <f t="shared" ref="H35:H50" si="19">+F35*G35</f>
        <v>141683.56</v>
      </c>
      <c r="I35" s="140">
        <f t="shared" ref="I35:I50" si="20">+C35+F35</f>
        <v>7772</v>
      </c>
      <c r="J35" s="139">
        <f t="shared" ref="J35:J50" si="21">+E35+H35</f>
        <v>141683.56</v>
      </c>
      <c r="L35" s="26">
        <f>+'Service Count Data'!$X$251</f>
        <v>0</v>
      </c>
      <c r="M35" s="470">
        <v>15.25</v>
      </c>
      <c r="N35" s="5">
        <f t="shared" ref="N35:N50" si="22">+L35*M35</f>
        <v>0</v>
      </c>
      <c r="O35" s="26">
        <f>+'Service Count Data'!$AD$251</f>
        <v>958</v>
      </c>
      <c r="P35" s="470">
        <v>15.25</v>
      </c>
      <c r="Q35" s="5">
        <f t="shared" ref="Q35:Q50" si="23">+O35*P35</f>
        <v>14609.5</v>
      </c>
      <c r="R35" s="140">
        <f t="shared" ref="R35:R50" si="24">+L35+O35</f>
        <v>958</v>
      </c>
      <c r="S35" s="139">
        <f t="shared" ref="S35:S50" si="25">+N35+Q35</f>
        <v>14609.5</v>
      </c>
      <c r="U35" s="26">
        <f>+'Service Count Data'!$X$252</f>
        <v>0</v>
      </c>
      <c r="V35" s="470">
        <v>15.25</v>
      </c>
      <c r="W35" s="5">
        <f t="shared" ref="W35:W50" si="26">+U35*V35</f>
        <v>0</v>
      </c>
      <c r="X35" s="26">
        <f>+'Service Count Data'!$AD$252</f>
        <v>1695</v>
      </c>
      <c r="Y35" s="470">
        <v>15.25</v>
      </c>
      <c r="Z35" s="5">
        <f t="shared" ref="Z35:Z50" si="27">+X35*Y35</f>
        <v>25848.75</v>
      </c>
      <c r="AA35" s="140">
        <f t="shared" ref="AA35:AA50" si="28">+U35+X35</f>
        <v>1695</v>
      </c>
      <c r="AB35" s="139">
        <f t="shared" ref="AB35:AB50" si="29">+W35+Z35</f>
        <v>25848.75</v>
      </c>
      <c r="AC35" s="26">
        <f t="shared" si="10"/>
        <v>2653</v>
      </c>
      <c r="AD35" s="26">
        <f t="shared" ref="AD35:AD50" si="30">+I35+R35+AA35</f>
        <v>10425</v>
      </c>
      <c r="AE35" s="5">
        <f t="shared" ref="AE35:AE50" si="31">+J35+S35+AB35</f>
        <v>182141.81</v>
      </c>
      <c r="AH35" s="26">
        <f t="shared" ref="AH35:AH50" si="32">+R35+AA35</f>
        <v>2653</v>
      </c>
    </row>
    <row r="36" spans="1:34">
      <c r="A36" t="s">
        <v>51</v>
      </c>
      <c r="C36" s="26">
        <f>+'Service Count Data'!$X$256</f>
        <v>0</v>
      </c>
      <c r="D36" s="470">
        <v>22.4</v>
      </c>
      <c r="E36" s="5">
        <f>+C36*D36</f>
        <v>0</v>
      </c>
      <c r="F36" s="26">
        <f>+'Service Count Data'!$AD$256</f>
        <v>698</v>
      </c>
      <c r="G36" s="470">
        <v>22.94</v>
      </c>
      <c r="H36" s="5">
        <f t="shared" si="19"/>
        <v>16012.12</v>
      </c>
      <c r="I36" s="140">
        <f>+C36+F36</f>
        <v>698</v>
      </c>
      <c r="J36" s="139">
        <f>+E36+H36</f>
        <v>16012.12</v>
      </c>
      <c r="L36" s="26">
        <f>+'Service Count Data'!$X$257</f>
        <v>0</v>
      </c>
      <c r="M36" s="470">
        <v>0</v>
      </c>
      <c r="N36" s="5">
        <f>+L36*M36</f>
        <v>0</v>
      </c>
      <c r="O36" s="26">
        <f>+'Service Count Data'!$AD$257</f>
        <v>0</v>
      </c>
      <c r="P36" s="470">
        <v>0</v>
      </c>
      <c r="Q36" s="5">
        <f>+O36*P36</f>
        <v>0</v>
      </c>
      <c r="R36" s="140">
        <f>+L36+O36</f>
        <v>0</v>
      </c>
      <c r="S36" s="139">
        <f>+N36+Q36</f>
        <v>0</v>
      </c>
      <c r="U36" s="26">
        <f>+'Service Count Data'!$X$258</f>
        <v>0</v>
      </c>
      <c r="V36" s="470">
        <v>0</v>
      </c>
      <c r="W36" s="5">
        <f>+U36*V36</f>
        <v>0</v>
      </c>
      <c r="X36" s="26">
        <f>+'Service Count Data'!$AD$258</f>
        <v>0</v>
      </c>
      <c r="Y36" s="470">
        <v>0</v>
      </c>
      <c r="Z36" s="5">
        <f>+X36*Y36</f>
        <v>0</v>
      </c>
      <c r="AA36" s="140">
        <f>+U36+X36</f>
        <v>0</v>
      </c>
      <c r="AB36" s="139">
        <f>+W36+Z36</f>
        <v>0</v>
      </c>
      <c r="AC36" s="26">
        <f>+R36+AA36</f>
        <v>0</v>
      </c>
      <c r="AD36" s="26">
        <f>+I36+R36+AA36</f>
        <v>698</v>
      </c>
      <c r="AE36" s="5">
        <f>+J36+S36+AB36</f>
        <v>16012.12</v>
      </c>
      <c r="AH36" s="26">
        <f t="shared" si="32"/>
        <v>0</v>
      </c>
    </row>
    <row r="37" spans="1:34">
      <c r="A37" t="s">
        <v>52</v>
      </c>
      <c r="C37" s="26">
        <f>+'Service Count Data'!$X$253</f>
        <v>0</v>
      </c>
      <c r="D37" s="470">
        <v>23.15</v>
      </c>
      <c r="E37" s="5">
        <f t="shared" si="18"/>
        <v>0</v>
      </c>
      <c r="F37" s="26">
        <f>+'Service Count Data'!$AD$253</f>
        <v>2586</v>
      </c>
      <c r="G37" s="470">
        <v>23.7</v>
      </c>
      <c r="H37" s="5">
        <f t="shared" si="19"/>
        <v>61288.2</v>
      </c>
      <c r="I37" s="140">
        <f t="shared" si="20"/>
        <v>2586</v>
      </c>
      <c r="J37" s="139">
        <f t="shared" si="21"/>
        <v>61288.2</v>
      </c>
      <c r="L37" s="26">
        <f>+'Service Count Data'!$X$254</f>
        <v>0</v>
      </c>
      <c r="M37" s="470">
        <v>20.399999999999999</v>
      </c>
      <c r="N37" s="5">
        <f t="shared" si="22"/>
        <v>0</v>
      </c>
      <c r="O37" s="26">
        <f>+'Service Count Data'!$AD$254</f>
        <v>0</v>
      </c>
      <c r="P37" s="470">
        <v>20.399999999999999</v>
      </c>
      <c r="Q37" s="5">
        <f t="shared" si="23"/>
        <v>0</v>
      </c>
      <c r="R37" s="140">
        <f t="shared" si="24"/>
        <v>0</v>
      </c>
      <c r="S37" s="139">
        <f t="shared" si="25"/>
        <v>0</v>
      </c>
      <c r="U37" s="26">
        <f>+'Service Count Data'!$X$255</f>
        <v>0</v>
      </c>
      <c r="V37" s="470">
        <v>20.399999999999999</v>
      </c>
      <c r="W37" s="5">
        <f t="shared" si="26"/>
        <v>0</v>
      </c>
      <c r="X37" s="26">
        <f>+'Service Count Data'!$AD$255</f>
        <v>0</v>
      </c>
      <c r="Y37" s="470">
        <v>20.399999999999999</v>
      </c>
      <c r="Z37" s="5">
        <f t="shared" si="27"/>
        <v>0</v>
      </c>
      <c r="AA37" s="140">
        <f t="shared" si="28"/>
        <v>0</v>
      </c>
      <c r="AB37" s="139">
        <f t="shared" si="29"/>
        <v>0</v>
      </c>
      <c r="AC37" s="26">
        <f t="shared" si="10"/>
        <v>0</v>
      </c>
      <c r="AD37" s="26">
        <f t="shared" si="30"/>
        <v>2586</v>
      </c>
      <c r="AE37" s="5">
        <f t="shared" si="31"/>
        <v>61288.2</v>
      </c>
      <c r="AH37" s="26">
        <f t="shared" si="32"/>
        <v>0</v>
      </c>
    </row>
    <row r="38" spans="1:34">
      <c r="A38" t="s">
        <v>53</v>
      </c>
      <c r="C38" s="26">
        <f>+'Service Count Data'!$X$259</f>
        <v>0</v>
      </c>
      <c r="D38" s="470">
        <v>28.5</v>
      </c>
      <c r="E38" s="5">
        <f t="shared" si="18"/>
        <v>0</v>
      </c>
      <c r="F38" s="26">
        <f>+'Service Count Data'!$AD$259</f>
        <v>8261</v>
      </c>
      <c r="G38" s="470">
        <v>29.18</v>
      </c>
      <c r="H38" s="5">
        <f t="shared" si="19"/>
        <v>241055.98</v>
      </c>
      <c r="I38" s="140">
        <f t="shared" si="20"/>
        <v>8261</v>
      </c>
      <c r="J38" s="139">
        <f t="shared" si="21"/>
        <v>241055.98</v>
      </c>
      <c r="L38" s="26">
        <f>+'Service Count Data'!$X$260</f>
        <v>0</v>
      </c>
      <c r="M38" s="470">
        <v>23.3</v>
      </c>
      <c r="N38" s="5">
        <f t="shared" si="22"/>
        <v>0</v>
      </c>
      <c r="O38" s="26">
        <f>+'Service Count Data'!$AD$260</f>
        <v>707</v>
      </c>
      <c r="P38" s="470">
        <v>23.3</v>
      </c>
      <c r="Q38" s="5">
        <f t="shared" si="23"/>
        <v>16473.100000000002</v>
      </c>
      <c r="R38" s="140">
        <f t="shared" si="24"/>
        <v>707</v>
      </c>
      <c r="S38" s="139">
        <f t="shared" si="25"/>
        <v>16473.100000000002</v>
      </c>
      <c r="U38" s="26">
        <f>+'Service Count Data'!$X$261</f>
        <v>0</v>
      </c>
      <c r="V38" s="470">
        <v>23.3</v>
      </c>
      <c r="W38" s="5">
        <f t="shared" si="26"/>
        <v>0</v>
      </c>
      <c r="X38" s="26">
        <f>+'Service Count Data'!$AD$261</f>
        <v>2199</v>
      </c>
      <c r="Y38" s="470">
        <v>23.3</v>
      </c>
      <c r="Z38" s="5">
        <f t="shared" si="27"/>
        <v>51236.700000000004</v>
      </c>
      <c r="AA38" s="140">
        <f t="shared" si="28"/>
        <v>2199</v>
      </c>
      <c r="AB38" s="139">
        <f t="shared" si="29"/>
        <v>51236.700000000004</v>
      </c>
      <c r="AC38" s="26">
        <f t="shared" si="10"/>
        <v>2906</v>
      </c>
      <c r="AD38" s="26">
        <f t="shared" si="30"/>
        <v>11167</v>
      </c>
      <c r="AE38" s="5">
        <f t="shared" si="31"/>
        <v>308765.78000000003</v>
      </c>
      <c r="AH38" s="26">
        <f t="shared" si="32"/>
        <v>2906</v>
      </c>
    </row>
    <row r="39" spans="1:34">
      <c r="A39" t="s">
        <v>1049</v>
      </c>
      <c r="C39" s="26">
        <f>+'Service Count Data'!$X$262</f>
        <v>0</v>
      </c>
      <c r="D39" s="470">
        <v>34.549999999999997</v>
      </c>
      <c r="E39" s="5">
        <f>+C39*D39</f>
        <v>0</v>
      </c>
      <c r="F39" s="26">
        <f>+'Service Count Data'!$AD$262</f>
        <v>251</v>
      </c>
      <c r="G39" s="470">
        <v>35.380000000000003</v>
      </c>
      <c r="H39" s="5">
        <f t="shared" si="19"/>
        <v>8880.380000000001</v>
      </c>
      <c r="I39" s="140">
        <f>+C39+F39</f>
        <v>251</v>
      </c>
      <c r="J39" s="139">
        <f>+E39+H39</f>
        <v>8880.380000000001</v>
      </c>
      <c r="L39" s="26">
        <f>+'Service Count Data'!$X$263</f>
        <v>0</v>
      </c>
      <c r="M39" s="470">
        <v>0</v>
      </c>
      <c r="N39" s="5">
        <f>+L39*M39</f>
        <v>0</v>
      </c>
      <c r="O39" s="26">
        <f>+'Service Count Data'!$AD$263</f>
        <v>0</v>
      </c>
      <c r="P39" s="470">
        <v>0</v>
      </c>
      <c r="Q39" s="5">
        <f>+O39*P39</f>
        <v>0</v>
      </c>
      <c r="R39" s="140">
        <f>+L39+O39</f>
        <v>0</v>
      </c>
      <c r="S39" s="139">
        <f>+N39+Q39</f>
        <v>0</v>
      </c>
      <c r="U39" s="26">
        <f>+'Service Count Data'!$X$264</f>
        <v>0</v>
      </c>
      <c r="V39" s="470">
        <v>0</v>
      </c>
      <c r="W39" s="5">
        <f>+U39*V39</f>
        <v>0</v>
      </c>
      <c r="X39" s="26">
        <f>+'Service Count Data'!$AD$264</f>
        <v>0</v>
      </c>
      <c r="Y39" s="470">
        <v>0</v>
      </c>
      <c r="Z39" s="5">
        <f>+X39*Y39</f>
        <v>0</v>
      </c>
      <c r="AA39" s="140">
        <f>+U39+X39</f>
        <v>0</v>
      </c>
      <c r="AB39" s="139">
        <f>+W39+Z39</f>
        <v>0</v>
      </c>
      <c r="AC39" s="26">
        <f>+R39+AA39</f>
        <v>0</v>
      </c>
      <c r="AD39" s="26">
        <f>+I39+R39+AA39</f>
        <v>251</v>
      </c>
      <c r="AE39" s="5">
        <f>+J39+S39+AB39</f>
        <v>8880.380000000001</v>
      </c>
      <c r="AH39" s="26">
        <f t="shared" si="32"/>
        <v>0</v>
      </c>
    </row>
    <row r="40" spans="1:34">
      <c r="A40" t="s">
        <v>55</v>
      </c>
      <c r="C40" s="26">
        <f>+'Service Count Data'!$X$265</f>
        <v>0</v>
      </c>
      <c r="D40" s="470">
        <v>39.950000000000003</v>
      </c>
      <c r="E40" s="5">
        <f t="shared" si="18"/>
        <v>0</v>
      </c>
      <c r="F40" s="26">
        <f>+'Service Count Data'!$AD$265</f>
        <v>694</v>
      </c>
      <c r="G40" s="470">
        <v>40.909999999999997</v>
      </c>
      <c r="H40" s="5">
        <f t="shared" si="19"/>
        <v>28391.539999999997</v>
      </c>
      <c r="I40" s="140">
        <f t="shared" si="20"/>
        <v>694</v>
      </c>
      <c r="J40" s="139">
        <f t="shared" si="21"/>
        <v>28391.539999999997</v>
      </c>
      <c r="L40" s="26">
        <f>+'Service Count Data'!$X$266</f>
        <v>0</v>
      </c>
      <c r="M40" s="470">
        <v>30.5</v>
      </c>
      <c r="N40" s="5">
        <f t="shared" si="22"/>
        <v>0</v>
      </c>
      <c r="O40" s="26">
        <f>+'Service Count Data'!$AD$266</f>
        <v>52</v>
      </c>
      <c r="P40" s="470">
        <v>30.5</v>
      </c>
      <c r="Q40" s="5">
        <f t="shared" si="23"/>
        <v>1586</v>
      </c>
      <c r="R40" s="140">
        <f t="shared" si="24"/>
        <v>52</v>
      </c>
      <c r="S40" s="139">
        <f t="shared" si="25"/>
        <v>1586</v>
      </c>
      <c r="U40" s="26">
        <f>+'Service Count Data'!$X$267</f>
        <v>0</v>
      </c>
      <c r="V40" s="470">
        <v>30.5</v>
      </c>
      <c r="W40" s="5">
        <f t="shared" si="26"/>
        <v>0</v>
      </c>
      <c r="X40" s="26">
        <f>+'Service Count Data'!$AD$267</f>
        <v>0</v>
      </c>
      <c r="Y40" s="470">
        <v>30.5</v>
      </c>
      <c r="Z40" s="5">
        <f t="shared" si="27"/>
        <v>0</v>
      </c>
      <c r="AA40" s="140">
        <f t="shared" si="28"/>
        <v>0</v>
      </c>
      <c r="AB40" s="139">
        <f t="shared" si="29"/>
        <v>0</v>
      </c>
      <c r="AC40" s="26">
        <f t="shared" si="10"/>
        <v>52</v>
      </c>
      <c r="AD40" s="26">
        <f t="shared" si="30"/>
        <v>746</v>
      </c>
      <c r="AE40" s="5">
        <f t="shared" si="31"/>
        <v>29977.539999999997</v>
      </c>
      <c r="AH40" s="26">
        <f t="shared" si="32"/>
        <v>52</v>
      </c>
    </row>
    <row r="41" spans="1:34">
      <c r="A41" t="s">
        <v>56</v>
      </c>
      <c r="C41" s="26">
        <f>+'Service Count Data'!$X$268</f>
        <v>0</v>
      </c>
      <c r="D41" s="470">
        <v>52.6</v>
      </c>
      <c r="E41" s="5">
        <f t="shared" si="18"/>
        <v>0</v>
      </c>
      <c r="F41" s="26">
        <f>+'Service Count Data'!$AD$268</f>
        <v>2200</v>
      </c>
      <c r="G41" s="470">
        <v>53.86</v>
      </c>
      <c r="H41" s="5">
        <f t="shared" si="19"/>
        <v>118492</v>
      </c>
      <c r="I41" s="140">
        <f t="shared" si="20"/>
        <v>2200</v>
      </c>
      <c r="J41" s="139">
        <f t="shared" si="21"/>
        <v>118492</v>
      </c>
      <c r="L41" s="26">
        <f>+'Service Count Data'!$X$269</f>
        <v>0</v>
      </c>
      <c r="M41" s="470">
        <v>38.950000000000003</v>
      </c>
      <c r="N41" s="5">
        <f t="shared" si="22"/>
        <v>0</v>
      </c>
      <c r="O41" s="26">
        <f>+'Service Count Data'!$AD$269</f>
        <v>609</v>
      </c>
      <c r="P41" s="470">
        <v>38.950000000000003</v>
      </c>
      <c r="Q41" s="5">
        <f t="shared" si="23"/>
        <v>23720.550000000003</v>
      </c>
      <c r="R41" s="140">
        <f t="shared" si="24"/>
        <v>609</v>
      </c>
      <c r="S41" s="139">
        <f t="shared" si="25"/>
        <v>23720.550000000003</v>
      </c>
      <c r="U41" s="26">
        <f>+'Service Count Data'!$X$270</f>
        <v>0</v>
      </c>
      <c r="V41" s="470">
        <v>38.950000000000003</v>
      </c>
      <c r="W41" s="5">
        <f t="shared" si="26"/>
        <v>0</v>
      </c>
      <c r="X41" s="26">
        <f>+'Service Count Data'!$AD$270</f>
        <v>850</v>
      </c>
      <c r="Y41" s="470">
        <v>38.950000000000003</v>
      </c>
      <c r="Z41" s="5">
        <f t="shared" si="27"/>
        <v>33107.5</v>
      </c>
      <c r="AA41" s="140">
        <f t="shared" si="28"/>
        <v>850</v>
      </c>
      <c r="AB41" s="139">
        <f t="shared" si="29"/>
        <v>33107.5</v>
      </c>
      <c r="AC41" s="26">
        <f t="shared" si="10"/>
        <v>1459</v>
      </c>
      <c r="AD41" s="26">
        <f t="shared" si="30"/>
        <v>3659</v>
      </c>
      <c r="AE41" s="5">
        <f t="shared" si="31"/>
        <v>175320.05</v>
      </c>
      <c r="AH41" s="26">
        <f t="shared" si="32"/>
        <v>1459</v>
      </c>
    </row>
    <row r="42" spans="1:34">
      <c r="A42" t="s">
        <v>57</v>
      </c>
      <c r="C42" s="26">
        <f>+'Service Count Data'!$X$271</f>
        <v>0</v>
      </c>
      <c r="D42" s="470">
        <v>77.25</v>
      </c>
      <c r="E42" s="5">
        <f t="shared" si="18"/>
        <v>0</v>
      </c>
      <c r="F42" s="26">
        <f>+'Service Count Data'!$AD$271</f>
        <v>2192</v>
      </c>
      <c r="G42" s="470">
        <v>79.099999999999994</v>
      </c>
      <c r="H42" s="5">
        <f t="shared" si="19"/>
        <v>173387.19999999998</v>
      </c>
      <c r="I42" s="140">
        <f t="shared" si="20"/>
        <v>2192</v>
      </c>
      <c r="J42" s="139">
        <f t="shared" si="21"/>
        <v>173387.19999999998</v>
      </c>
      <c r="L42" s="26">
        <f>+'Service Count Data'!$X$272</f>
        <v>0</v>
      </c>
      <c r="M42" s="470">
        <v>61.6</v>
      </c>
      <c r="N42" s="5">
        <f t="shared" si="22"/>
        <v>0</v>
      </c>
      <c r="O42" s="26">
        <f>+'Service Count Data'!$AD$272</f>
        <v>182</v>
      </c>
      <c r="P42" s="470">
        <v>61.6</v>
      </c>
      <c r="Q42" s="5">
        <f t="shared" si="23"/>
        <v>11211.2</v>
      </c>
      <c r="R42" s="140">
        <f t="shared" si="24"/>
        <v>182</v>
      </c>
      <c r="S42" s="139">
        <f t="shared" si="25"/>
        <v>11211.2</v>
      </c>
      <c r="U42" s="26">
        <f>+'Service Count Data'!$X$273</f>
        <v>0</v>
      </c>
      <c r="V42" s="470">
        <v>61.6</v>
      </c>
      <c r="W42" s="5">
        <f t="shared" si="26"/>
        <v>0</v>
      </c>
      <c r="X42" s="26">
        <f>+'Service Count Data'!$AD$273</f>
        <v>2523</v>
      </c>
      <c r="Y42" s="470">
        <v>61.6</v>
      </c>
      <c r="Z42" s="5">
        <f t="shared" si="27"/>
        <v>155416.80000000002</v>
      </c>
      <c r="AA42" s="140">
        <f t="shared" si="28"/>
        <v>2523</v>
      </c>
      <c r="AB42" s="139">
        <f t="shared" si="29"/>
        <v>155416.80000000002</v>
      </c>
      <c r="AC42" s="26">
        <f t="shared" si="10"/>
        <v>2705</v>
      </c>
      <c r="AD42" s="26">
        <f t="shared" si="30"/>
        <v>4897</v>
      </c>
      <c r="AE42" s="5">
        <f t="shared" si="31"/>
        <v>340015.2</v>
      </c>
      <c r="AH42" s="26">
        <f t="shared" si="32"/>
        <v>2705</v>
      </c>
    </row>
    <row r="43" spans="1:34">
      <c r="A43" t="s">
        <v>58</v>
      </c>
      <c r="C43" s="26">
        <f>+'Service Count Data'!$X$118</f>
        <v>0</v>
      </c>
      <c r="D43" s="470">
        <v>10.15</v>
      </c>
      <c r="E43" s="5">
        <f t="shared" si="18"/>
        <v>0</v>
      </c>
      <c r="F43" s="26">
        <f>+'Service Count Data'!$AD$118</f>
        <v>73</v>
      </c>
      <c r="G43" s="470">
        <v>10.39</v>
      </c>
      <c r="H43" s="5">
        <f t="shared" si="19"/>
        <v>758.47</v>
      </c>
      <c r="I43" s="140">
        <f t="shared" si="20"/>
        <v>73</v>
      </c>
      <c r="J43" s="139">
        <f t="shared" si="21"/>
        <v>758.47</v>
      </c>
      <c r="L43" s="26">
        <f>+'Service Count Data'!$X$119</f>
        <v>0</v>
      </c>
      <c r="M43" s="470">
        <v>8.25</v>
      </c>
      <c r="N43" s="5">
        <f t="shared" si="22"/>
        <v>0</v>
      </c>
      <c r="O43" s="26">
        <f>+'Service Count Data'!$AD$119</f>
        <v>7</v>
      </c>
      <c r="P43" s="470">
        <v>8.25</v>
      </c>
      <c r="Q43" s="5">
        <f t="shared" si="23"/>
        <v>57.75</v>
      </c>
      <c r="R43" s="140">
        <f t="shared" si="24"/>
        <v>7</v>
      </c>
      <c r="S43" s="139">
        <f t="shared" si="25"/>
        <v>57.75</v>
      </c>
      <c r="U43" s="26">
        <f>+'Service Count Data'!$X$120</f>
        <v>0</v>
      </c>
      <c r="V43" s="470">
        <v>8.25</v>
      </c>
      <c r="W43" s="5">
        <f t="shared" si="26"/>
        <v>0</v>
      </c>
      <c r="X43" s="26">
        <f>+'Service Count Data'!$AD$120</f>
        <v>6</v>
      </c>
      <c r="Y43" s="470">
        <v>8.25</v>
      </c>
      <c r="Z43" s="5">
        <f t="shared" si="27"/>
        <v>49.5</v>
      </c>
      <c r="AA43" s="140">
        <f t="shared" si="28"/>
        <v>6</v>
      </c>
      <c r="AB43" s="139">
        <f t="shared" si="29"/>
        <v>49.5</v>
      </c>
      <c r="AC43" s="26">
        <f t="shared" ref="AC43:AC70" si="33">+R43+AA43</f>
        <v>13</v>
      </c>
      <c r="AD43" s="26">
        <f t="shared" si="30"/>
        <v>86</v>
      </c>
      <c r="AE43" s="5">
        <f t="shared" si="31"/>
        <v>865.72</v>
      </c>
      <c r="AH43" s="26">
        <f t="shared" si="32"/>
        <v>13</v>
      </c>
    </row>
    <row r="44" spans="1:34">
      <c r="A44" t="s">
        <v>59</v>
      </c>
      <c r="C44" s="26">
        <f>+'Service Count Data'!$X$121</f>
        <v>0</v>
      </c>
      <c r="D44" s="470">
        <v>13.3</v>
      </c>
      <c r="E44" s="5">
        <f t="shared" si="18"/>
        <v>0</v>
      </c>
      <c r="F44" s="26">
        <f>+'Service Count Data'!$AD$121</f>
        <v>11</v>
      </c>
      <c r="G44" s="470">
        <v>13.62</v>
      </c>
      <c r="H44" s="5">
        <f t="shared" si="19"/>
        <v>149.82</v>
      </c>
      <c r="I44" s="140">
        <f t="shared" si="20"/>
        <v>11</v>
      </c>
      <c r="J44" s="139">
        <f t="shared" si="21"/>
        <v>149.82</v>
      </c>
      <c r="L44" s="26">
        <f>+'Service Count Data'!$X$122</f>
        <v>0</v>
      </c>
      <c r="M44" s="470">
        <v>10.9</v>
      </c>
      <c r="N44" s="5">
        <f t="shared" si="22"/>
        <v>0</v>
      </c>
      <c r="O44" s="26">
        <f>+'Service Count Data'!$AD$122</f>
        <v>0</v>
      </c>
      <c r="P44" s="470">
        <v>10.9</v>
      </c>
      <c r="Q44" s="5">
        <f t="shared" si="23"/>
        <v>0</v>
      </c>
      <c r="R44" s="140">
        <f t="shared" si="24"/>
        <v>0</v>
      </c>
      <c r="S44" s="139">
        <f t="shared" si="25"/>
        <v>0</v>
      </c>
      <c r="U44" s="26">
        <f>+'Service Count Data'!$X$123</f>
        <v>0</v>
      </c>
      <c r="V44" s="470">
        <v>10.9</v>
      </c>
      <c r="W44" s="5">
        <f t="shared" si="26"/>
        <v>0</v>
      </c>
      <c r="X44" s="26">
        <f>+'Service Count Data'!$AD$123</f>
        <v>0</v>
      </c>
      <c r="Y44" s="470">
        <v>10.9</v>
      </c>
      <c r="Z44" s="5">
        <f t="shared" si="27"/>
        <v>0</v>
      </c>
      <c r="AA44" s="140">
        <f t="shared" si="28"/>
        <v>0</v>
      </c>
      <c r="AB44" s="139">
        <f t="shared" si="29"/>
        <v>0</v>
      </c>
      <c r="AC44" s="26">
        <f t="shared" si="33"/>
        <v>0</v>
      </c>
      <c r="AD44" s="26">
        <f t="shared" si="30"/>
        <v>11</v>
      </c>
      <c r="AE44" s="5">
        <f t="shared" si="31"/>
        <v>149.82</v>
      </c>
      <c r="AH44" s="26">
        <f t="shared" si="32"/>
        <v>0</v>
      </c>
    </row>
    <row r="45" spans="1:34">
      <c r="A45" t="s">
        <v>60</v>
      </c>
      <c r="C45" s="26">
        <f>+'Service Count Data'!$X$124</f>
        <v>0</v>
      </c>
      <c r="D45" s="470">
        <v>17.600000000000001</v>
      </c>
      <c r="E45" s="5">
        <f t="shared" si="18"/>
        <v>0</v>
      </c>
      <c r="F45" s="26">
        <f>+'Service Count Data'!$AD$124</f>
        <v>46</v>
      </c>
      <c r="G45" s="470">
        <v>18.02</v>
      </c>
      <c r="H45" s="5">
        <f t="shared" si="19"/>
        <v>828.92</v>
      </c>
      <c r="I45" s="140">
        <f t="shared" si="20"/>
        <v>46</v>
      </c>
      <c r="J45" s="139">
        <f t="shared" si="21"/>
        <v>828.92</v>
      </c>
      <c r="L45" s="26">
        <f>+'Service Count Data'!$X$125</f>
        <v>0</v>
      </c>
      <c r="M45" s="470">
        <v>14.5</v>
      </c>
      <c r="N45" s="5">
        <f t="shared" si="22"/>
        <v>0</v>
      </c>
      <c r="O45" s="26">
        <f>+'Service Count Data'!$AD$125</f>
        <v>4</v>
      </c>
      <c r="P45" s="470">
        <v>14.5</v>
      </c>
      <c r="Q45" s="5">
        <f t="shared" si="23"/>
        <v>58</v>
      </c>
      <c r="R45" s="140">
        <f t="shared" si="24"/>
        <v>4</v>
      </c>
      <c r="S45" s="139">
        <f t="shared" si="25"/>
        <v>58</v>
      </c>
      <c r="U45" s="26">
        <f>+'Service Count Data'!$X$126</f>
        <v>0</v>
      </c>
      <c r="V45" s="470">
        <v>14.5</v>
      </c>
      <c r="W45" s="5">
        <f t="shared" si="26"/>
        <v>0</v>
      </c>
      <c r="X45" s="26">
        <f>+'Service Count Data'!$AD$126</f>
        <v>6</v>
      </c>
      <c r="Y45" s="470">
        <v>14.5</v>
      </c>
      <c r="Z45" s="5">
        <f t="shared" si="27"/>
        <v>87</v>
      </c>
      <c r="AA45" s="140">
        <f t="shared" si="28"/>
        <v>6</v>
      </c>
      <c r="AB45" s="139">
        <f t="shared" si="29"/>
        <v>87</v>
      </c>
      <c r="AC45" s="26">
        <f t="shared" si="33"/>
        <v>10</v>
      </c>
      <c r="AD45" s="26">
        <f t="shared" si="30"/>
        <v>56</v>
      </c>
      <c r="AE45" s="5">
        <f t="shared" si="31"/>
        <v>973.92</v>
      </c>
      <c r="AH45" s="26">
        <f t="shared" si="32"/>
        <v>10</v>
      </c>
    </row>
    <row r="46" spans="1:34">
      <c r="A46" t="s">
        <v>61</v>
      </c>
      <c r="C46" s="26">
        <f>+'Service Count Data'!$X$127</f>
        <v>0</v>
      </c>
      <c r="D46" s="470">
        <v>19.45</v>
      </c>
      <c r="E46" s="5">
        <f t="shared" si="18"/>
        <v>0</v>
      </c>
      <c r="F46" s="26">
        <f>+'Service Count Data'!$AD$127</f>
        <v>1</v>
      </c>
      <c r="G46" s="470">
        <v>19.920000000000002</v>
      </c>
      <c r="H46" s="5">
        <f t="shared" si="19"/>
        <v>19.920000000000002</v>
      </c>
      <c r="I46" s="140">
        <f t="shared" si="20"/>
        <v>1</v>
      </c>
      <c r="J46" s="139">
        <f t="shared" si="21"/>
        <v>19.920000000000002</v>
      </c>
      <c r="L46" s="26">
        <f>+'Service Count Data'!$X$128</f>
        <v>0</v>
      </c>
      <c r="M46" s="470">
        <v>15.2</v>
      </c>
      <c r="N46" s="5">
        <f t="shared" si="22"/>
        <v>0</v>
      </c>
      <c r="O46" s="26">
        <f>+'Service Count Data'!$AD$128</f>
        <v>0</v>
      </c>
      <c r="P46" s="470">
        <v>15.2</v>
      </c>
      <c r="Q46" s="5">
        <f t="shared" si="23"/>
        <v>0</v>
      </c>
      <c r="R46" s="140">
        <f t="shared" si="24"/>
        <v>0</v>
      </c>
      <c r="S46" s="139">
        <f t="shared" si="25"/>
        <v>0</v>
      </c>
      <c r="U46" s="26">
        <f>+'Service Count Data'!$X$129</f>
        <v>0</v>
      </c>
      <c r="V46" s="470">
        <v>15.2</v>
      </c>
      <c r="W46" s="5">
        <f t="shared" si="26"/>
        <v>0</v>
      </c>
      <c r="X46" s="26">
        <f>+'Service Count Data'!$AD$129</f>
        <v>0</v>
      </c>
      <c r="Y46" s="470">
        <v>15.2</v>
      </c>
      <c r="Z46" s="5">
        <f t="shared" si="27"/>
        <v>0</v>
      </c>
      <c r="AA46" s="140">
        <f t="shared" si="28"/>
        <v>0</v>
      </c>
      <c r="AB46" s="139">
        <f t="shared" si="29"/>
        <v>0</v>
      </c>
      <c r="AC46" s="26">
        <f t="shared" si="33"/>
        <v>0</v>
      </c>
      <c r="AD46" s="26">
        <f t="shared" si="30"/>
        <v>1</v>
      </c>
      <c r="AE46" s="5">
        <f t="shared" si="31"/>
        <v>19.920000000000002</v>
      </c>
      <c r="AH46" s="26">
        <f t="shared" si="32"/>
        <v>0</v>
      </c>
    </row>
    <row r="47" spans="1:34">
      <c r="A47" t="s">
        <v>62</v>
      </c>
      <c r="C47" s="26">
        <f>+'Service Count Data'!$X$130</f>
        <v>0</v>
      </c>
      <c r="D47" s="470">
        <v>19.45</v>
      </c>
      <c r="E47" s="5">
        <f t="shared" si="18"/>
        <v>0</v>
      </c>
      <c r="F47" s="26">
        <f>+'Service Count Data'!$AD$130</f>
        <v>17</v>
      </c>
      <c r="G47" s="470">
        <v>19.920000000000002</v>
      </c>
      <c r="H47" s="5">
        <f t="shared" si="19"/>
        <v>338.64000000000004</v>
      </c>
      <c r="I47" s="140">
        <f t="shared" si="20"/>
        <v>17</v>
      </c>
      <c r="J47" s="139">
        <f t="shared" si="21"/>
        <v>338.64000000000004</v>
      </c>
      <c r="L47" s="26">
        <f>+'Service Count Data'!$X$131</f>
        <v>0</v>
      </c>
      <c r="M47" s="470">
        <v>15.8</v>
      </c>
      <c r="N47" s="5">
        <f t="shared" si="22"/>
        <v>0</v>
      </c>
      <c r="O47" s="26">
        <f>+'Service Count Data'!$AD$131</f>
        <v>0</v>
      </c>
      <c r="P47" s="470">
        <v>15.8</v>
      </c>
      <c r="Q47" s="5">
        <f t="shared" si="23"/>
        <v>0</v>
      </c>
      <c r="R47" s="140">
        <f t="shared" si="24"/>
        <v>0</v>
      </c>
      <c r="S47" s="139">
        <f t="shared" si="25"/>
        <v>0</v>
      </c>
      <c r="U47" s="26">
        <f>+'Service Count Data'!$X$132</f>
        <v>0</v>
      </c>
      <c r="V47" s="470">
        <v>15.8</v>
      </c>
      <c r="W47" s="5">
        <f t="shared" si="26"/>
        <v>0</v>
      </c>
      <c r="X47" s="26">
        <f>+'Service Count Data'!$AD$132</f>
        <v>0</v>
      </c>
      <c r="Y47" s="470">
        <v>15.8</v>
      </c>
      <c r="Z47" s="5">
        <f t="shared" si="27"/>
        <v>0</v>
      </c>
      <c r="AA47" s="140">
        <f t="shared" si="28"/>
        <v>0</v>
      </c>
      <c r="AB47" s="139">
        <f t="shared" si="29"/>
        <v>0</v>
      </c>
      <c r="AC47" s="26">
        <f t="shared" si="33"/>
        <v>0</v>
      </c>
      <c r="AD47" s="26">
        <f t="shared" si="30"/>
        <v>17</v>
      </c>
      <c r="AE47" s="5">
        <f t="shared" si="31"/>
        <v>338.64000000000004</v>
      </c>
      <c r="AH47" s="26">
        <f t="shared" si="32"/>
        <v>0</v>
      </c>
    </row>
    <row r="48" spans="1:34">
      <c r="A48" t="s">
        <v>63</v>
      </c>
      <c r="C48" s="26">
        <f>+'Service Count Data'!$X$133</f>
        <v>0</v>
      </c>
      <c r="D48" s="470">
        <v>22.4</v>
      </c>
      <c r="E48" s="5">
        <f t="shared" si="18"/>
        <v>0</v>
      </c>
      <c r="F48" s="26">
        <f>+'Service Count Data'!$AD$133</f>
        <v>6</v>
      </c>
      <c r="G48" s="470">
        <v>22.94</v>
      </c>
      <c r="H48" s="5">
        <f t="shared" si="19"/>
        <v>137.64000000000001</v>
      </c>
      <c r="I48" s="140">
        <f t="shared" si="20"/>
        <v>6</v>
      </c>
      <c r="J48" s="139">
        <f t="shared" si="21"/>
        <v>137.64000000000001</v>
      </c>
      <c r="L48" s="26">
        <f>+'Service Count Data'!$X$134</f>
        <v>0</v>
      </c>
      <c r="M48" s="470">
        <v>18.350000000000001</v>
      </c>
      <c r="N48" s="5">
        <f t="shared" si="22"/>
        <v>0</v>
      </c>
      <c r="O48" s="26">
        <f>+'Service Count Data'!$AD$134</f>
        <v>1</v>
      </c>
      <c r="P48" s="470">
        <v>18.350000000000001</v>
      </c>
      <c r="Q48" s="5">
        <f t="shared" si="23"/>
        <v>18.350000000000001</v>
      </c>
      <c r="R48" s="140">
        <f t="shared" si="24"/>
        <v>1</v>
      </c>
      <c r="S48" s="139">
        <f t="shared" si="25"/>
        <v>18.350000000000001</v>
      </c>
      <c r="U48" s="26">
        <f>+'Service Count Data'!$X$135</f>
        <v>0</v>
      </c>
      <c r="V48" s="470">
        <v>18.350000000000001</v>
      </c>
      <c r="W48" s="5">
        <f t="shared" si="26"/>
        <v>0</v>
      </c>
      <c r="X48" s="26">
        <f>+'Service Count Data'!$AD$135</f>
        <v>3</v>
      </c>
      <c r="Y48" s="470">
        <v>18.350000000000001</v>
      </c>
      <c r="Z48" s="5">
        <f t="shared" si="27"/>
        <v>55.050000000000004</v>
      </c>
      <c r="AA48" s="140">
        <f t="shared" si="28"/>
        <v>3</v>
      </c>
      <c r="AB48" s="139">
        <f t="shared" si="29"/>
        <v>55.050000000000004</v>
      </c>
      <c r="AC48" s="26">
        <f t="shared" si="33"/>
        <v>4</v>
      </c>
      <c r="AD48" s="26">
        <f t="shared" si="30"/>
        <v>10</v>
      </c>
      <c r="AE48" s="5">
        <f t="shared" si="31"/>
        <v>211.04000000000002</v>
      </c>
      <c r="AH48" s="26">
        <f t="shared" si="32"/>
        <v>4</v>
      </c>
    </row>
    <row r="49" spans="1:34">
      <c r="A49" t="s">
        <v>64</v>
      </c>
      <c r="C49" s="26">
        <f>+'Service Count Data'!$X$229</f>
        <v>0</v>
      </c>
      <c r="D49" s="470">
        <v>2.85</v>
      </c>
      <c r="E49" s="5">
        <f t="shared" si="18"/>
        <v>0</v>
      </c>
      <c r="F49" s="26">
        <f>+'Service Count Data'!$AD$229</f>
        <v>110</v>
      </c>
      <c r="G49" s="470">
        <v>2.92</v>
      </c>
      <c r="H49" s="5">
        <f t="shared" si="19"/>
        <v>321.2</v>
      </c>
      <c r="I49" s="140">
        <f t="shared" si="20"/>
        <v>110</v>
      </c>
      <c r="J49" s="139">
        <f t="shared" si="21"/>
        <v>321.2</v>
      </c>
      <c r="L49" s="26">
        <f>+'Service Count Data'!$X$230</f>
        <v>0</v>
      </c>
      <c r="M49" s="470">
        <v>2.2999999999999998</v>
      </c>
      <c r="N49" s="5">
        <f t="shared" si="22"/>
        <v>0</v>
      </c>
      <c r="O49" s="26">
        <f>+'Service Count Data'!$AD$230</f>
        <v>0</v>
      </c>
      <c r="P49" s="470">
        <v>2.2999999999999998</v>
      </c>
      <c r="Q49" s="5">
        <f t="shared" si="23"/>
        <v>0</v>
      </c>
      <c r="R49" s="140">
        <f t="shared" si="24"/>
        <v>0</v>
      </c>
      <c r="S49" s="139">
        <f t="shared" si="25"/>
        <v>0</v>
      </c>
      <c r="U49" s="26">
        <f>+'Service Count Data'!$X$231</f>
        <v>0</v>
      </c>
      <c r="V49" s="470">
        <v>2.2999999999999998</v>
      </c>
      <c r="W49" s="5">
        <f t="shared" si="26"/>
        <v>0</v>
      </c>
      <c r="X49" s="26">
        <f>+'Service Count Data'!$AD$231</f>
        <v>0</v>
      </c>
      <c r="Y49" s="470">
        <v>2.2999999999999998</v>
      </c>
      <c r="Z49" s="5">
        <f t="shared" si="27"/>
        <v>0</v>
      </c>
      <c r="AA49" s="140">
        <f t="shared" si="28"/>
        <v>0</v>
      </c>
      <c r="AB49" s="139">
        <f t="shared" si="29"/>
        <v>0</v>
      </c>
      <c r="AC49" s="26">
        <f t="shared" si="33"/>
        <v>0</v>
      </c>
      <c r="AD49" s="26">
        <f t="shared" si="30"/>
        <v>110</v>
      </c>
      <c r="AE49" s="5">
        <f t="shared" si="31"/>
        <v>321.2</v>
      </c>
      <c r="AH49" s="26">
        <f t="shared" si="32"/>
        <v>0</v>
      </c>
    </row>
    <row r="50" spans="1:34">
      <c r="A50" t="s">
        <v>65</v>
      </c>
      <c r="C50" s="26">
        <f>+'Service Count Data'!$X$166</f>
        <v>0</v>
      </c>
      <c r="D50" s="470">
        <v>1.65</v>
      </c>
      <c r="E50" s="5">
        <f t="shared" si="18"/>
        <v>0</v>
      </c>
      <c r="F50" s="26">
        <f>+'Service Count Data'!$AD$166</f>
        <v>5145</v>
      </c>
      <c r="G50" s="470">
        <v>1.69</v>
      </c>
      <c r="H50" s="5">
        <f t="shared" si="19"/>
        <v>8695.0499999999993</v>
      </c>
      <c r="I50" s="140">
        <f t="shared" si="20"/>
        <v>5145</v>
      </c>
      <c r="J50" s="139">
        <f t="shared" si="21"/>
        <v>8695.0499999999993</v>
      </c>
      <c r="L50" s="26">
        <f>+'Service Count Data'!$X$167</f>
        <v>0</v>
      </c>
      <c r="M50" s="470">
        <v>1.3</v>
      </c>
      <c r="N50" s="5">
        <f t="shared" si="22"/>
        <v>0</v>
      </c>
      <c r="O50" s="26">
        <f>+'Service Count Data'!$AD$167</f>
        <v>377</v>
      </c>
      <c r="P50" s="470">
        <v>1.3</v>
      </c>
      <c r="Q50" s="5">
        <f t="shared" si="23"/>
        <v>490.1</v>
      </c>
      <c r="R50" s="140">
        <f t="shared" si="24"/>
        <v>377</v>
      </c>
      <c r="S50" s="139">
        <f t="shared" si="25"/>
        <v>490.1</v>
      </c>
      <c r="U50" s="26">
        <f>+'Service Count Data'!$X$168</f>
        <v>0</v>
      </c>
      <c r="V50" s="470">
        <v>1.3</v>
      </c>
      <c r="W50" s="5">
        <f t="shared" si="26"/>
        <v>0</v>
      </c>
      <c r="X50" s="26">
        <f>+'Service Count Data'!$AD$168</f>
        <v>382</v>
      </c>
      <c r="Y50" s="470">
        <v>1.3</v>
      </c>
      <c r="Z50" s="5">
        <f t="shared" si="27"/>
        <v>496.6</v>
      </c>
      <c r="AA50" s="140">
        <f t="shared" si="28"/>
        <v>382</v>
      </c>
      <c r="AB50" s="139">
        <f t="shared" si="29"/>
        <v>496.6</v>
      </c>
      <c r="AC50" s="26">
        <f t="shared" si="33"/>
        <v>759</v>
      </c>
      <c r="AD50" s="26">
        <f t="shared" si="30"/>
        <v>5904</v>
      </c>
      <c r="AE50" s="5">
        <f t="shared" si="31"/>
        <v>9681.75</v>
      </c>
      <c r="AF50" s="5">
        <f>SUM(AE35:AE50)</f>
        <v>1134963.0899999999</v>
      </c>
      <c r="AH50" s="26">
        <f t="shared" si="32"/>
        <v>759</v>
      </c>
    </row>
    <row r="51" spans="1:34">
      <c r="C51" s="26"/>
      <c r="D51" s="120"/>
      <c r="F51" s="26"/>
      <c r="G51" s="120"/>
      <c r="I51" s="140"/>
      <c r="J51" s="134"/>
      <c r="L51" s="26"/>
      <c r="M51" s="120"/>
      <c r="O51" s="26"/>
      <c r="P51" s="120"/>
      <c r="R51" s="140"/>
      <c r="S51" s="134"/>
      <c r="U51" s="26"/>
      <c r="V51" s="120"/>
      <c r="X51" s="26"/>
      <c r="Y51" s="120"/>
      <c r="AA51" s="140"/>
      <c r="AB51" s="134"/>
      <c r="AC51" s="26">
        <f t="shared" si="33"/>
        <v>0</v>
      </c>
    </row>
    <row r="52" spans="1:34">
      <c r="A52" t="s">
        <v>66</v>
      </c>
      <c r="C52" s="26"/>
      <c r="D52" s="120"/>
      <c r="F52" s="26"/>
      <c r="G52" s="120"/>
      <c r="I52" s="140"/>
      <c r="J52" s="134"/>
      <c r="L52" s="26"/>
      <c r="M52" s="120"/>
      <c r="O52" s="26"/>
      <c r="P52" s="120"/>
      <c r="R52" s="140"/>
      <c r="S52" s="134"/>
      <c r="U52" s="26"/>
      <c r="V52" s="120"/>
      <c r="X52" s="26"/>
      <c r="Y52" s="120"/>
      <c r="AA52" s="140"/>
      <c r="AB52" s="134"/>
      <c r="AC52" s="26">
        <f t="shared" si="33"/>
        <v>0</v>
      </c>
    </row>
    <row r="53" spans="1:34">
      <c r="A53" t="s">
        <v>67</v>
      </c>
      <c r="C53" s="26">
        <f>+'Service Count Data'!$X$208</f>
        <v>0</v>
      </c>
      <c r="D53" s="470">
        <v>114.5</v>
      </c>
      <c r="E53" s="5">
        <f t="shared" ref="E53:E65" si="34">+C53*D53</f>
        <v>0</v>
      </c>
      <c r="F53" s="26">
        <f>+'Service Count Data'!$AD$208</f>
        <v>56</v>
      </c>
      <c r="G53" s="470">
        <v>117.24</v>
      </c>
      <c r="H53" s="5">
        <f t="shared" ref="H53:H65" si="35">+F53*G53</f>
        <v>6565.44</v>
      </c>
      <c r="I53" s="140">
        <f t="shared" ref="I53:I65" si="36">+C53+F53</f>
        <v>56</v>
      </c>
      <c r="J53" s="139">
        <f t="shared" ref="J53:J65" si="37">+E53+H53</f>
        <v>6565.44</v>
      </c>
      <c r="L53" s="26">
        <f>+'Service Count Data'!$X$209</f>
        <v>0</v>
      </c>
      <c r="M53" s="470">
        <v>95.05</v>
      </c>
      <c r="N53" s="5">
        <f t="shared" ref="N53:N65" si="38">+L53*M53</f>
        <v>0</v>
      </c>
      <c r="O53" s="26">
        <f>+'Service Count Data'!$AD$209</f>
        <v>0</v>
      </c>
      <c r="P53" s="470">
        <v>95.05</v>
      </c>
      <c r="Q53" s="5">
        <f t="shared" ref="Q53:Q65" si="39">+O53*P53</f>
        <v>0</v>
      </c>
      <c r="R53" s="140">
        <f t="shared" ref="R53:R65" si="40">+L53+O53</f>
        <v>0</v>
      </c>
      <c r="S53" s="139">
        <f t="shared" ref="S53:S65" si="41">+N53+Q53</f>
        <v>0</v>
      </c>
      <c r="U53" s="26">
        <f>+'Service Count Data'!$X$210</f>
        <v>0</v>
      </c>
      <c r="V53" s="470">
        <v>95.05</v>
      </c>
      <c r="W53" s="5">
        <f t="shared" ref="W53:W65" si="42">+U53*V53</f>
        <v>0</v>
      </c>
      <c r="X53" s="26">
        <f>+'Service Count Data'!$AD$210</f>
        <v>0</v>
      </c>
      <c r="Y53" s="470">
        <v>95.05</v>
      </c>
      <c r="Z53" s="5">
        <f t="shared" ref="Z53:Z65" si="43">+X53*Y53</f>
        <v>0</v>
      </c>
      <c r="AA53" s="140">
        <f t="shared" ref="AA53:AA65" si="44">+U53+X53</f>
        <v>0</v>
      </c>
      <c r="AB53" s="139">
        <f t="shared" ref="AB53:AB65" si="45">+W53+Z53</f>
        <v>0</v>
      </c>
      <c r="AC53" s="26">
        <f t="shared" si="33"/>
        <v>0</v>
      </c>
      <c r="AD53" s="26">
        <f t="shared" ref="AD53:AD65" si="46">+I53+R53+AA53</f>
        <v>56</v>
      </c>
      <c r="AE53" s="5">
        <f t="shared" ref="AE53:AE65" si="47">+J53+S53+AB53</f>
        <v>6565.44</v>
      </c>
      <c r="AH53" s="26">
        <f t="shared" ref="AH53:AH65" si="48">+R53+AA53</f>
        <v>0</v>
      </c>
    </row>
    <row r="54" spans="1:34">
      <c r="A54" t="s">
        <v>68</v>
      </c>
      <c r="C54" s="26">
        <f>+'Service Count Data'!$X$214</f>
        <v>0</v>
      </c>
      <c r="D54" s="470">
        <v>139.5</v>
      </c>
      <c r="E54" s="5">
        <f t="shared" si="34"/>
        <v>0</v>
      </c>
      <c r="F54" s="26">
        <f>+'Service Count Data'!$AD$214</f>
        <v>111</v>
      </c>
      <c r="G54" s="470">
        <v>142.84</v>
      </c>
      <c r="H54" s="5">
        <f t="shared" si="35"/>
        <v>15855.24</v>
      </c>
      <c r="I54" s="140">
        <f t="shared" si="36"/>
        <v>111</v>
      </c>
      <c r="J54" s="139">
        <f t="shared" si="37"/>
        <v>15855.24</v>
      </c>
      <c r="L54" s="26">
        <f>+'Service Count Data'!$X$215</f>
        <v>0</v>
      </c>
      <c r="M54" s="470">
        <v>114.95</v>
      </c>
      <c r="N54" s="5">
        <f t="shared" si="38"/>
        <v>0</v>
      </c>
      <c r="O54" s="26">
        <f>+'Service Count Data'!$AD$215</f>
        <v>16</v>
      </c>
      <c r="P54" s="470">
        <v>114.95</v>
      </c>
      <c r="Q54" s="5">
        <f t="shared" si="39"/>
        <v>1839.2</v>
      </c>
      <c r="R54" s="140">
        <f t="shared" si="40"/>
        <v>16</v>
      </c>
      <c r="S54" s="139">
        <f t="shared" si="41"/>
        <v>1839.2</v>
      </c>
      <c r="U54" s="26">
        <f>+'Service Count Data'!$X$216</f>
        <v>0</v>
      </c>
      <c r="V54" s="470">
        <v>114.95</v>
      </c>
      <c r="W54" s="5">
        <f t="shared" si="42"/>
        <v>0</v>
      </c>
      <c r="X54" s="26">
        <f>+'Service Count Data'!$AD$216</f>
        <v>16</v>
      </c>
      <c r="Y54" s="470">
        <v>114.95</v>
      </c>
      <c r="Z54" s="5">
        <f t="shared" si="43"/>
        <v>1839.2</v>
      </c>
      <c r="AA54" s="140">
        <f t="shared" si="44"/>
        <v>16</v>
      </c>
      <c r="AB54" s="139">
        <f t="shared" si="45"/>
        <v>1839.2</v>
      </c>
      <c r="AC54" s="26">
        <f t="shared" si="33"/>
        <v>32</v>
      </c>
      <c r="AD54" s="26">
        <f t="shared" si="46"/>
        <v>143</v>
      </c>
      <c r="AE54" s="5">
        <f t="shared" si="47"/>
        <v>19533.64</v>
      </c>
      <c r="AH54" s="26">
        <f t="shared" si="48"/>
        <v>32</v>
      </c>
    </row>
    <row r="55" spans="1:34">
      <c r="A55" t="s">
        <v>69</v>
      </c>
      <c r="C55" s="26">
        <f>+'Service Count Data'!$X$220</f>
        <v>0</v>
      </c>
      <c r="D55" s="470">
        <v>150.5</v>
      </c>
      <c r="E55" s="5">
        <f t="shared" si="34"/>
        <v>0</v>
      </c>
      <c r="F55" s="26">
        <f>+'Service Count Data'!$AD$220</f>
        <v>288</v>
      </c>
      <c r="G55" s="470">
        <v>154.11000000000001</v>
      </c>
      <c r="H55" s="5">
        <f t="shared" si="35"/>
        <v>44383.680000000008</v>
      </c>
      <c r="I55" s="140">
        <f t="shared" si="36"/>
        <v>288</v>
      </c>
      <c r="J55" s="139">
        <f t="shared" si="37"/>
        <v>44383.680000000008</v>
      </c>
      <c r="L55" s="26">
        <f>+'Service Count Data'!$X$221</f>
        <v>0</v>
      </c>
      <c r="M55" s="470">
        <v>124.95</v>
      </c>
      <c r="N55" s="5">
        <f t="shared" si="38"/>
        <v>0</v>
      </c>
      <c r="O55" s="26">
        <f>+'Service Count Data'!$AD$221</f>
        <v>100</v>
      </c>
      <c r="P55" s="470">
        <v>124.95</v>
      </c>
      <c r="Q55" s="5">
        <f t="shared" si="39"/>
        <v>12495</v>
      </c>
      <c r="R55" s="140">
        <f t="shared" si="40"/>
        <v>100</v>
      </c>
      <c r="S55" s="139">
        <f t="shared" si="41"/>
        <v>12495</v>
      </c>
      <c r="U55" s="26">
        <f>+'Service Count Data'!$X$222</f>
        <v>0</v>
      </c>
      <c r="V55" s="470">
        <v>124.95</v>
      </c>
      <c r="W55" s="5">
        <f t="shared" si="42"/>
        <v>0</v>
      </c>
      <c r="X55" s="26">
        <f>+'Service Count Data'!$AD$222</f>
        <v>577</v>
      </c>
      <c r="Y55" s="470">
        <v>124.95</v>
      </c>
      <c r="Z55" s="5">
        <f t="shared" si="43"/>
        <v>72096.150000000009</v>
      </c>
      <c r="AA55" s="140">
        <f t="shared" si="44"/>
        <v>577</v>
      </c>
      <c r="AB55" s="139">
        <f t="shared" si="45"/>
        <v>72096.150000000009</v>
      </c>
      <c r="AC55" s="26">
        <f t="shared" si="33"/>
        <v>677</v>
      </c>
      <c r="AD55" s="26">
        <f t="shared" si="46"/>
        <v>965</v>
      </c>
      <c r="AE55" s="5">
        <f t="shared" si="47"/>
        <v>128974.83000000002</v>
      </c>
      <c r="AH55" s="26">
        <f t="shared" si="48"/>
        <v>677</v>
      </c>
    </row>
    <row r="56" spans="1:34">
      <c r="A56" t="s">
        <v>70</v>
      </c>
      <c r="C56" s="26">
        <f>+'Service Count Data'!$X$211</f>
        <v>0</v>
      </c>
      <c r="D56" s="470">
        <v>3.35</v>
      </c>
      <c r="E56" s="5">
        <f t="shared" si="34"/>
        <v>0</v>
      </c>
      <c r="F56" s="26">
        <f>+'Service Count Data'!$AD$211</f>
        <v>1311</v>
      </c>
      <c r="G56" s="470">
        <v>3.43</v>
      </c>
      <c r="H56" s="5">
        <f t="shared" si="35"/>
        <v>4496.7300000000005</v>
      </c>
      <c r="I56" s="140">
        <f t="shared" si="36"/>
        <v>1311</v>
      </c>
      <c r="J56" s="139">
        <f t="shared" si="37"/>
        <v>4496.7300000000005</v>
      </c>
      <c r="L56" s="26">
        <f>+'Service Count Data'!$X$212</f>
        <v>0</v>
      </c>
      <c r="M56" s="470">
        <v>3.05</v>
      </c>
      <c r="N56" s="5">
        <f t="shared" si="38"/>
        <v>0</v>
      </c>
      <c r="O56" s="26">
        <f>+'Service Count Data'!$AD$212</f>
        <v>0</v>
      </c>
      <c r="P56" s="470">
        <v>3.05</v>
      </c>
      <c r="Q56" s="5">
        <f t="shared" si="39"/>
        <v>0</v>
      </c>
      <c r="R56" s="140">
        <f t="shared" si="40"/>
        <v>0</v>
      </c>
      <c r="S56" s="139">
        <f t="shared" si="41"/>
        <v>0</v>
      </c>
      <c r="U56" s="26">
        <f>+'Service Count Data'!$X$213</f>
        <v>0</v>
      </c>
      <c r="V56" s="470">
        <v>3.05</v>
      </c>
      <c r="W56" s="5">
        <f t="shared" si="42"/>
        <v>0</v>
      </c>
      <c r="X56" s="26">
        <f>+'Service Count Data'!$AD$213</f>
        <v>0</v>
      </c>
      <c r="Y56" s="470">
        <v>3.05</v>
      </c>
      <c r="Z56" s="5">
        <f t="shared" si="43"/>
        <v>0</v>
      </c>
      <c r="AA56" s="140">
        <f t="shared" si="44"/>
        <v>0</v>
      </c>
      <c r="AB56" s="139">
        <f t="shared" si="45"/>
        <v>0</v>
      </c>
      <c r="AC56" s="26">
        <f t="shared" si="33"/>
        <v>0</v>
      </c>
      <c r="AD56" s="26">
        <f t="shared" si="46"/>
        <v>1311</v>
      </c>
      <c r="AE56" s="5">
        <f t="shared" si="47"/>
        <v>4496.7300000000005</v>
      </c>
      <c r="AH56" s="26">
        <f t="shared" si="48"/>
        <v>0</v>
      </c>
    </row>
    <row r="57" spans="1:34">
      <c r="A57" t="s">
        <v>71</v>
      </c>
      <c r="C57" s="26">
        <f>+'Service Count Data'!$X$217</f>
        <v>0</v>
      </c>
      <c r="D57" s="470">
        <v>3.85</v>
      </c>
      <c r="E57" s="5">
        <f t="shared" si="34"/>
        <v>0</v>
      </c>
      <c r="F57" s="26">
        <f>+'Service Count Data'!$AD$217</f>
        <v>3697</v>
      </c>
      <c r="G57" s="470">
        <v>3.94</v>
      </c>
      <c r="H57" s="5">
        <f t="shared" si="35"/>
        <v>14566.18</v>
      </c>
      <c r="I57" s="140">
        <f t="shared" si="36"/>
        <v>3697</v>
      </c>
      <c r="J57" s="139">
        <f t="shared" si="37"/>
        <v>14566.18</v>
      </c>
      <c r="L57" s="26">
        <f>+'Service Count Data'!$X$218</f>
        <v>0</v>
      </c>
      <c r="M57" s="470">
        <v>3.55</v>
      </c>
      <c r="N57" s="5">
        <f t="shared" si="38"/>
        <v>0</v>
      </c>
      <c r="O57" s="26">
        <f>+'Service Count Data'!$AD$218</f>
        <v>835</v>
      </c>
      <c r="P57" s="470">
        <v>3.55</v>
      </c>
      <c r="Q57" s="5">
        <f t="shared" si="39"/>
        <v>2964.25</v>
      </c>
      <c r="R57" s="140">
        <f t="shared" si="40"/>
        <v>835</v>
      </c>
      <c r="S57" s="139">
        <f t="shared" si="41"/>
        <v>2964.25</v>
      </c>
      <c r="U57" s="26">
        <f>+'Service Count Data'!$X$219</f>
        <v>0</v>
      </c>
      <c r="V57" s="470">
        <v>3.55</v>
      </c>
      <c r="W57" s="5">
        <f t="shared" si="42"/>
        <v>0</v>
      </c>
      <c r="X57" s="26">
        <f>+'Service Count Data'!$AD$219</f>
        <v>757</v>
      </c>
      <c r="Y57" s="470">
        <v>3.55</v>
      </c>
      <c r="Z57" s="5">
        <f t="shared" si="43"/>
        <v>2687.35</v>
      </c>
      <c r="AA57" s="140">
        <f t="shared" si="44"/>
        <v>757</v>
      </c>
      <c r="AB57" s="139">
        <f t="shared" si="45"/>
        <v>2687.35</v>
      </c>
      <c r="AC57" s="26">
        <f t="shared" si="33"/>
        <v>1592</v>
      </c>
      <c r="AD57" s="26">
        <f t="shared" si="46"/>
        <v>5289</v>
      </c>
      <c r="AE57" s="5">
        <f t="shared" si="47"/>
        <v>20217.78</v>
      </c>
      <c r="AH57" s="26">
        <f t="shared" si="48"/>
        <v>1592</v>
      </c>
    </row>
    <row r="58" spans="1:34">
      <c r="A58" t="s">
        <v>72</v>
      </c>
      <c r="C58" s="26">
        <f>+'Service Count Data'!$X$223</f>
        <v>0</v>
      </c>
      <c r="D58" s="470">
        <v>4.5999999999999996</v>
      </c>
      <c r="E58" s="5">
        <f t="shared" si="34"/>
        <v>0</v>
      </c>
      <c r="F58" s="26">
        <f>+'Service Count Data'!$AD$223</f>
        <v>3642</v>
      </c>
      <c r="G58" s="470">
        <v>4.71</v>
      </c>
      <c r="H58" s="5">
        <f t="shared" si="35"/>
        <v>17153.82</v>
      </c>
      <c r="I58" s="140">
        <f t="shared" si="36"/>
        <v>3642</v>
      </c>
      <c r="J58" s="139">
        <f t="shared" si="37"/>
        <v>17153.82</v>
      </c>
      <c r="L58" s="26">
        <f>+'Service Count Data'!$X$224</f>
        <v>0</v>
      </c>
      <c r="M58" s="470">
        <v>4.2</v>
      </c>
      <c r="N58" s="5">
        <f t="shared" si="38"/>
        <v>0</v>
      </c>
      <c r="O58" s="26">
        <f>+'Service Count Data'!$AD$224</f>
        <v>1131</v>
      </c>
      <c r="P58" s="470">
        <v>4.2</v>
      </c>
      <c r="Q58" s="5">
        <f t="shared" si="39"/>
        <v>4750.2</v>
      </c>
      <c r="R58" s="140">
        <f t="shared" si="40"/>
        <v>1131</v>
      </c>
      <c r="S58" s="139">
        <f t="shared" si="41"/>
        <v>4750.2</v>
      </c>
      <c r="U58" s="26">
        <f>+'Service Count Data'!$X$225</f>
        <v>0</v>
      </c>
      <c r="V58" s="470">
        <v>4.2</v>
      </c>
      <c r="W58" s="5">
        <f t="shared" si="42"/>
        <v>0</v>
      </c>
      <c r="X58" s="26">
        <f>+'Service Count Data'!$AD$225</f>
        <v>3406</v>
      </c>
      <c r="Y58" s="470">
        <v>4.2</v>
      </c>
      <c r="Z58" s="5">
        <f t="shared" si="43"/>
        <v>14305.2</v>
      </c>
      <c r="AA58" s="140">
        <f t="shared" si="44"/>
        <v>3406</v>
      </c>
      <c r="AB58" s="139">
        <f t="shared" si="45"/>
        <v>14305.2</v>
      </c>
      <c r="AC58" s="26">
        <f t="shared" si="33"/>
        <v>4537</v>
      </c>
      <c r="AD58" s="26">
        <f t="shared" si="46"/>
        <v>8179</v>
      </c>
      <c r="AE58" s="5">
        <f t="shared" si="47"/>
        <v>36209.22</v>
      </c>
      <c r="AH58" s="26">
        <f t="shared" si="48"/>
        <v>4537</v>
      </c>
    </row>
    <row r="59" spans="1:34">
      <c r="A59" t="s">
        <v>73</v>
      </c>
      <c r="C59" s="26">
        <f>+'Service Count Data'!$X$136</f>
        <v>0</v>
      </c>
      <c r="D59" s="470">
        <v>42.75</v>
      </c>
      <c r="E59" s="5">
        <f t="shared" si="34"/>
        <v>0</v>
      </c>
      <c r="F59" s="26">
        <f>+'Service Count Data'!$AD$136</f>
        <v>24</v>
      </c>
      <c r="G59" s="470">
        <v>43.77</v>
      </c>
      <c r="H59" s="5">
        <f t="shared" si="35"/>
        <v>1050.48</v>
      </c>
      <c r="I59" s="140">
        <f t="shared" si="36"/>
        <v>24</v>
      </c>
      <c r="J59" s="139">
        <f t="shared" si="37"/>
        <v>1050.48</v>
      </c>
      <c r="L59" s="26">
        <f>+'Service Count Data'!$X$137</f>
        <v>0</v>
      </c>
      <c r="M59" s="470">
        <v>35</v>
      </c>
      <c r="N59" s="5">
        <f t="shared" si="38"/>
        <v>0</v>
      </c>
      <c r="O59" s="26">
        <f>+'Service Count Data'!$AD$137</f>
        <v>0</v>
      </c>
      <c r="P59" s="470">
        <v>35</v>
      </c>
      <c r="Q59" s="5">
        <f t="shared" si="39"/>
        <v>0</v>
      </c>
      <c r="R59" s="140">
        <f t="shared" si="40"/>
        <v>0</v>
      </c>
      <c r="S59" s="139">
        <f t="shared" si="41"/>
        <v>0</v>
      </c>
      <c r="U59" s="26">
        <f>+'Service Count Data'!$X$138</f>
        <v>0</v>
      </c>
      <c r="V59" s="470">
        <v>35</v>
      </c>
      <c r="W59" s="5">
        <f t="shared" si="42"/>
        <v>0</v>
      </c>
      <c r="X59" s="26">
        <f>+'Service Count Data'!$AD$138</f>
        <v>0</v>
      </c>
      <c r="Y59" s="470">
        <v>35</v>
      </c>
      <c r="Z59" s="5">
        <f t="shared" si="43"/>
        <v>0</v>
      </c>
      <c r="AA59" s="140">
        <f t="shared" si="44"/>
        <v>0</v>
      </c>
      <c r="AB59" s="139">
        <f t="shared" si="45"/>
        <v>0</v>
      </c>
      <c r="AC59" s="26">
        <f t="shared" si="33"/>
        <v>0</v>
      </c>
      <c r="AD59" s="26">
        <f t="shared" si="46"/>
        <v>24</v>
      </c>
      <c r="AE59" s="5">
        <f t="shared" si="47"/>
        <v>1050.48</v>
      </c>
      <c r="AH59" s="26">
        <f t="shared" si="48"/>
        <v>0</v>
      </c>
    </row>
    <row r="60" spans="1:34">
      <c r="A60" t="s">
        <v>74</v>
      </c>
      <c r="C60" s="26">
        <f>+'Service Count Data'!$X$139</f>
        <v>0</v>
      </c>
      <c r="D60" s="470">
        <v>42.75</v>
      </c>
      <c r="E60" s="5">
        <f t="shared" si="34"/>
        <v>0</v>
      </c>
      <c r="F60" s="26">
        <f>+'Service Count Data'!$AD$139</f>
        <v>28</v>
      </c>
      <c r="G60" s="470">
        <v>43.77</v>
      </c>
      <c r="H60" s="5">
        <f t="shared" si="35"/>
        <v>1225.5600000000002</v>
      </c>
      <c r="I60" s="140">
        <f t="shared" si="36"/>
        <v>28</v>
      </c>
      <c r="J60" s="139">
        <f t="shared" si="37"/>
        <v>1225.5600000000002</v>
      </c>
      <c r="L60" s="26">
        <f>+'Service Count Data'!$X$140</f>
        <v>0</v>
      </c>
      <c r="M60" s="470">
        <v>35</v>
      </c>
      <c r="N60" s="5">
        <f t="shared" si="38"/>
        <v>0</v>
      </c>
      <c r="O60" s="26">
        <f>+'Service Count Data'!$AD$140</f>
        <v>3</v>
      </c>
      <c r="P60" s="470">
        <v>35</v>
      </c>
      <c r="Q60" s="5">
        <f t="shared" si="39"/>
        <v>105</v>
      </c>
      <c r="R60" s="140">
        <f t="shared" si="40"/>
        <v>3</v>
      </c>
      <c r="S60" s="139">
        <f t="shared" si="41"/>
        <v>105</v>
      </c>
      <c r="U60" s="26">
        <f>+'Service Count Data'!$X$141</f>
        <v>0</v>
      </c>
      <c r="V60" s="470">
        <v>35</v>
      </c>
      <c r="W60" s="5">
        <f t="shared" si="42"/>
        <v>0</v>
      </c>
      <c r="X60" s="26">
        <f>+'Service Count Data'!$AD$141</f>
        <v>5</v>
      </c>
      <c r="Y60" s="470">
        <v>35</v>
      </c>
      <c r="Z60" s="5">
        <f t="shared" si="43"/>
        <v>175</v>
      </c>
      <c r="AA60" s="140">
        <f t="shared" si="44"/>
        <v>5</v>
      </c>
      <c r="AB60" s="139">
        <f t="shared" si="45"/>
        <v>175</v>
      </c>
      <c r="AC60" s="26">
        <f t="shared" si="33"/>
        <v>8</v>
      </c>
      <c r="AD60" s="26">
        <f t="shared" si="46"/>
        <v>36</v>
      </c>
      <c r="AE60" s="5">
        <f t="shared" si="47"/>
        <v>1505.5600000000002</v>
      </c>
      <c r="AH60" s="26">
        <f t="shared" si="48"/>
        <v>8</v>
      </c>
    </row>
    <row r="61" spans="1:34">
      <c r="A61" t="s">
        <v>75</v>
      </c>
      <c r="C61" s="26">
        <f>+'Service Count Data'!$X$142</f>
        <v>0</v>
      </c>
      <c r="D61" s="470">
        <v>42.75</v>
      </c>
      <c r="E61" s="5">
        <f t="shared" si="34"/>
        <v>0</v>
      </c>
      <c r="F61" s="26">
        <f>+'Service Count Data'!$AD$142</f>
        <v>31</v>
      </c>
      <c r="G61" s="470">
        <v>43.77</v>
      </c>
      <c r="H61" s="5">
        <f t="shared" si="35"/>
        <v>1356.8700000000001</v>
      </c>
      <c r="I61" s="140">
        <f t="shared" si="36"/>
        <v>31</v>
      </c>
      <c r="J61" s="139">
        <f t="shared" si="37"/>
        <v>1356.8700000000001</v>
      </c>
      <c r="L61" s="26">
        <f>+'Service Count Data'!$X$143</f>
        <v>0</v>
      </c>
      <c r="M61" s="470">
        <v>35</v>
      </c>
      <c r="N61" s="5">
        <f t="shared" si="38"/>
        <v>0</v>
      </c>
      <c r="O61" s="26">
        <f>+'Service Count Data'!$AD$143</f>
        <v>7</v>
      </c>
      <c r="P61" s="470">
        <v>35</v>
      </c>
      <c r="Q61" s="5">
        <f t="shared" si="39"/>
        <v>245</v>
      </c>
      <c r="R61" s="140">
        <f t="shared" si="40"/>
        <v>7</v>
      </c>
      <c r="S61" s="139">
        <f t="shared" si="41"/>
        <v>245</v>
      </c>
      <c r="U61" s="26">
        <f>+'Service Count Data'!$X$144</f>
        <v>0</v>
      </c>
      <c r="V61" s="470">
        <v>35</v>
      </c>
      <c r="W61" s="5">
        <f t="shared" si="42"/>
        <v>0</v>
      </c>
      <c r="X61" s="26">
        <f>+'Service Count Data'!$AD$144</f>
        <v>10</v>
      </c>
      <c r="Y61" s="470">
        <v>35</v>
      </c>
      <c r="Z61" s="5">
        <f t="shared" si="43"/>
        <v>350</v>
      </c>
      <c r="AA61" s="140">
        <f t="shared" si="44"/>
        <v>10</v>
      </c>
      <c r="AB61" s="139">
        <f t="shared" si="45"/>
        <v>350</v>
      </c>
      <c r="AC61" s="26">
        <f t="shared" si="33"/>
        <v>17</v>
      </c>
      <c r="AD61" s="26">
        <f t="shared" si="46"/>
        <v>48</v>
      </c>
      <c r="AE61" s="5">
        <f t="shared" si="47"/>
        <v>1951.8700000000001</v>
      </c>
      <c r="AH61" s="26">
        <f t="shared" si="48"/>
        <v>17</v>
      </c>
    </row>
    <row r="62" spans="1:34">
      <c r="A62" t="s">
        <v>76</v>
      </c>
      <c r="C62" s="26">
        <f>+'Service Count Data'!$X$172</f>
        <v>0</v>
      </c>
      <c r="D62" s="470">
        <v>2.4500000000000002</v>
      </c>
      <c r="E62" s="5">
        <f t="shared" si="34"/>
        <v>0</v>
      </c>
      <c r="F62" s="26">
        <f>+'Service Count Data'!$AD$172</f>
        <v>290</v>
      </c>
      <c r="G62" s="470">
        <v>2.5099999999999998</v>
      </c>
      <c r="H62" s="5">
        <f t="shared" si="35"/>
        <v>727.9</v>
      </c>
      <c r="I62" s="140">
        <f t="shared" si="36"/>
        <v>290</v>
      </c>
      <c r="J62" s="139">
        <f t="shared" si="37"/>
        <v>727.9</v>
      </c>
      <c r="L62" s="26">
        <f>+'Service Count Data'!$X$173</f>
        <v>0</v>
      </c>
      <c r="M62" s="470">
        <v>2.2000000000000002</v>
      </c>
      <c r="N62" s="5">
        <f t="shared" si="38"/>
        <v>0</v>
      </c>
      <c r="O62" s="26">
        <f>+'Service Count Data'!$AD$173</f>
        <v>5090</v>
      </c>
      <c r="P62" s="470">
        <v>2.2000000000000002</v>
      </c>
      <c r="Q62" s="5">
        <f t="shared" si="39"/>
        <v>11198</v>
      </c>
      <c r="R62" s="140">
        <f t="shared" si="40"/>
        <v>5090</v>
      </c>
      <c r="S62" s="139">
        <f t="shared" si="41"/>
        <v>11198</v>
      </c>
      <c r="U62" s="26">
        <f>+'Service Count Data'!$X$174</f>
        <v>0</v>
      </c>
      <c r="V62" s="470">
        <v>2.2000000000000002</v>
      </c>
      <c r="W62" s="5">
        <f t="shared" si="42"/>
        <v>0</v>
      </c>
      <c r="X62" s="26">
        <f>+'Service Count Data'!$AD$174</f>
        <v>11730</v>
      </c>
      <c r="Y62" s="470">
        <v>2.2000000000000002</v>
      </c>
      <c r="Z62" s="5">
        <f t="shared" si="43"/>
        <v>25806.000000000004</v>
      </c>
      <c r="AA62" s="140">
        <f t="shared" si="44"/>
        <v>11730</v>
      </c>
      <c r="AB62" s="139">
        <f t="shared" si="45"/>
        <v>25806.000000000004</v>
      </c>
      <c r="AC62" s="26">
        <f t="shared" si="33"/>
        <v>16820</v>
      </c>
      <c r="AD62" s="26">
        <f t="shared" si="46"/>
        <v>17110</v>
      </c>
      <c r="AE62" s="5">
        <f t="shared" si="47"/>
        <v>37731.9</v>
      </c>
      <c r="AH62" s="26">
        <f t="shared" si="48"/>
        <v>16820</v>
      </c>
    </row>
    <row r="63" spans="1:34">
      <c r="A63" t="s">
        <v>77</v>
      </c>
      <c r="C63" s="26">
        <f>+'Service Count Data'!$X$205</f>
        <v>0</v>
      </c>
      <c r="D63" s="470">
        <v>30.9</v>
      </c>
      <c r="E63" s="5">
        <f t="shared" si="34"/>
        <v>0</v>
      </c>
      <c r="F63" s="26">
        <f>+'Service Count Data'!$AD$205</f>
        <v>21</v>
      </c>
      <c r="G63" s="470">
        <v>31.64</v>
      </c>
      <c r="H63" s="5">
        <f t="shared" si="35"/>
        <v>664.44</v>
      </c>
      <c r="I63" s="140">
        <f t="shared" si="36"/>
        <v>21</v>
      </c>
      <c r="J63" s="139">
        <f t="shared" si="37"/>
        <v>664.44</v>
      </c>
      <c r="L63" s="26">
        <f>+'Service Count Data'!$X$206</f>
        <v>0</v>
      </c>
      <c r="M63" s="470">
        <v>0</v>
      </c>
      <c r="N63" s="5">
        <f t="shared" si="38"/>
        <v>0</v>
      </c>
      <c r="O63" s="26">
        <f>+'Service Count Data'!$AD$206</f>
        <v>0</v>
      </c>
      <c r="P63" s="470">
        <v>0</v>
      </c>
      <c r="Q63" s="5">
        <f t="shared" si="39"/>
        <v>0</v>
      </c>
      <c r="R63" s="140">
        <f t="shared" si="40"/>
        <v>0</v>
      </c>
      <c r="S63" s="139">
        <f t="shared" si="41"/>
        <v>0</v>
      </c>
      <c r="U63" s="26">
        <f>+'Service Count Data'!$X$207</f>
        <v>0</v>
      </c>
      <c r="V63" s="470">
        <v>0</v>
      </c>
      <c r="W63" s="5">
        <f t="shared" si="42"/>
        <v>0</v>
      </c>
      <c r="X63" s="26">
        <f>+'Service Count Data'!$AD$207</f>
        <v>0</v>
      </c>
      <c r="Y63" s="470">
        <v>0</v>
      </c>
      <c r="Z63" s="5">
        <f t="shared" si="43"/>
        <v>0</v>
      </c>
      <c r="AA63" s="140">
        <f t="shared" si="44"/>
        <v>0</v>
      </c>
      <c r="AB63" s="139">
        <f t="shared" si="45"/>
        <v>0</v>
      </c>
      <c r="AC63" s="26">
        <f t="shared" si="33"/>
        <v>0</v>
      </c>
      <c r="AD63" s="26">
        <f t="shared" si="46"/>
        <v>21</v>
      </c>
      <c r="AE63" s="5">
        <f t="shared" si="47"/>
        <v>664.44</v>
      </c>
      <c r="AF63" s="5"/>
      <c r="AH63" s="26">
        <f t="shared" si="48"/>
        <v>0</v>
      </c>
    </row>
    <row r="64" spans="1:34">
      <c r="A64" t="s">
        <v>78</v>
      </c>
      <c r="C64" s="26">
        <f>+'Service Count Data'!$X$199</f>
        <v>0</v>
      </c>
      <c r="D64" s="470">
        <v>177.5</v>
      </c>
      <c r="E64" s="5">
        <f t="shared" si="34"/>
        <v>0</v>
      </c>
      <c r="F64" s="26">
        <f>+'Service Count Data'!$AD$199</f>
        <v>0</v>
      </c>
      <c r="G64" s="470">
        <v>181.75</v>
      </c>
      <c r="H64" s="5">
        <f t="shared" si="35"/>
        <v>0</v>
      </c>
      <c r="I64" s="140">
        <f t="shared" si="36"/>
        <v>0</v>
      </c>
      <c r="J64" s="139">
        <f t="shared" si="37"/>
        <v>0</v>
      </c>
      <c r="L64" s="26">
        <f>+'Service Count Data'!$X$200</f>
        <v>0</v>
      </c>
      <c r="M64" s="470">
        <v>0</v>
      </c>
      <c r="N64" s="5">
        <f t="shared" si="38"/>
        <v>0</v>
      </c>
      <c r="O64" s="26">
        <f>+'Service Count Data'!$AD$200</f>
        <v>0</v>
      </c>
      <c r="P64" s="470">
        <v>0</v>
      </c>
      <c r="Q64" s="5">
        <f t="shared" si="39"/>
        <v>0</v>
      </c>
      <c r="R64" s="140">
        <f t="shared" si="40"/>
        <v>0</v>
      </c>
      <c r="S64" s="139">
        <f t="shared" si="41"/>
        <v>0</v>
      </c>
      <c r="U64" s="26">
        <f>+'Service Count Data'!$X$201</f>
        <v>0</v>
      </c>
      <c r="V64" s="470">
        <v>0</v>
      </c>
      <c r="W64" s="5">
        <f t="shared" si="42"/>
        <v>0</v>
      </c>
      <c r="X64" s="26">
        <f>+'Service Count Data'!$AD$201</f>
        <v>0</v>
      </c>
      <c r="Y64" s="470">
        <v>0</v>
      </c>
      <c r="Z64" s="5">
        <f t="shared" si="43"/>
        <v>0</v>
      </c>
      <c r="AA64" s="140">
        <f t="shared" si="44"/>
        <v>0</v>
      </c>
      <c r="AB64" s="139">
        <f t="shared" si="45"/>
        <v>0</v>
      </c>
      <c r="AC64" s="26">
        <f t="shared" si="33"/>
        <v>0</v>
      </c>
      <c r="AD64" s="26">
        <f t="shared" si="46"/>
        <v>0</v>
      </c>
      <c r="AE64" s="5">
        <f t="shared" si="47"/>
        <v>0</v>
      </c>
      <c r="AF64" s="5"/>
      <c r="AH64" s="26">
        <f t="shared" si="48"/>
        <v>0</v>
      </c>
    </row>
    <row r="65" spans="1:34">
      <c r="A65" t="s">
        <v>79</v>
      </c>
      <c r="C65" s="26">
        <f>+'Service Count Data'!$X$202</f>
        <v>0</v>
      </c>
      <c r="D65" s="470">
        <v>215.5</v>
      </c>
      <c r="E65" s="5">
        <f t="shared" si="34"/>
        <v>0</v>
      </c>
      <c r="F65" s="26">
        <f>+'Service Count Data'!$AD$202</f>
        <v>73</v>
      </c>
      <c r="G65" s="470">
        <v>220.67</v>
      </c>
      <c r="H65" s="5">
        <f t="shared" si="35"/>
        <v>16108.91</v>
      </c>
      <c r="I65" s="140">
        <f t="shared" si="36"/>
        <v>73</v>
      </c>
      <c r="J65" s="139">
        <f t="shared" si="37"/>
        <v>16108.91</v>
      </c>
      <c r="L65" s="26">
        <f>+'Service Count Data'!$X$203</f>
        <v>0</v>
      </c>
      <c r="M65" s="470">
        <v>0</v>
      </c>
      <c r="N65" s="5">
        <f t="shared" si="38"/>
        <v>0</v>
      </c>
      <c r="O65" s="26">
        <f>+'Service Count Data'!$AD$203</f>
        <v>0</v>
      </c>
      <c r="P65" s="470">
        <v>0</v>
      </c>
      <c r="Q65" s="5">
        <f t="shared" si="39"/>
        <v>0</v>
      </c>
      <c r="R65" s="140">
        <f t="shared" si="40"/>
        <v>0</v>
      </c>
      <c r="S65" s="139">
        <f t="shared" si="41"/>
        <v>0</v>
      </c>
      <c r="U65" s="26">
        <f>+'Service Count Data'!$X$204</f>
        <v>0</v>
      </c>
      <c r="V65" s="470">
        <v>0</v>
      </c>
      <c r="W65" s="5">
        <f t="shared" si="42"/>
        <v>0</v>
      </c>
      <c r="X65" s="26">
        <f>+'Service Count Data'!$AD$204</f>
        <v>0</v>
      </c>
      <c r="Y65" s="470">
        <v>0</v>
      </c>
      <c r="Z65" s="5">
        <f t="shared" si="43"/>
        <v>0</v>
      </c>
      <c r="AA65" s="140">
        <f t="shared" si="44"/>
        <v>0</v>
      </c>
      <c r="AB65" s="139">
        <f t="shared" si="45"/>
        <v>0</v>
      </c>
      <c r="AC65" s="26">
        <f t="shared" si="33"/>
        <v>0</v>
      </c>
      <c r="AD65" s="26">
        <f t="shared" si="46"/>
        <v>73</v>
      </c>
      <c r="AE65" s="5">
        <f t="shared" si="47"/>
        <v>16108.91</v>
      </c>
      <c r="AF65" s="5">
        <f>SUM(AE53:AE65)</f>
        <v>275010.8</v>
      </c>
      <c r="AH65" s="26">
        <f t="shared" si="48"/>
        <v>0</v>
      </c>
    </row>
    <row r="66" spans="1:34">
      <c r="C66" s="26"/>
      <c r="D66" s="120"/>
      <c r="F66" s="26"/>
      <c r="G66" s="120"/>
      <c r="I66" s="140"/>
      <c r="J66" s="134"/>
      <c r="L66" s="26"/>
      <c r="M66" s="469"/>
      <c r="O66" s="26"/>
      <c r="P66" s="469"/>
      <c r="R66" s="140"/>
      <c r="S66" s="134"/>
      <c r="U66" s="26"/>
      <c r="V66" s="469"/>
      <c r="X66" s="26"/>
      <c r="Y66" s="469"/>
      <c r="AA66" s="140"/>
      <c r="AB66" s="134"/>
      <c r="AC66" s="26">
        <f t="shared" si="33"/>
        <v>0</v>
      </c>
    </row>
    <row r="67" spans="1:34">
      <c r="A67" t="s">
        <v>80</v>
      </c>
      <c r="C67" s="26"/>
      <c r="D67" s="120"/>
      <c r="F67" s="26"/>
      <c r="G67" s="120"/>
      <c r="I67" s="140"/>
      <c r="J67" s="134"/>
      <c r="L67" s="26"/>
      <c r="M67" s="469"/>
      <c r="O67" s="26"/>
      <c r="P67" s="469"/>
      <c r="R67" s="140"/>
      <c r="S67" s="134"/>
      <c r="U67" s="26"/>
      <c r="V67" s="469"/>
      <c r="X67" s="26"/>
      <c r="Y67" s="469"/>
      <c r="AA67" s="140"/>
      <c r="AB67" s="134"/>
      <c r="AC67" s="26">
        <f t="shared" si="33"/>
        <v>0</v>
      </c>
    </row>
    <row r="68" spans="1:34">
      <c r="A68" t="s">
        <v>81</v>
      </c>
      <c r="C68" s="26"/>
      <c r="D68" s="120"/>
      <c r="F68" s="26"/>
      <c r="G68" s="120"/>
      <c r="I68" s="140"/>
      <c r="J68" s="134"/>
      <c r="L68" s="26"/>
      <c r="M68" s="469"/>
      <c r="O68" s="26"/>
      <c r="P68" s="469"/>
      <c r="R68" s="140"/>
      <c r="S68" s="134"/>
      <c r="U68" s="26"/>
      <c r="V68" s="469"/>
      <c r="X68" s="26"/>
      <c r="Y68" s="469"/>
      <c r="AA68" s="140"/>
      <c r="AB68" s="134"/>
      <c r="AC68" s="26">
        <f t="shared" si="33"/>
        <v>0</v>
      </c>
    </row>
    <row r="69" spans="1:34">
      <c r="A69" t="s">
        <v>82</v>
      </c>
      <c r="C69" s="26">
        <f>+'Service Count Data'!$X$157+'Service Count Data'!$X$160</f>
        <v>0</v>
      </c>
      <c r="D69" s="470">
        <v>138</v>
      </c>
      <c r="E69" s="5">
        <f>+C69*D69</f>
        <v>0</v>
      </c>
      <c r="F69" s="26">
        <f>+'Service Count Data'!$AD$157+'Service Count Data'!$AD$160</f>
        <v>82.75</v>
      </c>
      <c r="G69" s="470">
        <v>141.31</v>
      </c>
      <c r="H69" s="5">
        <f>+F69*G69</f>
        <v>11693.4025</v>
      </c>
      <c r="I69" s="140">
        <f>+C69+F69</f>
        <v>82.75</v>
      </c>
      <c r="J69" s="139">
        <f>+E69+H69</f>
        <v>11693.4025</v>
      </c>
      <c r="L69" s="26">
        <f>+'Service Count Data'!$X$158+'Service Count Data'!$X$161</f>
        <v>0</v>
      </c>
      <c r="M69" s="470">
        <v>129</v>
      </c>
      <c r="N69" s="5">
        <f>+L69*M69</f>
        <v>0</v>
      </c>
      <c r="O69" s="26">
        <f>+'Service Count Data'!$AD$158+'Service Count Data'!$AD$161</f>
        <v>0</v>
      </c>
      <c r="P69" s="470">
        <v>129</v>
      </c>
      <c r="Q69" s="5">
        <f>+O69*P69</f>
        <v>0</v>
      </c>
      <c r="R69" s="140">
        <f>+L69+O69</f>
        <v>0</v>
      </c>
      <c r="S69" s="139">
        <f>+N69+Q69</f>
        <v>0</v>
      </c>
      <c r="U69" s="26">
        <f>+'Service Count Data'!$X$159+'Service Count Data'!$X$162</f>
        <v>0</v>
      </c>
      <c r="V69" s="470">
        <v>129</v>
      </c>
      <c r="W69" s="5">
        <f>+U69*V69</f>
        <v>0</v>
      </c>
      <c r="X69" s="26">
        <f>+'Service Count Data'!$AD$159+'Service Count Data'!$AD$162</f>
        <v>0</v>
      </c>
      <c r="Y69" s="470">
        <v>129</v>
      </c>
      <c r="Z69" s="5">
        <f>+X69*Y69</f>
        <v>0</v>
      </c>
      <c r="AA69" s="140">
        <f>+U69+X69</f>
        <v>0</v>
      </c>
      <c r="AB69" s="139">
        <f>+W69+Z69</f>
        <v>0</v>
      </c>
      <c r="AC69" s="26">
        <f t="shared" si="33"/>
        <v>0</v>
      </c>
      <c r="AD69" s="26">
        <f>+I69+R69+AA69</f>
        <v>82.75</v>
      </c>
      <c r="AE69" s="5">
        <f>+J69+S69+AB69</f>
        <v>11693.4025</v>
      </c>
      <c r="AH69" s="26">
        <f>+R69+AA69</f>
        <v>0</v>
      </c>
    </row>
    <row r="70" spans="1:34" ht="13.5" thickBot="1">
      <c r="A70" t="s">
        <v>83</v>
      </c>
      <c r="C70" s="130">
        <f>+'Service Count Data'!$X$157+'Service Count Data'!$X$163</f>
        <v>0</v>
      </c>
      <c r="D70" s="470">
        <v>35</v>
      </c>
      <c r="E70" s="6">
        <f>+C70*D70</f>
        <v>0</v>
      </c>
      <c r="F70" s="130">
        <f>+'Service Count Data'!$AD$157+'Service Count Data'!$AD$163</f>
        <v>0</v>
      </c>
      <c r="G70" s="470">
        <v>35.840000000000003</v>
      </c>
      <c r="H70" s="136">
        <f>+F70*G70</f>
        <v>0</v>
      </c>
      <c r="I70" s="137">
        <f>+C70+F70</f>
        <v>0</v>
      </c>
      <c r="J70" s="136">
        <f>+E70+H70</f>
        <v>0</v>
      </c>
      <c r="L70" s="130">
        <f>+'Service Count Data'!$X$158+'Service Count Data'!$X$164</f>
        <v>0</v>
      </c>
      <c r="M70" s="470">
        <v>32</v>
      </c>
      <c r="N70" s="6">
        <f>+L70*M70</f>
        <v>0</v>
      </c>
      <c r="O70" s="130">
        <f>+'Service Count Data'!$AD$158+'Service Count Data'!$AD$164</f>
        <v>0</v>
      </c>
      <c r="P70" s="470">
        <v>32</v>
      </c>
      <c r="Q70" s="6">
        <f>+O70*P70</f>
        <v>0</v>
      </c>
      <c r="R70" s="137">
        <f>+L70+O70</f>
        <v>0</v>
      </c>
      <c r="S70" s="136">
        <f>+N70+Q70</f>
        <v>0</v>
      </c>
      <c r="U70" s="130">
        <f>+'Service Count Data'!$X$159+'Service Count Data'!$X$165</f>
        <v>0</v>
      </c>
      <c r="V70" s="470">
        <v>32</v>
      </c>
      <c r="W70" s="6">
        <f>+U70*V70</f>
        <v>0</v>
      </c>
      <c r="X70" s="130">
        <f>+'Service Count Data'!$AD$159+'Service Count Data'!$AD$165</f>
        <v>0</v>
      </c>
      <c r="Y70" s="470">
        <v>32</v>
      </c>
      <c r="Z70" s="6">
        <f>+X70*Y70</f>
        <v>0</v>
      </c>
      <c r="AA70" s="137">
        <f>+U70+X70</f>
        <v>0</v>
      </c>
      <c r="AB70" s="136">
        <f>+W70+Z70</f>
        <v>0</v>
      </c>
      <c r="AC70" s="26">
        <f t="shared" si="33"/>
        <v>0</v>
      </c>
      <c r="AD70" s="26">
        <f>+I70+R70+AA70</f>
        <v>0</v>
      </c>
      <c r="AE70" s="6">
        <f>+J70+S70+AB70</f>
        <v>0</v>
      </c>
      <c r="AF70" s="6">
        <f>SUM(AE69:AE70)</f>
        <v>11693.4025</v>
      </c>
      <c r="AH70" s="26">
        <f>+R70+AA70</f>
        <v>0</v>
      </c>
    </row>
    <row r="71" spans="1:34">
      <c r="C71" s="26"/>
      <c r="D71" s="51"/>
      <c r="F71" s="26"/>
      <c r="G71" s="51"/>
      <c r="I71" s="144"/>
      <c r="J71" s="99"/>
      <c r="L71" s="26"/>
      <c r="M71" s="51"/>
      <c r="O71" s="26"/>
      <c r="P71" s="51"/>
      <c r="R71" s="144"/>
      <c r="S71" s="99"/>
      <c r="U71" s="26"/>
      <c r="V71" s="51"/>
      <c r="X71" s="26"/>
      <c r="Y71" s="51"/>
      <c r="AA71" s="144"/>
      <c r="AB71" s="99"/>
    </row>
    <row r="72" spans="1:34">
      <c r="C72" s="26">
        <f>SUM(C10:C70)</f>
        <v>0</v>
      </c>
      <c r="D72" s="51"/>
      <c r="E72" s="57">
        <f>SUM(E10:E70)</f>
        <v>0</v>
      </c>
      <c r="F72" s="26">
        <f>SUM(F10:F70)</f>
        <v>73973.399999999994</v>
      </c>
      <c r="G72" s="51"/>
      <c r="H72" s="57">
        <f>SUM(H10:H70)</f>
        <v>1788298.1689999993</v>
      </c>
      <c r="I72" s="140">
        <f>SUM(I10:I70)</f>
        <v>73973.399999999994</v>
      </c>
      <c r="J72" s="143">
        <f>SUM(J10:J70)</f>
        <v>1788298.1689999993</v>
      </c>
      <c r="L72" s="26">
        <f>SUM(L10:L70)</f>
        <v>0</v>
      </c>
      <c r="M72" s="51"/>
      <c r="N72" s="57">
        <f>SUM(N10:N70)</f>
        <v>0</v>
      </c>
      <c r="O72" s="26">
        <f>SUM(O10:O70)</f>
        <v>12904.25</v>
      </c>
      <c r="P72" s="51"/>
      <c r="Q72" s="57">
        <f>SUM(Q10:Q70)</f>
        <v>153121.52250000002</v>
      </c>
      <c r="R72" s="140">
        <f>SUM(R10:R70)</f>
        <v>12904.25</v>
      </c>
      <c r="S72" s="143">
        <f>SUM(S10:S70)</f>
        <v>153121.52250000002</v>
      </c>
      <c r="U72" s="26">
        <f>SUM(U10:U70)</f>
        <v>0</v>
      </c>
      <c r="V72" s="51"/>
      <c r="W72" s="57">
        <f>SUM(W10:W70)</f>
        <v>0</v>
      </c>
      <c r="X72" s="26">
        <f>SUM(X10:X70)</f>
        <v>27422.328521939955</v>
      </c>
      <c r="Y72" s="51"/>
      <c r="Z72" s="57">
        <f>SUM(Z10:Z70)</f>
        <v>441474.16612586606</v>
      </c>
      <c r="AA72" s="140">
        <f>SUM(AA10:AA70)</f>
        <v>27422.328521939955</v>
      </c>
      <c r="AB72" s="143">
        <f>SUM(AB10:AB70)</f>
        <v>441474.16612586606</v>
      </c>
      <c r="AC72" s="80">
        <f>AA72+R72+I72</f>
        <v>114299.97852193995</v>
      </c>
      <c r="AE72" s="57">
        <f>SUM(AE10:AE70)</f>
        <v>2382893.8576258658</v>
      </c>
    </row>
    <row r="73" spans="1:34">
      <c r="C73" s="26"/>
      <c r="D73" s="51"/>
      <c r="F73" s="26"/>
      <c r="G73" s="51"/>
      <c r="I73" s="133">
        <f>I72/AC72</f>
        <v>0.64718647331854706</v>
      </c>
      <c r="J73" s="134"/>
      <c r="L73" s="26"/>
      <c r="M73" s="51"/>
      <c r="O73" s="26"/>
      <c r="P73" s="51"/>
      <c r="R73" s="133">
        <f>R72/AC72</f>
        <v>0.11289809645522393</v>
      </c>
      <c r="S73" s="134"/>
      <c r="U73" s="26"/>
      <c r="V73" s="51"/>
      <c r="X73" s="26"/>
      <c r="Y73" s="51"/>
      <c r="AA73" s="133">
        <f>AA72/AC72</f>
        <v>0.23991543022622899</v>
      </c>
      <c r="AB73" s="134"/>
      <c r="AC73" s="80"/>
    </row>
    <row r="74" spans="1:34">
      <c r="D74" s="51"/>
      <c r="E74" s="9"/>
      <c r="G74" s="51"/>
      <c r="H74" s="9"/>
      <c r="I74" s="135"/>
      <c r="J74" s="141"/>
      <c r="K74" s="9"/>
      <c r="M74" s="51"/>
      <c r="N74" s="9"/>
      <c r="P74" s="51"/>
      <c r="Q74" s="9"/>
      <c r="R74" s="135"/>
      <c r="S74" s="141"/>
      <c r="T74" s="9"/>
      <c r="V74" s="51"/>
      <c r="W74" s="9"/>
      <c r="Y74" s="51"/>
      <c r="Z74" s="9"/>
      <c r="AA74" s="135"/>
      <c r="AB74" s="141"/>
      <c r="AC74" s="80"/>
      <c r="AD74" s="9" t="s">
        <v>1050</v>
      </c>
      <c r="AE74" s="9"/>
      <c r="AF74" s="142">
        <f>SUM(AF32:AF70)</f>
        <v>2382893.8576258654</v>
      </c>
    </row>
    <row r="75" spans="1:34">
      <c r="D75" s="51"/>
      <c r="E75" s="9"/>
      <c r="G75" s="51"/>
      <c r="H75" s="9" t="s">
        <v>1051</v>
      </c>
      <c r="I75" s="140">
        <f>SUM(I10:I24)+SUM(I35:I42)</f>
        <v>55203.65</v>
      </c>
      <c r="J75" s="141"/>
      <c r="K75" s="9"/>
      <c r="M75" s="51"/>
      <c r="N75" s="9"/>
      <c r="P75" s="51"/>
      <c r="Q75" s="9"/>
      <c r="R75" s="140">
        <f>SUM(R10:R24)+SUM(R35:R42)</f>
        <v>4698.75</v>
      </c>
      <c r="S75" s="141"/>
      <c r="T75" s="9"/>
      <c r="V75" s="51"/>
      <c r="W75" s="9"/>
      <c r="Y75" s="51"/>
      <c r="Z75" s="9"/>
      <c r="AA75" s="140">
        <f>SUM(AA10:AA24)+SUM(AA35:AA42)</f>
        <v>9158.8285219399531</v>
      </c>
      <c r="AB75" s="141"/>
      <c r="AC75" s="80">
        <f>I75+R75+AA75</f>
        <v>69061.228521939949</v>
      </c>
      <c r="AD75" t="s">
        <v>1052</v>
      </c>
      <c r="AF75" s="5">
        <f>'Service Count Data'!R154</f>
        <v>7675.68</v>
      </c>
    </row>
    <row r="76" spans="1:34">
      <c r="D76" s="51"/>
      <c r="E76" s="9"/>
      <c r="G76" s="51"/>
      <c r="H76" s="9"/>
      <c r="I76" s="303">
        <f>I75/AC75</f>
        <v>0.79934358512696368</v>
      </c>
      <c r="J76" s="141"/>
      <c r="K76" s="9"/>
      <c r="M76" s="51"/>
      <c r="N76" s="9"/>
      <c r="P76" s="51"/>
      <c r="Q76" s="9"/>
      <c r="R76" s="303">
        <f>R75/AC75</f>
        <v>6.8037451701387877E-2</v>
      </c>
      <c r="S76" s="141"/>
      <c r="T76" s="9"/>
      <c r="V76" s="51"/>
      <c r="W76" s="9"/>
      <c r="Y76" s="51"/>
      <c r="Z76" s="9"/>
      <c r="AA76" s="303">
        <f>AA75/AC75</f>
        <v>0.13261896317164848</v>
      </c>
      <c r="AB76" s="141"/>
      <c r="AC76" s="9"/>
      <c r="AD76" t="s">
        <v>1053</v>
      </c>
      <c r="AF76" s="5">
        <v>-9214.58</v>
      </c>
    </row>
    <row r="77" spans="1:34">
      <c r="D77" s="51"/>
      <c r="E77" s="9"/>
      <c r="G77" s="51"/>
      <c r="H77" s="9"/>
      <c r="I77" s="135"/>
      <c r="J77" s="141"/>
      <c r="K77" s="9"/>
      <c r="M77" s="51"/>
      <c r="N77" s="9"/>
      <c r="P77" s="51"/>
      <c r="Q77" s="9"/>
      <c r="R77" s="135"/>
      <c r="S77" s="141"/>
      <c r="T77" s="9"/>
      <c r="V77" s="51"/>
      <c r="W77" s="9"/>
      <c r="Y77" s="51"/>
      <c r="Z77" s="9"/>
      <c r="AA77" s="135"/>
      <c r="AB77" s="141"/>
      <c r="AC77" s="9"/>
      <c r="AD77" t="s">
        <v>1054</v>
      </c>
      <c r="AF77" s="5">
        <v>0</v>
      </c>
    </row>
    <row r="78" spans="1:34">
      <c r="D78" s="51"/>
      <c r="G78" s="51"/>
      <c r="I78" s="135"/>
      <c r="J78" s="134"/>
      <c r="M78" s="51"/>
      <c r="P78" s="51"/>
      <c r="R78" s="135"/>
      <c r="S78" s="134"/>
      <c r="V78" s="51"/>
      <c r="Y78" s="51"/>
      <c r="AA78" s="135"/>
      <c r="AB78" s="134"/>
    </row>
    <row r="79" spans="1:34">
      <c r="D79" s="51"/>
      <c r="G79" s="51"/>
      <c r="I79" s="135"/>
      <c r="J79" s="134"/>
      <c r="M79" s="51"/>
      <c r="P79" s="51"/>
      <c r="R79" s="135"/>
      <c r="S79" s="134"/>
      <c r="V79" s="51"/>
      <c r="Y79" s="51"/>
      <c r="AA79" s="135"/>
      <c r="AB79" s="134"/>
      <c r="AC79" t="s">
        <v>217</v>
      </c>
      <c r="AD79">
        <v>3100</v>
      </c>
      <c r="AE79" s="5">
        <f>'Results of Operations Co'!$C$11</f>
        <v>2122236.2999999998</v>
      </c>
    </row>
    <row r="80" spans="1:34">
      <c r="I80" s="133">
        <f>+I72-I56-I57-I58-I62</f>
        <v>65033.399999999994</v>
      </c>
      <c r="J80" s="134"/>
      <c r="O80" s="5">
        <f>+O72-O56-O57-O58-O62</f>
        <v>5848.25</v>
      </c>
      <c r="R80" s="135"/>
      <c r="S80" s="134"/>
      <c r="X80" s="5">
        <f>+X72-X56-X57-X58-X62</f>
        <v>11529.328521939955</v>
      </c>
      <c r="AA80" s="135"/>
      <c r="AB80" s="134"/>
      <c r="AD80">
        <v>3300</v>
      </c>
      <c r="AE80" s="5">
        <f>'Results of Operations Co'!$C$14</f>
        <v>275552.33999999997</v>
      </c>
    </row>
    <row r="81" spans="1:34">
      <c r="I81" s="135"/>
      <c r="J81" s="134"/>
      <c r="R81" s="135"/>
      <c r="S81" s="134"/>
      <c r="AA81" s="135"/>
      <c r="AB81" s="134"/>
      <c r="AD81">
        <v>3500</v>
      </c>
      <c r="AE81" s="38">
        <f>'Results of Operations Co'!$C$18</f>
        <v>0</v>
      </c>
      <c r="AF81" s="38">
        <f>+AE79+AE80+AE81</f>
        <v>2397788.6399999997</v>
      </c>
    </row>
    <row r="82" spans="1:34" ht="13.5" thickBot="1">
      <c r="I82" s="135"/>
      <c r="J82" s="134"/>
      <c r="R82" s="135"/>
      <c r="S82" s="134"/>
      <c r="AA82" s="135"/>
      <c r="AB82" s="134"/>
      <c r="AC82" t="s">
        <v>710</v>
      </c>
      <c r="AF82" s="131">
        <f>SUM(AF74:AF77)-AF81</f>
        <v>-16433.682374134194</v>
      </c>
      <c r="AG82" s="9">
        <f>+AF82/AF81</f>
        <v>-6.8536826390728899E-3</v>
      </c>
    </row>
    <row r="83" spans="1:34" ht="13.5" thickTop="1">
      <c r="I83" s="135"/>
      <c r="J83" s="134"/>
      <c r="R83" s="135"/>
      <c r="S83" s="134"/>
      <c r="AA83" s="135"/>
      <c r="AB83" s="134"/>
    </row>
    <row r="84" spans="1:34">
      <c r="I84" s="135"/>
      <c r="J84" s="134"/>
      <c r="R84" s="135"/>
      <c r="S84" s="134"/>
      <c r="AA84" s="135"/>
      <c r="AB84" s="134"/>
    </row>
    <row r="85" spans="1:34">
      <c r="A85" t="s">
        <v>1055</v>
      </c>
      <c r="C85" s="26"/>
      <c r="D85" s="51"/>
      <c r="F85" s="26"/>
      <c r="G85" s="51"/>
      <c r="I85" s="140"/>
      <c r="J85" s="134"/>
      <c r="L85" s="26"/>
      <c r="M85" s="51"/>
      <c r="O85" s="26"/>
      <c r="P85" s="51"/>
      <c r="R85" s="140"/>
      <c r="S85" s="134"/>
      <c r="U85" s="26"/>
      <c r="V85" s="51"/>
      <c r="X85" s="26"/>
      <c r="Y85" s="51"/>
      <c r="AA85" s="140"/>
      <c r="AB85" s="134"/>
      <c r="AE85" s="530"/>
    </row>
    <row r="86" spans="1:34">
      <c r="A86" t="s">
        <v>1056</v>
      </c>
      <c r="C86" s="5">
        <f>+'Service Count Data'!$X$226</f>
        <v>0</v>
      </c>
      <c r="D86" s="138">
        <v>39.590000000000003</v>
      </c>
      <c r="E86" s="5">
        <f>+C86*D86</f>
        <v>0</v>
      </c>
      <c r="F86" s="5">
        <f>+'Service Count Data'!$AD$226</f>
        <v>1558</v>
      </c>
      <c r="G86" s="138">
        <v>39.590000000000003</v>
      </c>
      <c r="H86" s="5">
        <f>+F86*G86</f>
        <v>61681.220000000008</v>
      </c>
      <c r="I86" s="140">
        <f>+C86+F86</f>
        <v>1558</v>
      </c>
      <c r="J86" s="139">
        <f>+E86+H86</f>
        <v>61681.220000000008</v>
      </c>
      <c r="L86" s="5">
        <f>+'Service Count Data'!$X$227</f>
        <v>0</v>
      </c>
      <c r="M86" s="138">
        <v>37</v>
      </c>
      <c r="N86" s="5">
        <f>+L86*M86</f>
        <v>0</v>
      </c>
      <c r="O86" s="5">
        <f>+'Service Count Data'!$AD$227</f>
        <v>0</v>
      </c>
      <c r="P86" s="138">
        <v>37</v>
      </c>
      <c r="Q86" s="5">
        <f>+O86*P86</f>
        <v>0</v>
      </c>
      <c r="R86" s="140">
        <f>+L86+O86</f>
        <v>0</v>
      </c>
      <c r="S86" s="139">
        <f>+N86+Q86</f>
        <v>0</v>
      </c>
      <c r="U86" s="5">
        <f>+'Service Count Data'!$X$228</f>
        <v>0</v>
      </c>
      <c r="V86" s="138">
        <v>37</v>
      </c>
      <c r="W86" s="5">
        <f>+U86*V86</f>
        <v>0</v>
      </c>
      <c r="X86" s="5">
        <f>+'Service Count Data'!$AD$228</f>
        <v>0</v>
      </c>
      <c r="Y86" s="138">
        <v>37</v>
      </c>
      <c r="Z86" s="5">
        <f>+X86*Y86</f>
        <v>0</v>
      </c>
      <c r="AA86" s="140">
        <f>+U86+X86</f>
        <v>0</v>
      </c>
      <c r="AB86" s="139">
        <f>+W86+Z86</f>
        <v>0</v>
      </c>
      <c r="AC86" s="5"/>
      <c r="AE86" s="5">
        <f>+J86+S86+AB86</f>
        <v>61681.220000000008</v>
      </c>
      <c r="AH86" s="26">
        <f>+R86+AA86</f>
        <v>0</v>
      </c>
    </row>
    <row r="87" spans="1:34">
      <c r="A87" t="s">
        <v>1057</v>
      </c>
      <c r="C87" s="5">
        <f>+'Service Count Data'!$X$232</f>
        <v>0</v>
      </c>
      <c r="D87" s="138">
        <v>24.15</v>
      </c>
      <c r="E87" s="5">
        <f>+C87*D87</f>
        <v>0</v>
      </c>
      <c r="F87" s="5">
        <f>+'Service Count Data'!$AD$232</f>
        <v>11041</v>
      </c>
      <c r="G87" s="138">
        <v>24.15</v>
      </c>
      <c r="H87" s="5">
        <f>+F87*G87</f>
        <v>266640.14999999997</v>
      </c>
      <c r="I87" s="140">
        <f>+C87+F87</f>
        <v>11041</v>
      </c>
      <c r="J87" s="139">
        <f>+E87+H87</f>
        <v>266640.14999999997</v>
      </c>
      <c r="L87" s="5">
        <f>+'Service Count Data'!$X$233</f>
        <v>0</v>
      </c>
      <c r="M87" s="138">
        <v>14.8</v>
      </c>
      <c r="N87" s="5">
        <f>+L87*M87</f>
        <v>0</v>
      </c>
      <c r="O87" s="5">
        <f>+'Service Count Data'!$AD$233</f>
        <v>0</v>
      </c>
      <c r="P87" s="138">
        <v>14.8</v>
      </c>
      <c r="Q87" s="5">
        <f>+O87*P87</f>
        <v>0</v>
      </c>
      <c r="R87" s="140">
        <f>+L87+O87</f>
        <v>0</v>
      </c>
      <c r="S87" s="139">
        <f>+N87+Q87</f>
        <v>0</v>
      </c>
      <c r="U87" s="5">
        <f>+'Service Count Data'!$X$234</f>
        <v>0</v>
      </c>
      <c r="V87" s="138">
        <v>14.8</v>
      </c>
      <c r="W87" s="5">
        <f>+U87*V87</f>
        <v>0</v>
      </c>
      <c r="X87" s="5">
        <f>+'Service Count Data'!$AD$234</f>
        <v>0</v>
      </c>
      <c r="Y87" s="138">
        <v>14.8</v>
      </c>
      <c r="Z87" s="5">
        <f>+X87*Y87</f>
        <v>0</v>
      </c>
      <c r="AA87" s="140">
        <f>+U87+X87</f>
        <v>0</v>
      </c>
      <c r="AB87" s="139">
        <f>+W87+Z87</f>
        <v>0</v>
      </c>
      <c r="AC87" s="5"/>
      <c r="AE87" s="5">
        <f>+J87+S87+AB87</f>
        <v>266640.14999999997</v>
      </c>
      <c r="AH87" s="26">
        <f>+R87+AA87</f>
        <v>0</v>
      </c>
    </row>
    <row r="88" spans="1:34">
      <c r="A88" s="459" t="s">
        <v>1058</v>
      </c>
      <c r="C88" s="5">
        <f>+'Service Count Data'!$X$238</f>
        <v>0</v>
      </c>
      <c r="D88" s="138">
        <v>15</v>
      </c>
      <c r="E88" s="5">
        <f>+C88*D88</f>
        <v>0</v>
      </c>
      <c r="F88" s="5">
        <f>+'Service Count Data'!$AD$238</f>
        <v>0</v>
      </c>
      <c r="G88" s="138">
        <v>15</v>
      </c>
      <c r="H88" s="5">
        <f>+F88*G88</f>
        <v>0</v>
      </c>
      <c r="I88" s="140">
        <f>+C88+F88</f>
        <v>0</v>
      </c>
      <c r="J88" s="139">
        <f>+E88+H88</f>
        <v>0</v>
      </c>
      <c r="L88" s="5">
        <f>+'Service Count Data'!$X$239</f>
        <v>0</v>
      </c>
      <c r="M88" s="138">
        <v>0</v>
      </c>
      <c r="N88" s="5">
        <f>+L88*M88</f>
        <v>0</v>
      </c>
      <c r="O88" s="5">
        <f>+'Service Count Data'!$AD$239</f>
        <v>0</v>
      </c>
      <c r="P88" s="138">
        <v>0</v>
      </c>
      <c r="Q88" s="5">
        <f>+O88*P88</f>
        <v>0</v>
      </c>
      <c r="R88" s="140">
        <f>+L88+O88</f>
        <v>0</v>
      </c>
      <c r="S88" s="139">
        <f>+N88+Q88</f>
        <v>0</v>
      </c>
      <c r="U88" s="5">
        <f>+'Service Count Data'!$X$240</f>
        <v>0</v>
      </c>
      <c r="V88" s="138">
        <v>0</v>
      </c>
      <c r="W88" s="5">
        <f>+U88*V88</f>
        <v>0</v>
      </c>
      <c r="X88" s="5">
        <f>+'Service Count Data'!$AD$240</f>
        <v>0</v>
      </c>
      <c r="Y88" s="138">
        <v>0</v>
      </c>
      <c r="Z88" s="5">
        <f>+X88*Y88</f>
        <v>0</v>
      </c>
      <c r="AA88" s="140">
        <f>+U88+X88</f>
        <v>0</v>
      </c>
      <c r="AB88" s="139">
        <f>+W88+Z88</f>
        <v>0</v>
      </c>
      <c r="AC88" s="5"/>
      <c r="AE88" s="5">
        <f>+J88+S88+AB88</f>
        <v>0</v>
      </c>
      <c r="AH88" s="26">
        <f>+R88+AA88</f>
        <v>0</v>
      </c>
    </row>
    <row r="89" spans="1:34" ht="13.5" thickBot="1">
      <c r="A89" t="s">
        <v>1059</v>
      </c>
      <c r="C89" s="6">
        <f>+'Service Count Data'!$X$235</f>
        <v>0</v>
      </c>
      <c r="D89" s="138">
        <v>81.5</v>
      </c>
      <c r="E89" s="6">
        <f>+C89*D89</f>
        <v>0</v>
      </c>
      <c r="F89" s="6">
        <f>+'Service Count Data'!$AD$235</f>
        <v>0</v>
      </c>
      <c r="G89" s="138">
        <v>81.5</v>
      </c>
      <c r="H89" s="6">
        <f>+F89*G89</f>
        <v>0</v>
      </c>
      <c r="I89" s="137">
        <f>+C89+F89</f>
        <v>0</v>
      </c>
      <c r="J89" s="136">
        <f>+E89+H89</f>
        <v>0</v>
      </c>
      <c r="L89" s="6">
        <f>+'Service Count Data'!$X$236</f>
        <v>0</v>
      </c>
      <c r="M89" s="138">
        <v>81.5</v>
      </c>
      <c r="N89" s="6">
        <f>+L89*M89</f>
        <v>0</v>
      </c>
      <c r="O89" s="6">
        <f>+'Service Count Data'!$AD$236</f>
        <v>283.91000000000003</v>
      </c>
      <c r="P89" s="138">
        <v>81.5</v>
      </c>
      <c r="Q89" s="6">
        <f>+O89*P89</f>
        <v>23138.665000000001</v>
      </c>
      <c r="R89" s="137">
        <f>+L89+O89</f>
        <v>283.91000000000003</v>
      </c>
      <c r="S89" s="136">
        <f>+N89+Q89</f>
        <v>23138.665000000001</v>
      </c>
      <c r="U89" s="6">
        <f>+'Service Count Data'!$X$237</f>
        <v>0</v>
      </c>
      <c r="V89" s="138">
        <v>81.5</v>
      </c>
      <c r="W89" s="6">
        <f>+U89*V89</f>
        <v>0</v>
      </c>
      <c r="X89" s="6">
        <f>+'Service Count Data'!$AD$237</f>
        <v>1327.84</v>
      </c>
      <c r="Y89" s="138">
        <v>81.5</v>
      </c>
      <c r="Z89" s="6">
        <f>+X89*Y89</f>
        <v>108218.95999999999</v>
      </c>
      <c r="AA89" s="137">
        <f>+U89+X89</f>
        <v>1327.84</v>
      </c>
      <c r="AB89" s="136">
        <f>+W89+Z89</f>
        <v>108218.95999999999</v>
      </c>
      <c r="AC89" s="5"/>
      <c r="AE89" s="5">
        <f>+J89+S89+AB89</f>
        <v>131357.625</v>
      </c>
      <c r="AF89" s="6">
        <f>SUM(AE86:AE89)</f>
        <v>459678.995</v>
      </c>
      <c r="AH89" s="26">
        <f>+R89+AA89</f>
        <v>1611.75</v>
      </c>
    </row>
    <row r="90" spans="1:34">
      <c r="D90" s="51"/>
      <c r="G90" s="51"/>
      <c r="I90" s="101"/>
      <c r="J90" s="99"/>
      <c r="M90" s="51"/>
      <c r="P90" s="51"/>
      <c r="R90" s="101"/>
      <c r="S90" s="99"/>
      <c r="V90" s="51"/>
      <c r="Y90" s="51"/>
      <c r="AA90" s="135"/>
      <c r="AB90" s="134"/>
    </row>
    <row r="91" spans="1:34">
      <c r="C91" s="5">
        <f>SUM(C86:C89)</f>
        <v>0</v>
      </c>
      <c r="D91" s="51"/>
      <c r="E91" s="51">
        <f>SUM(E86:E89)</f>
        <v>0</v>
      </c>
      <c r="F91" s="5">
        <f>SUM(F86:F89)</f>
        <v>12599</v>
      </c>
      <c r="G91" s="51"/>
      <c r="H91" s="51">
        <f>SUM(H86:H89)</f>
        <v>328321.37</v>
      </c>
      <c r="I91" s="133">
        <f>SUM(I86:I89)</f>
        <v>12599</v>
      </c>
      <c r="J91" s="132">
        <f>SUM(J86:J89)</f>
        <v>328321.37</v>
      </c>
      <c r="K91" s="9"/>
      <c r="L91" s="5">
        <f>SUM(L86:L89)</f>
        <v>0</v>
      </c>
      <c r="M91" s="51"/>
      <c r="N91" s="51">
        <f>SUM(N86:N89)</f>
        <v>0</v>
      </c>
      <c r="O91" s="5">
        <f>SUM(O86:O89)</f>
        <v>283.91000000000003</v>
      </c>
      <c r="P91" s="51"/>
      <c r="Q91" s="51">
        <f>SUM(Q86:Q89)</f>
        <v>23138.665000000001</v>
      </c>
      <c r="R91" s="133">
        <f>SUM(R86:R89)</f>
        <v>283.91000000000003</v>
      </c>
      <c r="S91" s="132">
        <f>SUM(S86:S89)</f>
        <v>23138.665000000001</v>
      </c>
      <c r="T91" s="9"/>
      <c r="U91" s="5">
        <f>SUM(U86:U89)</f>
        <v>0</v>
      </c>
      <c r="V91" s="51"/>
      <c r="W91" s="51">
        <f>SUM(W86:W89)</f>
        <v>0</v>
      </c>
      <c r="X91" s="5">
        <f>SUM(X86:X89)</f>
        <v>1327.84</v>
      </c>
      <c r="Y91" s="51"/>
      <c r="Z91" s="51">
        <f>SUM(Z86:Z89)</f>
        <v>108218.95999999999</v>
      </c>
      <c r="AA91" s="133">
        <f>SUM(AA86:AA89)</f>
        <v>1327.84</v>
      </c>
      <c r="AB91" s="132">
        <f>SUM(AB86:AB89)</f>
        <v>108218.95999999999</v>
      </c>
      <c r="AC91" s="51"/>
      <c r="AD91" s="9" t="s">
        <v>1050</v>
      </c>
      <c r="AF91" s="51">
        <f>SUM(AE86:AE89)</f>
        <v>459678.995</v>
      </c>
    </row>
    <row r="93" spans="1:34">
      <c r="AC93" t="s">
        <v>217</v>
      </c>
      <c r="AD93">
        <v>3310</v>
      </c>
      <c r="AF93" s="38">
        <f>'Results of Operations Co'!$C$15</f>
        <v>462056.2</v>
      </c>
    </row>
    <row r="94" spans="1:34" ht="13.5" thickBot="1">
      <c r="AF94" s="40">
        <f>AF91-AF93</f>
        <v>-2377.2050000000163</v>
      </c>
      <c r="AG94" s="9">
        <f>+AF94/AF93</f>
        <v>-5.1448395238501638E-3</v>
      </c>
    </row>
    <row r="95" spans="1:34" ht="13.5" thickTop="1"/>
    <row r="96" spans="1:34">
      <c r="A96" s="459" t="s">
        <v>1060</v>
      </c>
      <c r="C96" s="26">
        <f>+'Service Count Data'!$X$61</f>
        <v>0</v>
      </c>
      <c r="D96" s="92">
        <v>21.83</v>
      </c>
      <c r="E96" s="5">
        <f>+C96*D96</f>
        <v>0</v>
      </c>
      <c r="F96" s="26">
        <f>+'Service Count Data'!$AD$61</f>
        <v>3781.75</v>
      </c>
      <c r="G96" s="92">
        <v>23.97</v>
      </c>
      <c r="H96" s="5">
        <f>+F96*G96</f>
        <v>90648.547500000001</v>
      </c>
      <c r="I96" s="140">
        <f>+C96+F96</f>
        <v>3781.75</v>
      </c>
      <c r="J96" s="139">
        <f>+E96+H96</f>
        <v>90648.547500000001</v>
      </c>
      <c r="L96" s="26">
        <f>+'Service Count Data'!$X$62</f>
        <v>0</v>
      </c>
      <c r="M96" s="106">
        <v>0</v>
      </c>
      <c r="N96" s="5">
        <f>+L96*M96</f>
        <v>0</v>
      </c>
      <c r="O96" s="26">
        <f>+'Service Count Data'!$AD$62</f>
        <v>0</v>
      </c>
      <c r="P96" s="106">
        <v>0</v>
      </c>
      <c r="Q96" s="5">
        <f>+O96*P96</f>
        <v>0</v>
      </c>
      <c r="R96" s="140">
        <f>+L96+O96</f>
        <v>0</v>
      </c>
      <c r="S96" s="139">
        <f>+N96+Q96</f>
        <v>0</v>
      </c>
      <c r="U96" s="26">
        <f>+'Service Count Data'!$X$63</f>
        <v>0</v>
      </c>
      <c r="V96" s="106">
        <v>0</v>
      </c>
      <c r="W96" s="5">
        <f>+U96*V96</f>
        <v>0</v>
      </c>
      <c r="X96" s="26">
        <f>+'Service Count Data'!$AD$63</f>
        <v>0</v>
      </c>
      <c r="Y96" s="106">
        <v>0</v>
      </c>
      <c r="Z96" s="5">
        <f>+X96*Y96</f>
        <v>0</v>
      </c>
      <c r="AA96" s="140">
        <f>+U96+X96</f>
        <v>0</v>
      </c>
      <c r="AB96" s="139">
        <f>+W96+Z96</f>
        <v>0</v>
      </c>
      <c r="AC96" s="26">
        <f>+R96+AA96</f>
        <v>0</v>
      </c>
      <c r="AD96" s="26">
        <f>+I96+R96+AA96</f>
        <v>3781.75</v>
      </c>
      <c r="AE96" s="5">
        <f>+J96+S96+AB96</f>
        <v>90648.547500000001</v>
      </c>
      <c r="AF96" s="5">
        <f>AE96</f>
        <v>90648.547500000001</v>
      </c>
      <c r="AH96" s="26">
        <f>+R96+AA96</f>
        <v>0</v>
      </c>
    </row>
    <row r="98" spans="1:33">
      <c r="A98" s="459" t="s">
        <v>1061</v>
      </c>
      <c r="F98" s="80">
        <v>2973</v>
      </c>
      <c r="I98" s="505">
        <f>+C98+F98</f>
        <v>2973</v>
      </c>
      <c r="AC98" t="s">
        <v>217</v>
      </c>
      <c r="AD98">
        <v>3340</v>
      </c>
      <c r="AF98" s="38">
        <f>'Results of Operations Co'!C16</f>
        <v>90645.74</v>
      </c>
    </row>
    <row r="99" spans="1:33" ht="13.5" thickBot="1">
      <c r="AF99" s="40">
        <f>AF96-AF98</f>
        <v>2.8074999999953434</v>
      </c>
      <c r="AG99" s="9">
        <f>+AF99/AF98</f>
        <v>3.0972222191526518E-5</v>
      </c>
    </row>
    <row r="100" spans="1:33" ht="13.5" thickTop="1">
      <c r="C100" s="468"/>
      <c r="D100" s="147"/>
      <c r="E100" s="147"/>
      <c r="F100" s="147"/>
      <c r="G100" s="147"/>
      <c r="H100" s="147"/>
      <c r="I100" s="147"/>
      <c r="J100" s="147"/>
      <c r="K100" s="147"/>
    </row>
  </sheetData>
  <pageMargins left="0" right="0" top="0.5" bottom="0.5" header="0.05" footer="0.05"/>
  <pageSetup scale="3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59999389629810485"/>
    <pageSetUpPr fitToPage="1"/>
  </sheetPr>
  <dimension ref="A1:AC90"/>
  <sheetViews>
    <sheetView workbookViewId="0">
      <selection activeCell="A3" sqref="A3"/>
    </sheetView>
  </sheetViews>
  <sheetFormatPr defaultRowHeight="12.75"/>
  <cols>
    <col min="5" max="5" width="13.140625" customWidth="1"/>
    <col min="8" max="8" width="13.85546875" customWidth="1"/>
    <col min="9" max="9" width="12.85546875" customWidth="1"/>
    <col min="13" max="13" width="11.7109375" customWidth="1"/>
    <col min="16" max="16" width="11.7109375" customWidth="1"/>
    <col min="17" max="17" width="12.7109375" customWidth="1"/>
    <col min="21" max="21" width="11.42578125" customWidth="1"/>
    <col min="24" max="24" width="11.28515625" customWidth="1"/>
    <col min="25" max="25" width="12" customWidth="1"/>
    <col min="27" max="27" width="11.140625" customWidth="1"/>
    <col min="28" max="28" width="12.140625" customWidth="1"/>
  </cols>
  <sheetData>
    <row r="1" spans="1:27">
      <c r="A1" t="s">
        <v>4</v>
      </c>
    </row>
    <row r="2" spans="1:27">
      <c r="A2" t="s">
        <v>1137</v>
      </c>
      <c r="F2" s="459" t="s">
        <v>11</v>
      </c>
      <c r="G2" s="462" t="s">
        <v>1074</v>
      </c>
      <c r="H2" t="s">
        <v>1138</v>
      </c>
    </row>
    <row r="3" spans="1:27">
      <c r="A3" s="465" t="s">
        <v>9</v>
      </c>
      <c r="H3" t="s">
        <v>1139</v>
      </c>
    </row>
    <row r="5" spans="1:27">
      <c r="C5" s="813" t="s">
        <v>1140</v>
      </c>
      <c r="D5" s="813"/>
      <c r="E5" s="813"/>
      <c r="F5" s="813" t="s">
        <v>1141</v>
      </c>
      <c r="G5" s="813"/>
      <c r="H5" s="813"/>
      <c r="I5" s="529" t="s">
        <v>222</v>
      </c>
      <c r="K5" s="813" t="s">
        <v>1140</v>
      </c>
      <c r="L5" s="813"/>
      <c r="M5" s="813"/>
      <c r="N5" s="813" t="s">
        <v>1141</v>
      </c>
      <c r="O5" s="813"/>
      <c r="P5" s="813"/>
      <c r="Q5" s="529" t="s">
        <v>223</v>
      </c>
      <c r="S5" s="813" t="s">
        <v>1140</v>
      </c>
      <c r="T5" s="813"/>
      <c r="U5" s="813"/>
      <c r="V5" s="813" t="s">
        <v>1141</v>
      </c>
      <c r="W5" s="813"/>
      <c r="X5" s="813"/>
      <c r="Y5" s="529" t="s">
        <v>224</v>
      </c>
      <c r="AA5" s="529" t="s">
        <v>112</v>
      </c>
    </row>
    <row r="6" spans="1:27" ht="13.5" thickBot="1">
      <c r="C6" s="102" t="s">
        <v>1142</v>
      </c>
      <c r="D6" s="4"/>
      <c r="E6" s="4"/>
      <c r="F6" s="102" t="s">
        <v>1143</v>
      </c>
      <c r="G6" s="4"/>
      <c r="H6" s="4"/>
      <c r="I6" s="529" t="s">
        <v>1000</v>
      </c>
      <c r="K6" s="102" t="s">
        <v>991</v>
      </c>
      <c r="L6" s="4"/>
      <c r="M6" s="4"/>
      <c r="N6" s="102" t="s">
        <v>991</v>
      </c>
      <c r="O6" s="4"/>
      <c r="P6" s="4"/>
      <c r="Q6" s="529" t="s">
        <v>1000</v>
      </c>
      <c r="S6" s="102" t="s">
        <v>1043</v>
      </c>
      <c r="T6" s="4"/>
      <c r="U6" s="4"/>
      <c r="V6" s="102" t="s">
        <v>1043</v>
      </c>
      <c r="W6" s="4"/>
      <c r="X6" s="4"/>
      <c r="Y6" s="529" t="s">
        <v>1000</v>
      </c>
      <c r="AA6" s="529" t="s">
        <v>1144</v>
      </c>
    </row>
    <row r="7" spans="1:27" ht="13.5" thickBot="1">
      <c r="C7" s="467" t="s">
        <v>1145</v>
      </c>
      <c r="D7" s="4"/>
      <c r="E7" s="4"/>
      <c r="F7" s="467" t="str">
        <f>+C7</f>
        <v xml:space="preserve">  October 2021 - September 2022</v>
      </c>
      <c r="G7" s="4"/>
      <c r="H7" s="4"/>
      <c r="I7" s="529" t="s">
        <v>1144</v>
      </c>
      <c r="K7" s="467" t="str">
        <f>+C7</f>
        <v xml:space="preserve">  October 2021 - September 2022</v>
      </c>
      <c r="L7" s="4"/>
      <c r="M7" s="4"/>
      <c r="N7" s="467" t="str">
        <f>+F7</f>
        <v xml:space="preserve">  October 2021 - September 2022</v>
      </c>
      <c r="O7" s="4"/>
      <c r="P7" s="4"/>
      <c r="Q7" s="529" t="s">
        <v>1144</v>
      </c>
      <c r="S7" s="467" t="str">
        <f>+K7</f>
        <v xml:space="preserve">  October 2021 - September 2022</v>
      </c>
      <c r="T7" s="4"/>
      <c r="U7" s="4"/>
      <c r="V7" s="467" t="str">
        <f>+N7</f>
        <v xml:space="preserve">  October 2021 - September 2022</v>
      </c>
      <c r="W7" s="4"/>
      <c r="X7" s="4"/>
      <c r="Y7" s="529" t="s">
        <v>1144</v>
      </c>
      <c r="AA7" s="529" t="s">
        <v>369</v>
      </c>
    </row>
    <row r="8" spans="1:27">
      <c r="C8" s="530"/>
      <c r="D8" s="530" t="s">
        <v>1146</v>
      </c>
      <c r="E8" s="530"/>
      <c r="F8" s="530"/>
      <c r="G8" s="530" t="s">
        <v>21</v>
      </c>
      <c r="H8" s="530"/>
      <c r="I8" s="188" t="s">
        <v>227</v>
      </c>
      <c r="K8" s="530"/>
      <c r="L8" s="530" t="s">
        <v>1146</v>
      </c>
      <c r="M8" s="530"/>
      <c r="N8" s="530"/>
      <c r="O8" s="530" t="s">
        <v>21</v>
      </c>
      <c r="P8" s="530"/>
      <c r="Q8" s="188" t="s">
        <v>227</v>
      </c>
      <c r="S8" s="530"/>
      <c r="T8" s="530"/>
      <c r="U8" s="530"/>
      <c r="V8" s="530"/>
      <c r="W8" s="530"/>
      <c r="X8" s="530"/>
      <c r="Y8" s="188" t="s">
        <v>227</v>
      </c>
      <c r="Z8" s="530"/>
      <c r="AA8" s="529" t="s">
        <v>227</v>
      </c>
    </row>
    <row r="9" spans="1:27" ht="13.5" thickBot="1">
      <c r="A9" s="4" t="s">
        <v>25</v>
      </c>
      <c r="B9" s="4"/>
      <c r="C9" s="18" t="s">
        <v>7</v>
      </c>
      <c r="D9" s="18" t="s">
        <v>26</v>
      </c>
      <c r="E9" s="18" t="s">
        <v>27</v>
      </c>
      <c r="F9" s="18" t="s">
        <v>7</v>
      </c>
      <c r="G9" s="18" t="s">
        <v>26</v>
      </c>
      <c r="H9" s="18" t="s">
        <v>27</v>
      </c>
      <c r="I9" s="187" t="s">
        <v>27</v>
      </c>
      <c r="K9" s="18" t="s">
        <v>7</v>
      </c>
      <c r="L9" s="18" t="s">
        <v>26</v>
      </c>
      <c r="M9" s="18" t="s">
        <v>27</v>
      </c>
      <c r="N9" s="18" t="s">
        <v>7</v>
      </c>
      <c r="O9" s="18" t="s">
        <v>26</v>
      </c>
      <c r="P9" s="18" t="s">
        <v>27</v>
      </c>
      <c r="Q9" s="187" t="s">
        <v>27</v>
      </c>
      <c r="S9" s="18" t="s">
        <v>7</v>
      </c>
      <c r="T9" s="18" t="s">
        <v>26</v>
      </c>
      <c r="U9" s="18" t="s">
        <v>27</v>
      </c>
      <c r="V9" s="18" t="s">
        <v>7</v>
      </c>
      <c r="W9" s="18" t="s">
        <v>26</v>
      </c>
      <c r="X9" s="18" t="s">
        <v>27</v>
      </c>
      <c r="Y9" s="187" t="s">
        <v>27</v>
      </c>
      <c r="Z9" s="530"/>
      <c r="AA9" s="528" t="s">
        <v>112</v>
      </c>
    </row>
    <row r="10" spans="1:27">
      <c r="A10" t="s">
        <v>30</v>
      </c>
      <c r="I10" s="99"/>
      <c r="Q10" s="99"/>
      <c r="Y10" s="99"/>
    </row>
    <row r="11" spans="1:27">
      <c r="A11" t="s">
        <v>31</v>
      </c>
      <c r="C11" s="26">
        <f>'Service Counts'!C10</f>
        <v>0</v>
      </c>
      <c r="D11" s="62">
        <f>'Service Counts'!D10</f>
        <v>16.149999999999999</v>
      </c>
      <c r="E11" s="51">
        <f t="shared" ref="E11:E30" si="0">+C11*D11</f>
        <v>0</v>
      </c>
      <c r="F11" s="26">
        <f t="shared" ref="F11:F30" si="1">+C11</f>
        <v>0</v>
      </c>
      <c r="G11" s="62">
        <f>'Service Counts'!G10</f>
        <v>16.54</v>
      </c>
      <c r="H11" s="51">
        <f t="shared" ref="H11:H30" si="2">+F11*G11</f>
        <v>0</v>
      </c>
      <c r="I11" s="132">
        <f t="shared" ref="I11:I30" si="3">+H11-E11</f>
        <v>0</v>
      </c>
      <c r="K11" s="184">
        <f>'Service Counts'!L10</f>
        <v>0</v>
      </c>
      <c r="L11" s="62">
        <f>'Service Counts'!M10</f>
        <v>13.65</v>
      </c>
      <c r="M11" s="51">
        <f t="shared" ref="M11:M30" si="4">+K11*L11</f>
        <v>0</v>
      </c>
      <c r="N11" s="184">
        <f t="shared" ref="N11:N30" si="5">+K11</f>
        <v>0</v>
      </c>
      <c r="O11" s="62">
        <f>'Service Counts'!P10</f>
        <v>13.65</v>
      </c>
      <c r="P11" s="51">
        <f t="shared" ref="P11:P30" si="6">+N11*O11</f>
        <v>0</v>
      </c>
      <c r="Q11" s="132">
        <f t="shared" ref="Q11:Q30" si="7">+P11-M11</f>
        <v>0</v>
      </c>
      <c r="S11" s="184">
        <f>'Service Counts'!U10</f>
        <v>0</v>
      </c>
      <c r="T11" s="62">
        <f>'Service Counts'!V10</f>
        <v>13.65</v>
      </c>
      <c r="U11" s="51">
        <f t="shared" ref="U11:U30" si="8">+S11*T11</f>
        <v>0</v>
      </c>
      <c r="V11" s="184">
        <f t="shared" ref="V11:V30" si="9">+S11</f>
        <v>0</v>
      </c>
      <c r="W11" s="62">
        <f>'Service Counts'!Y10</f>
        <v>13.65</v>
      </c>
      <c r="X11" s="51">
        <f t="shared" ref="X11:X30" si="10">+V11*W11</f>
        <v>0</v>
      </c>
      <c r="Y11" s="132">
        <f t="shared" ref="Y11:Y30" si="11">+X11-U11</f>
        <v>0</v>
      </c>
      <c r="Z11" s="51"/>
      <c r="AA11" s="51">
        <f t="shared" ref="AA11:AA30" si="12">+I11+Q11+Y11</f>
        <v>0</v>
      </c>
    </row>
    <row r="12" spans="1:27">
      <c r="A12" t="s">
        <v>84</v>
      </c>
      <c r="C12" s="26">
        <f>'Service Counts'!C11</f>
        <v>0</v>
      </c>
      <c r="D12" s="62">
        <f>'Service Counts'!D11</f>
        <v>9.5</v>
      </c>
      <c r="E12" s="51">
        <f t="shared" si="0"/>
        <v>0</v>
      </c>
      <c r="F12" s="26">
        <f t="shared" si="1"/>
        <v>0</v>
      </c>
      <c r="G12" s="62">
        <f>'Service Counts'!G11</f>
        <v>9.73</v>
      </c>
      <c r="H12" s="51">
        <f t="shared" si="2"/>
        <v>0</v>
      </c>
      <c r="I12" s="139">
        <f t="shared" si="3"/>
        <v>0</v>
      </c>
      <c r="K12" s="184">
        <f>'Service Counts'!L11</f>
        <v>0</v>
      </c>
      <c r="L12" s="62">
        <f>'Service Counts'!M11</f>
        <v>8.75</v>
      </c>
      <c r="M12" s="51">
        <f t="shared" si="4"/>
        <v>0</v>
      </c>
      <c r="N12" s="184">
        <f t="shared" si="5"/>
        <v>0</v>
      </c>
      <c r="O12" s="62">
        <f>'Service Counts'!P11</f>
        <v>8.75</v>
      </c>
      <c r="P12" s="51">
        <f t="shared" si="6"/>
        <v>0</v>
      </c>
      <c r="Q12" s="139">
        <f t="shared" si="7"/>
        <v>0</v>
      </c>
      <c r="S12" s="184">
        <f>'Service Counts'!U11</f>
        <v>0</v>
      </c>
      <c r="T12" s="62">
        <f>'Service Counts'!V11</f>
        <v>8.75</v>
      </c>
      <c r="U12" s="51">
        <f t="shared" si="8"/>
        <v>0</v>
      </c>
      <c r="V12" s="184">
        <f t="shared" si="9"/>
        <v>0</v>
      </c>
      <c r="W12" s="62">
        <f>'Service Counts'!Y11</f>
        <v>8.75</v>
      </c>
      <c r="X12" s="51">
        <f t="shared" si="10"/>
        <v>0</v>
      </c>
      <c r="Y12" s="139">
        <f t="shared" si="11"/>
        <v>0</v>
      </c>
      <c r="Z12" s="51"/>
      <c r="AA12" s="5">
        <f t="shared" si="12"/>
        <v>0</v>
      </c>
    </row>
    <row r="13" spans="1:27">
      <c r="A13" t="s">
        <v>32</v>
      </c>
      <c r="C13" s="26">
        <f>'Service Counts'!C12</f>
        <v>0</v>
      </c>
      <c r="D13" s="62">
        <f>'Service Counts'!D12</f>
        <v>19.850000000000001</v>
      </c>
      <c r="E13" s="5">
        <f t="shared" si="0"/>
        <v>0</v>
      </c>
      <c r="F13" s="26">
        <f t="shared" si="1"/>
        <v>0</v>
      </c>
      <c r="G13" s="62">
        <f>'Service Counts'!G12</f>
        <v>20.329999999999998</v>
      </c>
      <c r="H13" s="5">
        <f t="shared" si="2"/>
        <v>0</v>
      </c>
      <c r="I13" s="139">
        <f t="shared" si="3"/>
        <v>0</v>
      </c>
      <c r="K13" s="184">
        <f>'Service Counts'!L12</f>
        <v>0</v>
      </c>
      <c r="L13" s="62">
        <f>'Service Counts'!M12</f>
        <v>16.350000000000001</v>
      </c>
      <c r="M13" s="5">
        <f t="shared" si="4"/>
        <v>0</v>
      </c>
      <c r="N13" s="184">
        <f t="shared" si="5"/>
        <v>0</v>
      </c>
      <c r="O13" s="62">
        <f>'Service Counts'!P12</f>
        <v>16.350000000000001</v>
      </c>
      <c r="P13" s="5">
        <f t="shared" si="6"/>
        <v>0</v>
      </c>
      <c r="Q13" s="139">
        <f t="shared" si="7"/>
        <v>0</v>
      </c>
      <c r="S13" s="184">
        <f>'Service Counts'!U12</f>
        <v>0</v>
      </c>
      <c r="T13" s="62">
        <f>'Service Counts'!V12</f>
        <v>16.350000000000001</v>
      </c>
      <c r="U13" s="5">
        <f t="shared" si="8"/>
        <v>0</v>
      </c>
      <c r="V13" s="184">
        <f t="shared" si="9"/>
        <v>0</v>
      </c>
      <c r="W13" s="62">
        <f>'Service Counts'!Y12</f>
        <v>16.350000000000001</v>
      </c>
      <c r="X13" s="5">
        <f t="shared" si="10"/>
        <v>0</v>
      </c>
      <c r="Y13" s="139">
        <f t="shared" si="11"/>
        <v>0</v>
      </c>
      <c r="Z13" s="5"/>
      <c r="AA13" s="5">
        <f t="shared" si="12"/>
        <v>0</v>
      </c>
    </row>
    <row r="14" spans="1:27">
      <c r="A14" t="s">
        <v>33</v>
      </c>
      <c r="C14" s="26">
        <f>'Service Counts'!C13</f>
        <v>0</v>
      </c>
      <c r="D14" s="62">
        <f>'Service Counts'!D13</f>
        <v>24.4</v>
      </c>
      <c r="E14" s="5">
        <f t="shared" si="0"/>
        <v>0</v>
      </c>
      <c r="F14" s="26">
        <f t="shared" si="1"/>
        <v>0</v>
      </c>
      <c r="G14" s="62">
        <f>'Service Counts'!G13</f>
        <v>24.98</v>
      </c>
      <c r="H14" s="5">
        <f t="shared" si="2"/>
        <v>0</v>
      </c>
      <c r="I14" s="139">
        <f t="shared" si="3"/>
        <v>0</v>
      </c>
      <c r="K14" s="184">
        <f>'Service Counts'!L13</f>
        <v>0</v>
      </c>
      <c r="L14" s="62">
        <f>'Service Counts'!M13</f>
        <v>20.55</v>
      </c>
      <c r="M14" s="5">
        <f t="shared" si="4"/>
        <v>0</v>
      </c>
      <c r="N14" s="184">
        <f t="shared" si="5"/>
        <v>0</v>
      </c>
      <c r="O14" s="62">
        <f>'Service Counts'!P13</f>
        <v>20.55</v>
      </c>
      <c r="P14" s="5">
        <f t="shared" si="6"/>
        <v>0</v>
      </c>
      <c r="Q14" s="139">
        <f t="shared" si="7"/>
        <v>0</v>
      </c>
      <c r="S14" s="184">
        <f>'Service Counts'!U13</f>
        <v>0</v>
      </c>
      <c r="T14" s="62">
        <f>'Service Counts'!V13</f>
        <v>20.55</v>
      </c>
      <c r="U14" s="5">
        <f t="shared" si="8"/>
        <v>0</v>
      </c>
      <c r="V14" s="184">
        <f t="shared" si="9"/>
        <v>0</v>
      </c>
      <c r="W14" s="62">
        <f>'Service Counts'!Y13</f>
        <v>20.55</v>
      </c>
      <c r="X14" s="5">
        <f t="shared" si="10"/>
        <v>0</v>
      </c>
      <c r="Y14" s="139">
        <f t="shared" si="11"/>
        <v>0</v>
      </c>
      <c r="Z14" s="5"/>
      <c r="AA14" s="5">
        <f t="shared" si="12"/>
        <v>0</v>
      </c>
    </row>
    <row r="15" spans="1:27">
      <c r="A15" t="s">
        <v>34</v>
      </c>
      <c r="C15" s="26">
        <f>'Service Counts'!C14</f>
        <v>0</v>
      </c>
      <c r="D15" s="62">
        <f>'Service Counts'!D14</f>
        <v>30.6</v>
      </c>
      <c r="E15" s="5">
        <f t="shared" si="0"/>
        <v>0</v>
      </c>
      <c r="F15" s="26">
        <f t="shared" si="1"/>
        <v>0</v>
      </c>
      <c r="G15" s="62">
        <f>'Service Counts'!G14</f>
        <v>31.33</v>
      </c>
      <c r="H15" s="5">
        <f t="shared" si="2"/>
        <v>0</v>
      </c>
      <c r="I15" s="139">
        <f t="shared" si="3"/>
        <v>0</v>
      </c>
      <c r="K15" s="184">
        <f>'Service Counts'!L14</f>
        <v>0</v>
      </c>
      <c r="L15" s="62">
        <f>'Service Counts'!M14</f>
        <v>24.25</v>
      </c>
      <c r="M15" s="5">
        <f t="shared" si="4"/>
        <v>0</v>
      </c>
      <c r="N15" s="184">
        <f t="shared" si="5"/>
        <v>0</v>
      </c>
      <c r="O15" s="62">
        <f>'Service Counts'!P14</f>
        <v>24.25</v>
      </c>
      <c r="P15" s="5">
        <f t="shared" si="6"/>
        <v>0</v>
      </c>
      <c r="Q15" s="139">
        <f t="shared" si="7"/>
        <v>0</v>
      </c>
      <c r="S15" s="184">
        <f>'Service Counts'!U14</f>
        <v>0</v>
      </c>
      <c r="T15" s="62">
        <f>'Service Counts'!V14</f>
        <v>24.25</v>
      </c>
      <c r="U15" s="5">
        <f t="shared" si="8"/>
        <v>0</v>
      </c>
      <c r="V15" s="184">
        <f t="shared" si="9"/>
        <v>0</v>
      </c>
      <c r="W15" s="62">
        <f>'Service Counts'!Y14</f>
        <v>24.25</v>
      </c>
      <c r="X15" s="5">
        <f t="shared" si="10"/>
        <v>0</v>
      </c>
      <c r="Y15" s="139">
        <f t="shared" si="11"/>
        <v>0</v>
      </c>
      <c r="Z15" s="5"/>
      <c r="AA15" s="5">
        <f t="shared" si="12"/>
        <v>0</v>
      </c>
    </row>
    <row r="16" spans="1:27">
      <c r="A16" t="s">
        <v>35</v>
      </c>
      <c r="C16" s="26">
        <f>'Service Counts'!C15</f>
        <v>0</v>
      </c>
      <c r="D16" s="62">
        <f>'Service Counts'!D15</f>
        <v>37.25</v>
      </c>
      <c r="E16" s="5">
        <f t="shared" si="0"/>
        <v>0</v>
      </c>
      <c r="F16" s="26">
        <f t="shared" si="1"/>
        <v>0</v>
      </c>
      <c r="G16" s="62">
        <f>'Service Counts'!G15</f>
        <v>38.14</v>
      </c>
      <c r="H16" s="5">
        <f t="shared" si="2"/>
        <v>0</v>
      </c>
      <c r="I16" s="139">
        <f t="shared" si="3"/>
        <v>0</v>
      </c>
      <c r="K16" s="184">
        <f>'Service Counts'!L15</f>
        <v>0</v>
      </c>
      <c r="L16" s="62">
        <f>'Service Counts'!M15</f>
        <v>27.75</v>
      </c>
      <c r="M16" s="5">
        <f t="shared" si="4"/>
        <v>0</v>
      </c>
      <c r="N16" s="184">
        <f t="shared" si="5"/>
        <v>0</v>
      </c>
      <c r="O16" s="62">
        <f>'Service Counts'!P15</f>
        <v>27.75</v>
      </c>
      <c r="P16" s="5">
        <f t="shared" si="6"/>
        <v>0</v>
      </c>
      <c r="Q16" s="139">
        <f t="shared" si="7"/>
        <v>0</v>
      </c>
      <c r="S16" s="184">
        <f>'Service Counts'!U15</f>
        <v>0</v>
      </c>
      <c r="T16" s="62">
        <f>'Service Counts'!V15</f>
        <v>27.75</v>
      </c>
      <c r="U16" s="5">
        <f t="shared" si="8"/>
        <v>0</v>
      </c>
      <c r="V16" s="184">
        <f t="shared" si="9"/>
        <v>0</v>
      </c>
      <c r="W16" s="62">
        <f>'Service Counts'!Y15</f>
        <v>27.75</v>
      </c>
      <c r="X16" s="5">
        <f t="shared" si="10"/>
        <v>0</v>
      </c>
      <c r="Y16" s="139">
        <f t="shared" si="11"/>
        <v>0</v>
      </c>
      <c r="Z16" s="5"/>
      <c r="AA16" s="5">
        <f t="shared" si="12"/>
        <v>0</v>
      </c>
    </row>
    <row r="17" spans="1:28">
      <c r="A17" t="s">
        <v>36</v>
      </c>
      <c r="C17" s="26">
        <f>'Service Counts'!C16</f>
        <v>0</v>
      </c>
      <c r="D17" s="62">
        <f>'Service Counts'!D16</f>
        <v>42.45</v>
      </c>
      <c r="E17" s="5">
        <f t="shared" si="0"/>
        <v>0</v>
      </c>
      <c r="F17" s="26">
        <f t="shared" si="1"/>
        <v>0</v>
      </c>
      <c r="G17" s="62">
        <f>'Service Counts'!G16</f>
        <v>43.47</v>
      </c>
      <c r="H17" s="5">
        <f t="shared" si="2"/>
        <v>0</v>
      </c>
      <c r="I17" s="139">
        <f t="shared" si="3"/>
        <v>0</v>
      </c>
      <c r="K17" s="184">
        <f>'Service Counts'!L16</f>
        <v>0</v>
      </c>
      <c r="L17" s="62">
        <f>'Service Counts'!M16</f>
        <v>33.25</v>
      </c>
      <c r="M17" s="5">
        <f t="shared" si="4"/>
        <v>0</v>
      </c>
      <c r="N17" s="184">
        <f t="shared" si="5"/>
        <v>0</v>
      </c>
      <c r="O17" s="62">
        <f>'Service Counts'!P16</f>
        <v>33.25</v>
      </c>
      <c r="P17" s="5">
        <f t="shared" si="6"/>
        <v>0</v>
      </c>
      <c r="Q17" s="139">
        <f t="shared" si="7"/>
        <v>0</v>
      </c>
      <c r="S17" s="184">
        <f>'Service Counts'!U16</f>
        <v>0</v>
      </c>
      <c r="T17" s="62">
        <f>'Service Counts'!V16</f>
        <v>33.25</v>
      </c>
      <c r="U17" s="5">
        <f t="shared" si="8"/>
        <v>0</v>
      </c>
      <c r="V17" s="184">
        <f t="shared" si="9"/>
        <v>0</v>
      </c>
      <c r="W17" s="62">
        <f>'Service Counts'!Y16</f>
        <v>33.25</v>
      </c>
      <c r="X17" s="5">
        <f t="shared" si="10"/>
        <v>0</v>
      </c>
      <c r="Y17" s="139">
        <f t="shared" si="11"/>
        <v>0</v>
      </c>
      <c r="Z17" s="5"/>
      <c r="AA17" s="5">
        <f t="shared" si="12"/>
        <v>0</v>
      </c>
    </row>
    <row r="18" spans="1:28">
      <c r="A18" t="s">
        <v>37</v>
      </c>
      <c r="C18" s="26">
        <f>'Service Counts'!C17</f>
        <v>0</v>
      </c>
      <c r="D18" s="62">
        <f>'Service Counts'!D17</f>
        <v>49</v>
      </c>
      <c r="E18" s="5">
        <f t="shared" si="0"/>
        <v>0</v>
      </c>
      <c r="F18" s="26">
        <f t="shared" si="1"/>
        <v>0</v>
      </c>
      <c r="G18" s="62">
        <f>'Service Counts'!G17</f>
        <v>50.17</v>
      </c>
      <c r="H18" s="5">
        <f t="shared" si="2"/>
        <v>0</v>
      </c>
      <c r="I18" s="139">
        <f t="shared" si="3"/>
        <v>0</v>
      </c>
      <c r="K18" s="184">
        <f>'Service Counts'!L17</f>
        <v>0</v>
      </c>
      <c r="L18" s="62">
        <f>'Service Counts'!M17</f>
        <v>36.85</v>
      </c>
      <c r="M18" s="5">
        <f t="shared" si="4"/>
        <v>0</v>
      </c>
      <c r="N18" s="184">
        <f t="shared" si="5"/>
        <v>0</v>
      </c>
      <c r="O18" s="62">
        <f>'Service Counts'!P17</f>
        <v>36.85</v>
      </c>
      <c r="P18" s="5">
        <f t="shared" si="6"/>
        <v>0</v>
      </c>
      <c r="Q18" s="139">
        <f t="shared" si="7"/>
        <v>0</v>
      </c>
      <c r="S18" s="184">
        <f>'Service Counts'!U17</f>
        <v>0</v>
      </c>
      <c r="T18" s="62">
        <f>'Service Counts'!V17</f>
        <v>36.85</v>
      </c>
      <c r="U18" s="5">
        <f t="shared" si="8"/>
        <v>0</v>
      </c>
      <c r="V18" s="184">
        <f t="shared" si="9"/>
        <v>0</v>
      </c>
      <c r="W18" s="62">
        <f>'Service Counts'!Y17</f>
        <v>36.85</v>
      </c>
      <c r="X18" s="5">
        <f t="shared" si="10"/>
        <v>0</v>
      </c>
      <c r="Y18" s="139">
        <f t="shared" si="11"/>
        <v>0</v>
      </c>
      <c r="Z18" s="5"/>
      <c r="AA18" s="5">
        <f t="shared" si="12"/>
        <v>0</v>
      </c>
    </row>
    <row r="19" spans="1:28">
      <c r="A19" s="459" t="s">
        <v>1147</v>
      </c>
      <c r="C19" s="26">
        <f>'Service Counts'!C18</f>
        <v>0</v>
      </c>
      <c r="D19" s="62">
        <f>'Service Counts'!D18</f>
        <v>13.15</v>
      </c>
      <c r="E19" s="5">
        <f>+C19*D19</f>
        <v>0</v>
      </c>
      <c r="F19" s="26">
        <f>+C19</f>
        <v>0</v>
      </c>
      <c r="G19" s="62">
        <f>'Service Counts'!G18</f>
        <v>13.47</v>
      </c>
      <c r="H19" s="5">
        <f>+F19*G19</f>
        <v>0</v>
      </c>
      <c r="I19" s="139">
        <f>+H19-E19</f>
        <v>0</v>
      </c>
      <c r="K19" s="184">
        <f>'Service Counts'!L18</f>
        <v>0</v>
      </c>
      <c r="L19" s="62">
        <f>'Service Counts'!M18</f>
        <v>0</v>
      </c>
      <c r="M19" s="5">
        <f>+K19*L19</f>
        <v>0</v>
      </c>
      <c r="N19" s="184">
        <f>+K19</f>
        <v>0</v>
      </c>
      <c r="O19" s="62">
        <f>'Service Counts'!P18</f>
        <v>0</v>
      </c>
      <c r="P19" s="5">
        <f>+N19*O19</f>
        <v>0</v>
      </c>
      <c r="Q19" s="139">
        <f>+P19-M19</f>
        <v>0</v>
      </c>
      <c r="S19" s="184">
        <f>'Service Counts'!U18</f>
        <v>0</v>
      </c>
      <c r="T19" s="62">
        <f>'Service Counts'!V18</f>
        <v>0</v>
      </c>
      <c r="U19" s="5">
        <f>+S19*T19</f>
        <v>0</v>
      </c>
      <c r="V19" s="184">
        <f>+S19</f>
        <v>0</v>
      </c>
      <c r="W19" s="62">
        <f>'Service Counts'!Y18</f>
        <v>0</v>
      </c>
      <c r="X19" s="5">
        <f>+V19*W19</f>
        <v>0</v>
      </c>
      <c r="Y19" s="139">
        <f>+X19-U19</f>
        <v>0</v>
      </c>
      <c r="Z19" s="5"/>
      <c r="AA19" s="5">
        <f>+I19+Q19+Y19</f>
        <v>0</v>
      </c>
    </row>
    <row r="20" spans="1:28">
      <c r="A20" s="459" t="s">
        <v>39</v>
      </c>
      <c r="C20" s="26">
        <f>'Service Counts'!C19</f>
        <v>0</v>
      </c>
      <c r="D20" s="62">
        <f>'Service Counts'!D19</f>
        <v>19.850000000000001</v>
      </c>
      <c r="E20" s="5">
        <f>+C20*D20</f>
        <v>0</v>
      </c>
      <c r="F20" s="26">
        <f>+C20</f>
        <v>0</v>
      </c>
      <c r="G20" s="62">
        <f>'Service Counts'!G19</f>
        <v>20.329999999999998</v>
      </c>
      <c r="H20" s="5">
        <f>+F20*G20</f>
        <v>0</v>
      </c>
      <c r="I20" s="139">
        <f>+H20-E20</f>
        <v>0</v>
      </c>
      <c r="K20" s="184">
        <f>'Service Counts'!L19</f>
        <v>0</v>
      </c>
      <c r="L20" s="62">
        <f>'Service Counts'!M19</f>
        <v>0</v>
      </c>
      <c r="M20" s="5">
        <f>+K20*L20</f>
        <v>0</v>
      </c>
      <c r="N20" s="184">
        <f>+K20</f>
        <v>0</v>
      </c>
      <c r="O20" s="62">
        <f>'Service Counts'!P19</f>
        <v>0</v>
      </c>
      <c r="P20" s="5">
        <f>+N20*O20</f>
        <v>0</v>
      </c>
      <c r="Q20" s="139">
        <f>+P20-M20</f>
        <v>0</v>
      </c>
      <c r="S20" s="184">
        <f>'Service Counts'!U19</f>
        <v>0</v>
      </c>
      <c r="T20" s="62">
        <f>'Service Counts'!V19</f>
        <v>0</v>
      </c>
      <c r="U20" s="5">
        <f>+S20*T20</f>
        <v>0</v>
      </c>
      <c r="V20" s="184">
        <f>+S20</f>
        <v>0</v>
      </c>
      <c r="W20" s="62">
        <f>'Service Counts'!Y19</f>
        <v>0</v>
      </c>
      <c r="X20" s="5">
        <f>+V20*W20</f>
        <v>0</v>
      </c>
      <c r="Y20" s="139">
        <f>+X20-U20</f>
        <v>0</v>
      </c>
      <c r="Z20" s="5"/>
      <c r="AA20" s="5">
        <f>+I20+Q20+Y20</f>
        <v>0</v>
      </c>
    </row>
    <row r="21" spans="1:28">
      <c r="A21" t="s">
        <v>1148</v>
      </c>
      <c r="C21" s="26">
        <f>'Service Counts'!C20</f>
        <v>0</v>
      </c>
      <c r="D21" s="62">
        <f>'Service Counts'!D20</f>
        <v>14.25</v>
      </c>
      <c r="E21" s="5">
        <f t="shared" si="0"/>
        <v>0</v>
      </c>
      <c r="F21" s="26">
        <f t="shared" si="1"/>
        <v>0</v>
      </c>
      <c r="G21" s="62">
        <f>'Service Counts'!G20</f>
        <v>14.59</v>
      </c>
      <c r="H21" s="5">
        <f t="shared" si="2"/>
        <v>0</v>
      </c>
      <c r="I21" s="139">
        <f t="shared" si="3"/>
        <v>0</v>
      </c>
      <c r="K21" s="184">
        <f>'Service Counts'!L20</f>
        <v>0</v>
      </c>
      <c r="L21" s="62">
        <f>'Service Counts'!M20</f>
        <v>0</v>
      </c>
      <c r="M21" s="5">
        <f t="shared" si="4"/>
        <v>0</v>
      </c>
      <c r="N21" s="184">
        <f t="shared" si="5"/>
        <v>0</v>
      </c>
      <c r="O21" s="62">
        <f>'Service Counts'!P20</f>
        <v>0</v>
      </c>
      <c r="P21" s="5">
        <f t="shared" si="6"/>
        <v>0</v>
      </c>
      <c r="Q21" s="139">
        <f t="shared" si="7"/>
        <v>0</v>
      </c>
      <c r="S21" s="184">
        <f>'Service Counts'!U20</f>
        <v>0</v>
      </c>
      <c r="T21" s="62">
        <f>'Service Counts'!V20</f>
        <v>0</v>
      </c>
      <c r="U21" s="5">
        <f t="shared" si="8"/>
        <v>0</v>
      </c>
      <c r="V21" s="184">
        <f t="shared" si="9"/>
        <v>0</v>
      </c>
      <c r="W21" s="62">
        <f>'Service Counts'!Y20</f>
        <v>0</v>
      </c>
      <c r="X21" s="5">
        <f t="shared" si="10"/>
        <v>0</v>
      </c>
      <c r="Y21" s="139">
        <f t="shared" si="11"/>
        <v>0</v>
      </c>
      <c r="Z21" s="5"/>
      <c r="AA21" s="5">
        <f t="shared" si="12"/>
        <v>0</v>
      </c>
    </row>
    <row r="22" spans="1:28">
      <c r="A22" t="s">
        <v>41</v>
      </c>
      <c r="C22" s="26">
        <f>'Service Counts'!C21</f>
        <v>0</v>
      </c>
      <c r="D22" s="62">
        <f>'Service Counts'!D21</f>
        <v>24.4</v>
      </c>
      <c r="E22" s="5">
        <f t="shared" si="0"/>
        <v>0</v>
      </c>
      <c r="F22" s="26">
        <f t="shared" si="1"/>
        <v>0</v>
      </c>
      <c r="G22" s="62">
        <f>'Service Counts'!G21</f>
        <v>24.98</v>
      </c>
      <c r="H22" s="5">
        <f t="shared" si="2"/>
        <v>0</v>
      </c>
      <c r="I22" s="139">
        <f t="shared" si="3"/>
        <v>0</v>
      </c>
      <c r="K22" s="184">
        <f>'Service Counts'!L21</f>
        <v>0</v>
      </c>
      <c r="L22" s="62">
        <f>'Service Counts'!M21</f>
        <v>0</v>
      </c>
      <c r="M22" s="5">
        <f t="shared" si="4"/>
        <v>0</v>
      </c>
      <c r="N22" s="184">
        <f t="shared" si="5"/>
        <v>0</v>
      </c>
      <c r="O22" s="62">
        <f>'Service Counts'!P21</f>
        <v>0</v>
      </c>
      <c r="P22" s="5">
        <f t="shared" si="6"/>
        <v>0</v>
      </c>
      <c r="Q22" s="139">
        <f t="shared" si="7"/>
        <v>0</v>
      </c>
      <c r="S22" s="184">
        <f>'Service Counts'!U21</f>
        <v>0</v>
      </c>
      <c r="T22" s="62">
        <f>'Service Counts'!V21</f>
        <v>0</v>
      </c>
      <c r="U22" s="5">
        <f t="shared" si="8"/>
        <v>0</v>
      </c>
      <c r="V22" s="184">
        <f t="shared" si="9"/>
        <v>0</v>
      </c>
      <c r="W22" s="62">
        <f>'Service Counts'!Y21</f>
        <v>0</v>
      </c>
      <c r="X22" s="5">
        <f t="shared" si="10"/>
        <v>0</v>
      </c>
      <c r="Y22" s="139">
        <f t="shared" si="11"/>
        <v>0</v>
      </c>
      <c r="Z22" s="5"/>
      <c r="AA22" s="5">
        <f t="shared" si="12"/>
        <v>0</v>
      </c>
    </row>
    <row r="23" spans="1:28">
      <c r="A23" t="s">
        <v>42</v>
      </c>
      <c r="C23" s="26">
        <f>'Service Counts'!C22</f>
        <v>0</v>
      </c>
      <c r="D23" s="62">
        <f>'Service Counts'!D22</f>
        <v>30.6</v>
      </c>
      <c r="E23" s="5">
        <f t="shared" si="0"/>
        <v>0</v>
      </c>
      <c r="F23" s="26">
        <f t="shared" si="1"/>
        <v>0</v>
      </c>
      <c r="G23" s="62">
        <f>'Service Counts'!G22</f>
        <v>31.33</v>
      </c>
      <c r="H23" s="5">
        <f t="shared" si="2"/>
        <v>0</v>
      </c>
      <c r="I23" s="139">
        <f t="shared" si="3"/>
        <v>0</v>
      </c>
      <c r="K23" s="184">
        <f>'Service Counts'!L22</f>
        <v>0</v>
      </c>
      <c r="L23" s="62">
        <f>'Service Counts'!M22</f>
        <v>0</v>
      </c>
      <c r="M23" s="5">
        <f t="shared" si="4"/>
        <v>0</v>
      </c>
      <c r="N23" s="184">
        <f t="shared" si="5"/>
        <v>0</v>
      </c>
      <c r="O23" s="62">
        <f>'Service Counts'!P22</f>
        <v>0</v>
      </c>
      <c r="P23" s="5">
        <f t="shared" si="6"/>
        <v>0</v>
      </c>
      <c r="Q23" s="139">
        <f t="shared" si="7"/>
        <v>0</v>
      </c>
      <c r="S23" s="184">
        <f>'Service Counts'!U22</f>
        <v>0</v>
      </c>
      <c r="T23" s="62">
        <f>'Service Counts'!V22</f>
        <v>0</v>
      </c>
      <c r="U23" s="5">
        <f t="shared" si="8"/>
        <v>0</v>
      </c>
      <c r="V23" s="184">
        <f t="shared" si="9"/>
        <v>0</v>
      </c>
      <c r="W23" s="62">
        <f>'Service Counts'!Y22</f>
        <v>0</v>
      </c>
      <c r="X23" s="5">
        <f t="shared" si="10"/>
        <v>0</v>
      </c>
      <c r="Y23" s="139">
        <f t="shared" si="11"/>
        <v>0</v>
      </c>
      <c r="Z23" s="5"/>
      <c r="AA23" s="5">
        <f t="shared" si="12"/>
        <v>0</v>
      </c>
    </row>
    <row r="24" spans="1:28">
      <c r="A24" s="459" t="s">
        <v>1149</v>
      </c>
      <c r="C24" s="26">
        <f>'Service Counts'!C25</f>
        <v>0</v>
      </c>
      <c r="D24" s="62">
        <f>'Service Counts'!D25</f>
        <v>15</v>
      </c>
      <c r="E24" s="5">
        <f>+C24*D24</f>
        <v>0</v>
      </c>
      <c r="F24" s="26">
        <f>+C24</f>
        <v>0</v>
      </c>
      <c r="G24" s="62">
        <f>'Service Counts'!G25</f>
        <v>15.36</v>
      </c>
      <c r="H24" s="5">
        <f>+F24*G24</f>
        <v>0</v>
      </c>
      <c r="I24" s="139">
        <f>+H24-E24</f>
        <v>0</v>
      </c>
      <c r="K24" s="184">
        <f>'Service Counts'!L25</f>
        <v>0</v>
      </c>
      <c r="L24" s="62">
        <f>'Service Counts'!M25</f>
        <v>0</v>
      </c>
      <c r="M24" s="5">
        <f>+K24*L24</f>
        <v>0</v>
      </c>
      <c r="N24" s="184">
        <f>+K24</f>
        <v>0</v>
      </c>
      <c r="O24" s="62">
        <f>'Service Counts'!P25</f>
        <v>0</v>
      </c>
      <c r="P24" s="5">
        <f>+N24*O24</f>
        <v>0</v>
      </c>
      <c r="Q24" s="139">
        <f>+P24-M24</f>
        <v>0</v>
      </c>
      <c r="S24" s="184">
        <f>'Service Counts'!U25</f>
        <v>0</v>
      </c>
      <c r="T24" s="62">
        <f>'Service Counts'!V25</f>
        <v>0</v>
      </c>
      <c r="U24" s="5">
        <f>+S24*T24</f>
        <v>0</v>
      </c>
      <c r="V24" s="184">
        <f>+S24</f>
        <v>0</v>
      </c>
      <c r="W24" s="62">
        <f>'Service Counts'!Y25</f>
        <v>0</v>
      </c>
      <c r="X24" s="5">
        <f>+V24*W24</f>
        <v>0</v>
      </c>
      <c r="Y24" s="139">
        <f>+X24-U24</f>
        <v>0</v>
      </c>
      <c r="Z24" s="5"/>
      <c r="AA24" s="5">
        <f>+I24+Q24+Y24</f>
        <v>0</v>
      </c>
    </row>
    <row r="25" spans="1:28">
      <c r="A25" t="s">
        <v>43</v>
      </c>
      <c r="C25" s="26">
        <f>'Service Counts'!C26</f>
        <v>0</v>
      </c>
      <c r="D25" s="62">
        <f>'Service Counts'!D26</f>
        <v>4.3499999999999996</v>
      </c>
      <c r="E25" s="5">
        <f t="shared" si="0"/>
        <v>0</v>
      </c>
      <c r="F25" s="26">
        <f t="shared" si="1"/>
        <v>0</v>
      </c>
      <c r="G25" s="62">
        <f>'Service Counts'!G26</f>
        <v>4.45</v>
      </c>
      <c r="H25" s="5">
        <f t="shared" si="2"/>
        <v>0</v>
      </c>
      <c r="I25" s="139">
        <f t="shared" si="3"/>
        <v>0</v>
      </c>
      <c r="K25" s="184">
        <f>'Service Counts'!L26</f>
        <v>0</v>
      </c>
      <c r="L25" s="62">
        <f>'Service Counts'!M26</f>
        <v>3.95</v>
      </c>
      <c r="M25" s="5">
        <f t="shared" si="4"/>
        <v>0</v>
      </c>
      <c r="N25" s="184">
        <f t="shared" si="5"/>
        <v>0</v>
      </c>
      <c r="O25" s="62">
        <f>'Service Counts'!P26</f>
        <v>3.95</v>
      </c>
      <c r="P25" s="5">
        <f t="shared" si="6"/>
        <v>0</v>
      </c>
      <c r="Q25" s="139">
        <f t="shared" si="7"/>
        <v>0</v>
      </c>
      <c r="S25" s="184">
        <f>'Service Counts'!U26</f>
        <v>0</v>
      </c>
      <c r="T25" s="62">
        <f>'Service Counts'!V26</f>
        <v>3.95</v>
      </c>
      <c r="U25" s="5">
        <f t="shared" si="8"/>
        <v>0</v>
      </c>
      <c r="V25" s="184">
        <f t="shared" si="9"/>
        <v>0</v>
      </c>
      <c r="W25" s="62">
        <f>'Service Counts'!Y26</f>
        <v>3.95</v>
      </c>
      <c r="X25" s="5">
        <f t="shared" si="10"/>
        <v>0</v>
      </c>
      <c r="Y25" s="139">
        <f t="shared" si="11"/>
        <v>0</v>
      </c>
      <c r="Z25" s="5"/>
      <c r="AA25" s="5">
        <f t="shared" si="12"/>
        <v>0</v>
      </c>
    </row>
    <row r="26" spans="1:28">
      <c r="A26" t="s">
        <v>44</v>
      </c>
      <c r="C26" s="26">
        <f>'Service Counts'!C27</f>
        <v>0</v>
      </c>
      <c r="D26" s="62">
        <f>'Service Counts'!D27</f>
        <v>3.25</v>
      </c>
      <c r="E26" s="5">
        <f t="shared" si="0"/>
        <v>0</v>
      </c>
      <c r="F26" s="26">
        <f t="shared" si="1"/>
        <v>0</v>
      </c>
      <c r="G26" s="62">
        <f>'Service Counts'!G27</f>
        <v>3.33</v>
      </c>
      <c r="H26" s="5">
        <f t="shared" si="2"/>
        <v>0</v>
      </c>
      <c r="I26" s="139">
        <f t="shared" si="3"/>
        <v>0</v>
      </c>
      <c r="K26" s="184">
        <f>'Service Counts'!L27</f>
        <v>0</v>
      </c>
      <c r="L26" s="62">
        <f>'Service Counts'!M27</f>
        <v>2.95</v>
      </c>
      <c r="M26" s="5">
        <f t="shared" si="4"/>
        <v>0</v>
      </c>
      <c r="N26" s="184">
        <f t="shared" si="5"/>
        <v>0</v>
      </c>
      <c r="O26" s="62">
        <f>'Service Counts'!P27</f>
        <v>2.95</v>
      </c>
      <c r="P26" s="5">
        <f t="shared" si="6"/>
        <v>0</v>
      </c>
      <c r="Q26" s="139">
        <f t="shared" si="7"/>
        <v>0</v>
      </c>
      <c r="S26" s="184">
        <f>'Service Counts'!U27</f>
        <v>0</v>
      </c>
      <c r="T26" s="62">
        <f>'Service Counts'!V27</f>
        <v>2.95</v>
      </c>
      <c r="U26" s="5">
        <f t="shared" si="8"/>
        <v>0</v>
      </c>
      <c r="V26" s="184">
        <f t="shared" si="9"/>
        <v>0</v>
      </c>
      <c r="W26" s="62">
        <f>'Service Counts'!Y27</f>
        <v>2.95</v>
      </c>
      <c r="X26" s="5">
        <f t="shared" si="10"/>
        <v>0</v>
      </c>
      <c r="Y26" s="139">
        <f t="shared" si="11"/>
        <v>0</v>
      </c>
      <c r="Z26" s="5"/>
      <c r="AA26" s="5">
        <f t="shared" si="12"/>
        <v>0</v>
      </c>
    </row>
    <row r="27" spans="1:28">
      <c r="A27" t="s">
        <v>1048</v>
      </c>
      <c r="C27" s="26">
        <f>'Service Counts'!C28</f>
        <v>0</v>
      </c>
      <c r="D27" s="62">
        <f>'Service Counts'!D28</f>
        <v>1.95</v>
      </c>
      <c r="E27" s="5">
        <f t="shared" si="0"/>
        <v>0</v>
      </c>
      <c r="F27" s="26">
        <f t="shared" si="1"/>
        <v>0</v>
      </c>
      <c r="G27" s="62">
        <f>'Service Counts'!G28</f>
        <v>2</v>
      </c>
      <c r="H27" s="5">
        <f t="shared" si="2"/>
        <v>0</v>
      </c>
      <c r="I27" s="139">
        <f t="shared" si="3"/>
        <v>0</v>
      </c>
      <c r="K27" s="184">
        <f>'Service Counts'!L28</f>
        <v>0</v>
      </c>
      <c r="L27" s="62">
        <f>'Service Counts'!M28</f>
        <v>1.65</v>
      </c>
      <c r="M27" s="5">
        <f t="shared" si="4"/>
        <v>0</v>
      </c>
      <c r="N27" s="184">
        <f t="shared" si="5"/>
        <v>0</v>
      </c>
      <c r="O27" s="62">
        <f>'Service Counts'!P28</f>
        <v>1.65</v>
      </c>
      <c r="P27" s="5">
        <f t="shared" si="6"/>
        <v>0</v>
      </c>
      <c r="Q27" s="139">
        <f t="shared" si="7"/>
        <v>0</v>
      </c>
      <c r="S27" s="184">
        <f>'Service Counts'!U28</f>
        <v>0</v>
      </c>
      <c r="T27" s="62">
        <f>'Service Counts'!V28</f>
        <v>1.65</v>
      </c>
      <c r="U27" s="5">
        <f t="shared" si="8"/>
        <v>0</v>
      </c>
      <c r="V27" s="184">
        <f t="shared" si="9"/>
        <v>0</v>
      </c>
      <c r="W27" s="62">
        <f>'Service Counts'!Y28</f>
        <v>1.65</v>
      </c>
      <c r="X27" s="5">
        <f t="shared" si="10"/>
        <v>0</v>
      </c>
      <c r="Y27" s="139">
        <f t="shared" si="11"/>
        <v>0</v>
      </c>
      <c r="Z27" s="5"/>
      <c r="AA27" s="5">
        <f t="shared" si="12"/>
        <v>0</v>
      </c>
    </row>
    <row r="28" spans="1:28">
      <c r="A28" t="s">
        <v>46</v>
      </c>
      <c r="C28" s="26">
        <f>'Service Counts'!C29</f>
        <v>0</v>
      </c>
      <c r="D28" s="62">
        <f>'Service Counts'!D29</f>
        <v>13.9</v>
      </c>
      <c r="E28" s="5">
        <f t="shared" si="0"/>
        <v>0</v>
      </c>
      <c r="F28" s="26">
        <f t="shared" si="1"/>
        <v>0</v>
      </c>
      <c r="G28" s="62">
        <f>'Service Counts'!G29</f>
        <v>14.23</v>
      </c>
      <c r="H28" s="5">
        <f t="shared" si="2"/>
        <v>0</v>
      </c>
      <c r="I28" s="139">
        <f t="shared" si="3"/>
        <v>0</v>
      </c>
      <c r="K28" s="184">
        <f>'Service Counts'!L29</f>
        <v>0</v>
      </c>
      <c r="L28" s="62">
        <f>'Service Counts'!M29</f>
        <v>10.55</v>
      </c>
      <c r="M28" s="5">
        <f t="shared" si="4"/>
        <v>0</v>
      </c>
      <c r="N28" s="184">
        <f t="shared" si="5"/>
        <v>0</v>
      </c>
      <c r="O28" s="62">
        <f>'Service Counts'!P29</f>
        <v>10.55</v>
      </c>
      <c r="P28" s="5">
        <f t="shared" si="6"/>
        <v>0</v>
      </c>
      <c r="Q28" s="139">
        <f t="shared" si="7"/>
        <v>0</v>
      </c>
      <c r="S28" s="184">
        <f>'Service Counts'!U29</f>
        <v>0</v>
      </c>
      <c r="T28" s="62">
        <f>'Service Counts'!V29</f>
        <v>10.55</v>
      </c>
      <c r="U28" s="5">
        <f t="shared" si="8"/>
        <v>0</v>
      </c>
      <c r="V28" s="184">
        <f t="shared" si="9"/>
        <v>0</v>
      </c>
      <c r="W28" s="62">
        <f>'Service Counts'!Y29</f>
        <v>10.55</v>
      </c>
      <c r="X28" s="5">
        <f t="shared" si="10"/>
        <v>0</v>
      </c>
      <c r="Y28" s="139">
        <f t="shared" si="11"/>
        <v>0</v>
      </c>
      <c r="Z28" s="5"/>
      <c r="AA28" s="5">
        <f t="shared" si="12"/>
        <v>0</v>
      </c>
    </row>
    <row r="29" spans="1:28">
      <c r="A29" t="s">
        <v>47</v>
      </c>
      <c r="C29" s="26">
        <f>'Service Counts'!C31</f>
        <v>0</v>
      </c>
      <c r="D29" s="62">
        <f>'Service Counts'!D31</f>
        <v>22.4</v>
      </c>
      <c r="E29" s="5">
        <f t="shared" si="0"/>
        <v>0</v>
      </c>
      <c r="F29" s="26">
        <f t="shared" si="1"/>
        <v>0</v>
      </c>
      <c r="G29" s="62">
        <f>'Service Counts'!G31</f>
        <v>22.94</v>
      </c>
      <c r="H29" s="5">
        <f t="shared" si="2"/>
        <v>0</v>
      </c>
      <c r="I29" s="139">
        <f t="shared" si="3"/>
        <v>0</v>
      </c>
      <c r="K29" s="184">
        <f>'Service Counts'!L31</f>
        <v>0</v>
      </c>
      <c r="L29" s="62">
        <f>'Service Counts'!M31</f>
        <v>19.600000000000001</v>
      </c>
      <c r="M29" s="5">
        <f t="shared" si="4"/>
        <v>0</v>
      </c>
      <c r="N29" s="184">
        <f t="shared" si="5"/>
        <v>0</v>
      </c>
      <c r="O29" s="62">
        <f>'Service Counts'!P31</f>
        <v>19.600000000000001</v>
      </c>
      <c r="P29" s="5">
        <f t="shared" si="6"/>
        <v>0</v>
      </c>
      <c r="Q29" s="139">
        <f t="shared" si="7"/>
        <v>0</v>
      </c>
      <c r="S29" s="184">
        <f>'Service Counts'!U31</f>
        <v>0</v>
      </c>
      <c r="T29" s="62">
        <f>'Service Counts'!V31</f>
        <v>19.600000000000001</v>
      </c>
      <c r="U29" s="5">
        <f t="shared" si="8"/>
        <v>0</v>
      </c>
      <c r="V29" s="184">
        <f t="shared" si="9"/>
        <v>0</v>
      </c>
      <c r="W29" s="62">
        <f>'Service Counts'!Y31</f>
        <v>19.600000000000001</v>
      </c>
      <c r="X29" s="5">
        <f t="shared" si="10"/>
        <v>0</v>
      </c>
      <c r="Y29" s="139">
        <f t="shared" si="11"/>
        <v>0</v>
      </c>
      <c r="Z29" s="5"/>
      <c r="AA29" s="5">
        <f t="shared" si="12"/>
        <v>0</v>
      </c>
    </row>
    <row r="30" spans="1:28">
      <c r="A30" t="s">
        <v>48</v>
      </c>
      <c r="C30" s="26">
        <f>'Service Counts'!C32</f>
        <v>0</v>
      </c>
      <c r="D30" s="62">
        <f>'Service Counts'!D32</f>
        <v>0</v>
      </c>
      <c r="E30" s="5">
        <f t="shared" si="0"/>
        <v>0</v>
      </c>
      <c r="F30" s="26">
        <f t="shared" si="1"/>
        <v>0</v>
      </c>
      <c r="G30" s="62">
        <f>'Service Counts'!G32</f>
        <v>0</v>
      </c>
      <c r="H30" s="5">
        <f t="shared" si="2"/>
        <v>0</v>
      </c>
      <c r="I30" s="139">
        <f t="shared" si="3"/>
        <v>0</v>
      </c>
      <c r="K30" s="184">
        <f>'Service Counts'!L32</f>
        <v>0</v>
      </c>
      <c r="L30" s="62">
        <f>'Service Counts'!M32</f>
        <v>12.2</v>
      </c>
      <c r="M30" s="5">
        <f t="shared" si="4"/>
        <v>0</v>
      </c>
      <c r="N30" s="184">
        <f t="shared" si="5"/>
        <v>0</v>
      </c>
      <c r="O30" s="62">
        <f>'Service Counts'!P32</f>
        <v>12.2</v>
      </c>
      <c r="P30" s="5">
        <f t="shared" si="6"/>
        <v>0</v>
      </c>
      <c r="Q30" s="139">
        <f t="shared" si="7"/>
        <v>0</v>
      </c>
      <c r="S30" s="184">
        <f>'Service Counts'!U32</f>
        <v>0</v>
      </c>
      <c r="T30" s="62">
        <f>'Service Counts'!V32</f>
        <v>12.2</v>
      </c>
      <c r="U30" s="5">
        <f t="shared" si="8"/>
        <v>0</v>
      </c>
      <c r="V30" s="184">
        <f t="shared" si="9"/>
        <v>0</v>
      </c>
      <c r="W30" s="62">
        <f>'Service Counts'!Y32</f>
        <v>12.2</v>
      </c>
      <c r="X30" s="5">
        <f t="shared" si="10"/>
        <v>0</v>
      </c>
      <c r="Y30" s="139">
        <f t="shared" si="11"/>
        <v>0</v>
      </c>
      <c r="Z30" s="5"/>
      <c r="AA30" s="5">
        <f t="shared" si="12"/>
        <v>0</v>
      </c>
      <c r="AB30" s="51">
        <f>SUM(AA11:AA30)</f>
        <v>0</v>
      </c>
    </row>
    <row r="31" spans="1:28">
      <c r="C31" s="26"/>
      <c r="D31" s="138"/>
      <c r="F31" s="26"/>
      <c r="G31" s="186"/>
      <c r="I31" s="134"/>
      <c r="K31" s="184"/>
      <c r="L31" s="186"/>
      <c r="N31" s="184"/>
      <c r="O31" s="186"/>
      <c r="Q31" s="134"/>
      <c r="S31" s="184"/>
      <c r="T31" s="186"/>
      <c r="V31" s="184"/>
      <c r="W31" s="186"/>
      <c r="Y31" s="134"/>
    </row>
    <row r="32" spans="1:28">
      <c r="A32" t="s">
        <v>49</v>
      </c>
      <c r="C32" s="26"/>
      <c r="D32" s="138"/>
      <c r="F32" s="26"/>
      <c r="G32" s="186"/>
      <c r="I32" s="134"/>
      <c r="K32" s="184"/>
      <c r="L32" s="186"/>
      <c r="N32" s="184"/>
      <c r="O32" s="186"/>
      <c r="Q32" s="134"/>
      <c r="S32" s="184"/>
      <c r="T32" s="186"/>
      <c r="V32" s="184"/>
      <c r="W32" s="186"/>
      <c r="Y32" s="134"/>
    </row>
    <row r="33" spans="1:28">
      <c r="A33" t="s">
        <v>50</v>
      </c>
      <c r="C33" s="26">
        <f>'Service Counts'!C35</f>
        <v>0</v>
      </c>
      <c r="D33" s="62">
        <f>'Service Counts'!D35</f>
        <v>17.8</v>
      </c>
      <c r="E33" s="5">
        <f t="shared" ref="E33:E48" si="13">+C33*D33</f>
        <v>0</v>
      </c>
      <c r="F33" s="26">
        <f t="shared" ref="F33:F48" si="14">+C33</f>
        <v>0</v>
      </c>
      <c r="G33" s="62">
        <f>'Service Counts'!G35</f>
        <v>18.23</v>
      </c>
      <c r="H33" s="5">
        <f t="shared" ref="H33:H48" si="15">+F33*G33</f>
        <v>0</v>
      </c>
      <c r="I33" s="139">
        <f t="shared" ref="I33:I48" si="16">+H33-E33</f>
        <v>0</v>
      </c>
      <c r="K33" s="184">
        <f>'Service Counts'!L35</f>
        <v>0</v>
      </c>
      <c r="L33" s="62">
        <f>'Service Counts'!M35</f>
        <v>15.25</v>
      </c>
      <c r="M33" s="5">
        <f t="shared" ref="M33:M48" si="17">+K33*L33</f>
        <v>0</v>
      </c>
      <c r="N33" s="184">
        <f t="shared" ref="N33:N48" si="18">+K33</f>
        <v>0</v>
      </c>
      <c r="O33" s="62">
        <f>'Service Counts'!P35</f>
        <v>15.25</v>
      </c>
      <c r="P33" s="5">
        <f t="shared" ref="P33:P48" si="19">+N33*O33</f>
        <v>0</v>
      </c>
      <c r="Q33" s="139">
        <f t="shared" ref="Q33:Q48" si="20">+P33-M33</f>
        <v>0</v>
      </c>
      <c r="S33" s="184">
        <f>'Service Counts'!U35</f>
        <v>0</v>
      </c>
      <c r="T33" s="62">
        <f>'Service Counts'!V35</f>
        <v>15.25</v>
      </c>
      <c r="U33" s="5">
        <f t="shared" ref="U33:U48" si="21">+S33*T33</f>
        <v>0</v>
      </c>
      <c r="V33" s="184">
        <f t="shared" ref="V33:V48" si="22">+S33</f>
        <v>0</v>
      </c>
      <c r="W33" s="62">
        <f>'Service Counts'!Y35</f>
        <v>15.25</v>
      </c>
      <c r="X33" s="5">
        <f t="shared" ref="X33:X48" si="23">+V33*W33</f>
        <v>0</v>
      </c>
      <c r="Y33" s="139">
        <f t="shared" ref="Y33:Y48" si="24">+X33-U33</f>
        <v>0</v>
      </c>
      <c r="Z33" s="5"/>
      <c r="AA33" s="5">
        <f t="shared" ref="AA33:AA48" si="25">+I33+Q33+Y33</f>
        <v>0</v>
      </c>
    </row>
    <row r="34" spans="1:28">
      <c r="A34" t="s">
        <v>51</v>
      </c>
      <c r="C34" s="26">
        <f>'Service Counts'!C36</f>
        <v>0</v>
      </c>
      <c r="D34" s="62">
        <f>'Service Counts'!D36</f>
        <v>22.4</v>
      </c>
      <c r="E34" s="5">
        <f t="shared" si="13"/>
        <v>0</v>
      </c>
      <c r="F34" s="26">
        <f>+C34</f>
        <v>0</v>
      </c>
      <c r="G34" s="62">
        <f>'Service Counts'!G36</f>
        <v>22.94</v>
      </c>
      <c r="H34" s="5">
        <f>+F34*G34</f>
        <v>0</v>
      </c>
      <c r="I34" s="139">
        <f>+H34-E34</f>
        <v>0</v>
      </c>
      <c r="K34" s="184">
        <f>'Service Counts'!L36</f>
        <v>0</v>
      </c>
      <c r="L34" s="62">
        <f>'Service Counts'!M36</f>
        <v>0</v>
      </c>
      <c r="M34" s="5">
        <f>+K34*L34</f>
        <v>0</v>
      </c>
      <c r="N34" s="184">
        <f>+K34</f>
        <v>0</v>
      </c>
      <c r="O34" s="62">
        <f>'Service Counts'!P36</f>
        <v>0</v>
      </c>
      <c r="P34" s="5">
        <f>+N34*O34</f>
        <v>0</v>
      </c>
      <c r="Q34" s="139">
        <f>+P34-M34</f>
        <v>0</v>
      </c>
      <c r="S34" s="184">
        <f>'Service Counts'!U36</f>
        <v>0</v>
      </c>
      <c r="T34" s="62">
        <f>'Service Counts'!V36</f>
        <v>0</v>
      </c>
      <c r="U34" s="5">
        <f>+S34*T34</f>
        <v>0</v>
      </c>
      <c r="V34" s="184">
        <f>+S34</f>
        <v>0</v>
      </c>
      <c r="W34" s="62">
        <f>'Service Counts'!Y36</f>
        <v>0</v>
      </c>
      <c r="X34" s="5">
        <f>+V34*W34</f>
        <v>0</v>
      </c>
      <c r="Y34" s="139">
        <f>+X34-U34</f>
        <v>0</v>
      </c>
      <c r="Z34" s="5"/>
      <c r="AA34" s="5"/>
    </row>
    <row r="35" spans="1:28">
      <c r="A35" t="s">
        <v>52</v>
      </c>
      <c r="C35" s="26">
        <f>'Service Counts'!C37</f>
        <v>0</v>
      </c>
      <c r="D35" s="62">
        <f>'Service Counts'!D37</f>
        <v>23.15</v>
      </c>
      <c r="E35" s="5">
        <f t="shared" si="13"/>
        <v>0</v>
      </c>
      <c r="F35" s="26">
        <f t="shared" si="14"/>
        <v>0</v>
      </c>
      <c r="G35" s="62">
        <f>'Service Counts'!G37</f>
        <v>23.7</v>
      </c>
      <c r="H35" s="5">
        <f t="shared" si="15"/>
        <v>0</v>
      </c>
      <c r="I35" s="139">
        <f t="shared" si="16"/>
        <v>0</v>
      </c>
      <c r="K35" s="184">
        <f>'Service Counts'!L37</f>
        <v>0</v>
      </c>
      <c r="L35" s="62">
        <f>'Service Counts'!M37</f>
        <v>20.399999999999999</v>
      </c>
      <c r="M35" s="5">
        <f t="shared" si="17"/>
        <v>0</v>
      </c>
      <c r="N35" s="184">
        <f t="shared" si="18"/>
        <v>0</v>
      </c>
      <c r="O35" s="62">
        <f>'Service Counts'!P37</f>
        <v>20.399999999999999</v>
      </c>
      <c r="P35" s="5">
        <f t="shared" si="19"/>
        <v>0</v>
      </c>
      <c r="Q35" s="139">
        <f t="shared" si="20"/>
        <v>0</v>
      </c>
      <c r="S35" s="184">
        <f>'Service Counts'!U37</f>
        <v>0</v>
      </c>
      <c r="T35" s="62">
        <f>'Service Counts'!V37</f>
        <v>20.399999999999999</v>
      </c>
      <c r="U35" s="5">
        <f t="shared" si="21"/>
        <v>0</v>
      </c>
      <c r="V35" s="184">
        <f t="shared" si="22"/>
        <v>0</v>
      </c>
      <c r="W35" s="62">
        <f>'Service Counts'!Y37</f>
        <v>20.399999999999999</v>
      </c>
      <c r="X35" s="5">
        <f t="shared" si="23"/>
        <v>0</v>
      </c>
      <c r="Y35" s="139">
        <f t="shared" si="24"/>
        <v>0</v>
      </c>
      <c r="Z35" s="5"/>
      <c r="AA35" s="5">
        <f t="shared" si="25"/>
        <v>0</v>
      </c>
    </row>
    <row r="36" spans="1:28">
      <c r="A36" t="s">
        <v>53</v>
      </c>
      <c r="C36" s="26">
        <f>'Service Counts'!C38</f>
        <v>0</v>
      </c>
      <c r="D36" s="62">
        <f>'Service Counts'!D38</f>
        <v>28.5</v>
      </c>
      <c r="E36" s="5">
        <f t="shared" si="13"/>
        <v>0</v>
      </c>
      <c r="F36" s="26">
        <f t="shared" si="14"/>
        <v>0</v>
      </c>
      <c r="G36" s="62">
        <f>'Service Counts'!G38</f>
        <v>29.18</v>
      </c>
      <c r="H36" s="5">
        <f t="shared" si="15"/>
        <v>0</v>
      </c>
      <c r="I36" s="139">
        <f t="shared" si="16"/>
        <v>0</v>
      </c>
      <c r="K36" s="184">
        <f>'Service Counts'!L38</f>
        <v>0</v>
      </c>
      <c r="L36" s="62">
        <f>'Service Counts'!M38</f>
        <v>23.3</v>
      </c>
      <c r="M36" s="5">
        <f t="shared" si="17"/>
        <v>0</v>
      </c>
      <c r="N36" s="184">
        <f t="shared" si="18"/>
        <v>0</v>
      </c>
      <c r="O36" s="62">
        <f>'Service Counts'!P38</f>
        <v>23.3</v>
      </c>
      <c r="P36" s="5">
        <f t="shared" si="19"/>
        <v>0</v>
      </c>
      <c r="Q36" s="139">
        <f t="shared" si="20"/>
        <v>0</v>
      </c>
      <c r="S36" s="184">
        <f>'Service Counts'!U38</f>
        <v>0</v>
      </c>
      <c r="T36" s="62">
        <f>'Service Counts'!V38</f>
        <v>23.3</v>
      </c>
      <c r="U36" s="5">
        <f t="shared" si="21"/>
        <v>0</v>
      </c>
      <c r="V36" s="184">
        <f t="shared" si="22"/>
        <v>0</v>
      </c>
      <c r="W36" s="62">
        <f>'Service Counts'!Y38</f>
        <v>23.3</v>
      </c>
      <c r="X36" s="5">
        <f t="shared" si="23"/>
        <v>0</v>
      </c>
      <c r="Y36" s="139">
        <f t="shared" si="24"/>
        <v>0</v>
      </c>
      <c r="Z36" s="5"/>
      <c r="AA36" s="5">
        <f t="shared" si="25"/>
        <v>0</v>
      </c>
    </row>
    <row r="37" spans="1:28">
      <c r="A37" t="s">
        <v>54</v>
      </c>
      <c r="C37" s="26">
        <f>'Service Counts'!C39</f>
        <v>0</v>
      </c>
      <c r="D37" s="62">
        <f>'Service Counts'!D39</f>
        <v>34.549999999999997</v>
      </c>
      <c r="E37" s="5">
        <f>+C37*D37</f>
        <v>0</v>
      </c>
      <c r="F37" s="26">
        <f>+C37</f>
        <v>0</v>
      </c>
      <c r="G37" s="62">
        <f>'Service Counts'!G39</f>
        <v>35.380000000000003</v>
      </c>
      <c r="H37" s="5">
        <f>+F37*G37</f>
        <v>0</v>
      </c>
      <c r="I37" s="139">
        <f>+H37-E37</f>
        <v>0</v>
      </c>
      <c r="K37" s="184">
        <f>'Service Counts'!L39</f>
        <v>0</v>
      </c>
      <c r="L37" s="62">
        <f>'Service Counts'!M39</f>
        <v>0</v>
      </c>
      <c r="M37" s="5">
        <f>+K37*L37</f>
        <v>0</v>
      </c>
      <c r="N37" s="184">
        <f>+K37</f>
        <v>0</v>
      </c>
      <c r="O37" s="62">
        <f>'Service Counts'!P39</f>
        <v>0</v>
      </c>
      <c r="P37" s="5">
        <f>+N37*O37</f>
        <v>0</v>
      </c>
      <c r="Q37" s="139">
        <f>+P37-M37</f>
        <v>0</v>
      </c>
      <c r="S37" s="184">
        <f>'Service Counts'!U39</f>
        <v>0</v>
      </c>
      <c r="T37" s="62">
        <f>'Service Counts'!V39</f>
        <v>0</v>
      </c>
      <c r="U37" s="5">
        <f>+S37*T37</f>
        <v>0</v>
      </c>
      <c r="V37" s="184">
        <f>+S37</f>
        <v>0</v>
      </c>
      <c r="W37" s="62">
        <f>'Service Counts'!Y39</f>
        <v>0</v>
      </c>
      <c r="X37" s="5">
        <f>+V37*W37</f>
        <v>0</v>
      </c>
      <c r="Y37" s="139">
        <f>+X37-U37</f>
        <v>0</v>
      </c>
      <c r="Z37" s="5"/>
      <c r="AA37" s="5"/>
    </row>
    <row r="38" spans="1:28">
      <c r="A38" t="s">
        <v>55</v>
      </c>
      <c r="C38" s="26">
        <f>'Service Counts'!C40</f>
        <v>0</v>
      </c>
      <c r="D38" s="62">
        <f>'Service Counts'!D40</f>
        <v>39.950000000000003</v>
      </c>
      <c r="E38" s="5">
        <f t="shared" si="13"/>
        <v>0</v>
      </c>
      <c r="F38" s="26">
        <f t="shared" si="14"/>
        <v>0</v>
      </c>
      <c r="G38" s="62">
        <f>'Service Counts'!G40</f>
        <v>40.909999999999997</v>
      </c>
      <c r="H38" s="5">
        <f t="shared" si="15"/>
        <v>0</v>
      </c>
      <c r="I38" s="139">
        <f t="shared" si="16"/>
        <v>0</v>
      </c>
      <c r="K38" s="184">
        <f>'Service Counts'!L40</f>
        <v>0</v>
      </c>
      <c r="L38" s="62">
        <f>'Service Counts'!M40</f>
        <v>30.5</v>
      </c>
      <c r="M38" s="5">
        <f t="shared" si="17"/>
        <v>0</v>
      </c>
      <c r="N38" s="184">
        <f t="shared" si="18"/>
        <v>0</v>
      </c>
      <c r="O38" s="62">
        <f>'Service Counts'!P40</f>
        <v>30.5</v>
      </c>
      <c r="P38" s="5">
        <f t="shared" si="19"/>
        <v>0</v>
      </c>
      <c r="Q38" s="139">
        <f t="shared" si="20"/>
        <v>0</v>
      </c>
      <c r="S38" s="184">
        <f>'Service Counts'!U40</f>
        <v>0</v>
      </c>
      <c r="T38" s="62">
        <f>'Service Counts'!V40</f>
        <v>30.5</v>
      </c>
      <c r="U38" s="5">
        <f t="shared" si="21"/>
        <v>0</v>
      </c>
      <c r="V38" s="184">
        <f t="shared" si="22"/>
        <v>0</v>
      </c>
      <c r="W38" s="62">
        <f>'Service Counts'!Y40</f>
        <v>30.5</v>
      </c>
      <c r="X38" s="5">
        <f t="shared" si="23"/>
        <v>0</v>
      </c>
      <c r="Y38" s="139">
        <f t="shared" si="24"/>
        <v>0</v>
      </c>
      <c r="Z38" s="5"/>
      <c r="AA38" s="5">
        <f t="shared" si="25"/>
        <v>0</v>
      </c>
    </row>
    <row r="39" spans="1:28">
      <c r="A39" t="s">
        <v>56</v>
      </c>
      <c r="C39" s="26">
        <f>'Service Counts'!C41</f>
        <v>0</v>
      </c>
      <c r="D39" s="62">
        <f>'Service Counts'!D41</f>
        <v>52.6</v>
      </c>
      <c r="E39" s="5">
        <f t="shared" si="13"/>
        <v>0</v>
      </c>
      <c r="F39" s="26">
        <f t="shared" si="14"/>
        <v>0</v>
      </c>
      <c r="G39" s="62">
        <f>'Service Counts'!G41</f>
        <v>53.86</v>
      </c>
      <c r="H39" s="5">
        <f t="shared" si="15"/>
        <v>0</v>
      </c>
      <c r="I39" s="139">
        <f t="shared" si="16"/>
        <v>0</v>
      </c>
      <c r="K39" s="184">
        <f>'Service Counts'!L41</f>
        <v>0</v>
      </c>
      <c r="L39" s="62">
        <f>'Service Counts'!M41</f>
        <v>38.950000000000003</v>
      </c>
      <c r="M39" s="5">
        <f t="shared" si="17"/>
        <v>0</v>
      </c>
      <c r="N39" s="184">
        <f t="shared" si="18"/>
        <v>0</v>
      </c>
      <c r="O39" s="62">
        <f>'Service Counts'!P41</f>
        <v>38.950000000000003</v>
      </c>
      <c r="P39" s="5">
        <f t="shared" si="19"/>
        <v>0</v>
      </c>
      <c r="Q39" s="139">
        <f t="shared" si="20"/>
        <v>0</v>
      </c>
      <c r="S39" s="184">
        <f>'Service Counts'!U41</f>
        <v>0</v>
      </c>
      <c r="T39" s="62">
        <f>'Service Counts'!V41</f>
        <v>38.950000000000003</v>
      </c>
      <c r="U39" s="5">
        <f t="shared" si="21"/>
        <v>0</v>
      </c>
      <c r="V39" s="184">
        <f t="shared" si="22"/>
        <v>0</v>
      </c>
      <c r="W39" s="62">
        <f>'Service Counts'!Y41</f>
        <v>38.950000000000003</v>
      </c>
      <c r="X39" s="5">
        <f t="shared" si="23"/>
        <v>0</v>
      </c>
      <c r="Y39" s="139">
        <f t="shared" si="24"/>
        <v>0</v>
      </c>
      <c r="Z39" s="5"/>
      <c r="AA39" s="5">
        <f t="shared" si="25"/>
        <v>0</v>
      </c>
    </row>
    <row r="40" spans="1:28">
      <c r="A40" t="s">
        <v>57</v>
      </c>
      <c r="C40" s="26">
        <f>'Service Counts'!C42</f>
        <v>0</v>
      </c>
      <c r="D40" s="62">
        <f>'Service Counts'!D42</f>
        <v>77.25</v>
      </c>
      <c r="E40" s="5">
        <f t="shared" si="13"/>
        <v>0</v>
      </c>
      <c r="F40" s="26">
        <f t="shared" si="14"/>
        <v>0</v>
      </c>
      <c r="G40" s="62">
        <f>'Service Counts'!G42</f>
        <v>79.099999999999994</v>
      </c>
      <c r="H40" s="5">
        <f t="shared" si="15"/>
        <v>0</v>
      </c>
      <c r="I40" s="139">
        <f t="shared" si="16"/>
        <v>0</v>
      </c>
      <c r="K40" s="184">
        <f>'Service Counts'!L42</f>
        <v>0</v>
      </c>
      <c r="L40" s="62">
        <f>'Service Counts'!M42</f>
        <v>61.6</v>
      </c>
      <c r="M40" s="5">
        <f t="shared" si="17"/>
        <v>0</v>
      </c>
      <c r="N40" s="184">
        <f t="shared" si="18"/>
        <v>0</v>
      </c>
      <c r="O40" s="62">
        <f>'Service Counts'!P42</f>
        <v>61.6</v>
      </c>
      <c r="P40" s="5">
        <f t="shared" si="19"/>
        <v>0</v>
      </c>
      <c r="Q40" s="139">
        <f t="shared" si="20"/>
        <v>0</v>
      </c>
      <c r="S40" s="184">
        <f>'Service Counts'!U42</f>
        <v>0</v>
      </c>
      <c r="T40" s="62">
        <f>'Service Counts'!V42</f>
        <v>61.6</v>
      </c>
      <c r="U40" s="5">
        <f t="shared" si="21"/>
        <v>0</v>
      </c>
      <c r="V40" s="184">
        <f t="shared" si="22"/>
        <v>0</v>
      </c>
      <c r="W40" s="62">
        <f>'Service Counts'!Y42</f>
        <v>61.6</v>
      </c>
      <c r="X40" s="5">
        <f t="shared" si="23"/>
        <v>0</v>
      </c>
      <c r="Y40" s="139">
        <f t="shared" si="24"/>
        <v>0</v>
      </c>
      <c r="Z40" s="5"/>
      <c r="AA40" s="5">
        <f t="shared" si="25"/>
        <v>0</v>
      </c>
    </row>
    <row r="41" spans="1:28">
      <c r="A41" t="s">
        <v>58</v>
      </c>
      <c r="C41" s="26">
        <f>'Service Counts'!C43</f>
        <v>0</v>
      </c>
      <c r="D41" s="62">
        <f>'Service Counts'!D43</f>
        <v>10.15</v>
      </c>
      <c r="E41" s="5">
        <f t="shared" si="13"/>
        <v>0</v>
      </c>
      <c r="F41" s="26">
        <f t="shared" si="14"/>
        <v>0</v>
      </c>
      <c r="G41" s="62">
        <f>'Service Counts'!G43</f>
        <v>10.39</v>
      </c>
      <c r="H41" s="5">
        <f t="shared" si="15"/>
        <v>0</v>
      </c>
      <c r="I41" s="139">
        <f t="shared" si="16"/>
        <v>0</v>
      </c>
      <c r="K41" s="184">
        <f>'Service Counts'!L43</f>
        <v>0</v>
      </c>
      <c r="L41" s="62">
        <f>'Service Counts'!M43</f>
        <v>8.25</v>
      </c>
      <c r="M41" s="5">
        <f t="shared" si="17"/>
        <v>0</v>
      </c>
      <c r="N41" s="184">
        <f t="shared" si="18"/>
        <v>0</v>
      </c>
      <c r="O41" s="62">
        <f>'Service Counts'!P43</f>
        <v>8.25</v>
      </c>
      <c r="P41" s="5">
        <f t="shared" si="19"/>
        <v>0</v>
      </c>
      <c r="Q41" s="139">
        <f t="shared" si="20"/>
        <v>0</v>
      </c>
      <c r="S41" s="184">
        <f>'Service Counts'!U43</f>
        <v>0</v>
      </c>
      <c r="T41" s="62">
        <f>'Service Counts'!V43</f>
        <v>8.25</v>
      </c>
      <c r="U41" s="5">
        <f t="shared" si="21"/>
        <v>0</v>
      </c>
      <c r="V41" s="184">
        <f t="shared" si="22"/>
        <v>0</v>
      </c>
      <c r="W41" s="62">
        <f>'Service Counts'!Y43</f>
        <v>8.25</v>
      </c>
      <c r="X41" s="5">
        <f t="shared" si="23"/>
        <v>0</v>
      </c>
      <c r="Y41" s="139">
        <f t="shared" si="24"/>
        <v>0</v>
      </c>
      <c r="Z41" s="5"/>
      <c r="AA41" s="5">
        <f t="shared" si="25"/>
        <v>0</v>
      </c>
    </row>
    <row r="42" spans="1:28">
      <c r="A42" t="s">
        <v>59</v>
      </c>
      <c r="C42" s="26">
        <f>'Service Counts'!C44</f>
        <v>0</v>
      </c>
      <c r="D42" s="62">
        <f>'Service Counts'!D44</f>
        <v>13.3</v>
      </c>
      <c r="E42" s="5">
        <f t="shared" si="13"/>
        <v>0</v>
      </c>
      <c r="F42" s="26">
        <f t="shared" si="14"/>
        <v>0</v>
      </c>
      <c r="G42" s="62">
        <f>'Service Counts'!G44</f>
        <v>13.62</v>
      </c>
      <c r="H42" s="5">
        <f t="shared" si="15"/>
        <v>0</v>
      </c>
      <c r="I42" s="139">
        <f t="shared" si="16"/>
        <v>0</v>
      </c>
      <c r="K42" s="184">
        <f>'Service Counts'!L44</f>
        <v>0</v>
      </c>
      <c r="L42" s="62">
        <f>'Service Counts'!M44</f>
        <v>10.9</v>
      </c>
      <c r="M42" s="5">
        <f t="shared" si="17"/>
        <v>0</v>
      </c>
      <c r="N42" s="184">
        <f t="shared" si="18"/>
        <v>0</v>
      </c>
      <c r="O42" s="62">
        <f>'Service Counts'!P44</f>
        <v>10.9</v>
      </c>
      <c r="P42" s="5">
        <f t="shared" si="19"/>
        <v>0</v>
      </c>
      <c r="Q42" s="139">
        <f t="shared" si="20"/>
        <v>0</v>
      </c>
      <c r="S42" s="184">
        <f>'Service Counts'!U44</f>
        <v>0</v>
      </c>
      <c r="T42" s="62">
        <f>'Service Counts'!V44</f>
        <v>10.9</v>
      </c>
      <c r="U42" s="5">
        <f t="shared" si="21"/>
        <v>0</v>
      </c>
      <c r="V42" s="184">
        <f t="shared" si="22"/>
        <v>0</v>
      </c>
      <c r="W42" s="62">
        <f>'Service Counts'!Y44</f>
        <v>10.9</v>
      </c>
      <c r="X42" s="5">
        <f t="shared" si="23"/>
        <v>0</v>
      </c>
      <c r="Y42" s="139">
        <f t="shared" si="24"/>
        <v>0</v>
      </c>
      <c r="Z42" s="5"/>
      <c r="AA42" s="5">
        <f t="shared" si="25"/>
        <v>0</v>
      </c>
    </row>
    <row r="43" spans="1:28">
      <c r="A43" t="s">
        <v>60</v>
      </c>
      <c r="C43" s="26">
        <f>'Service Counts'!C45</f>
        <v>0</v>
      </c>
      <c r="D43" s="62">
        <f>'Service Counts'!D45</f>
        <v>17.600000000000001</v>
      </c>
      <c r="E43" s="5">
        <f t="shared" si="13"/>
        <v>0</v>
      </c>
      <c r="F43" s="26">
        <f t="shared" si="14"/>
        <v>0</v>
      </c>
      <c r="G43" s="62">
        <f>'Service Counts'!G45</f>
        <v>18.02</v>
      </c>
      <c r="H43" s="5">
        <f t="shared" si="15"/>
        <v>0</v>
      </c>
      <c r="I43" s="139">
        <f t="shared" si="16"/>
        <v>0</v>
      </c>
      <c r="K43" s="184">
        <f>'Service Counts'!L45</f>
        <v>0</v>
      </c>
      <c r="L43" s="62">
        <f>'Service Counts'!M45</f>
        <v>14.5</v>
      </c>
      <c r="M43" s="5">
        <f t="shared" si="17"/>
        <v>0</v>
      </c>
      <c r="N43" s="184">
        <f t="shared" si="18"/>
        <v>0</v>
      </c>
      <c r="O43" s="62">
        <f>'Service Counts'!P45</f>
        <v>14.5</v>
      </c>
      <c r="P43" s="5">
        <f t="shared" si="19"/>
        <v>0</v>
      </c>
      <c r="Q43" s="139">
        <f t="shared" si="20"/>
        <v>0</v>
      </c>
      <c r="S43" s="184">
        <f>'Service Counts'!U45</f>
        <v>0</v>
      </c>
      <c r="T43" s="62">
        <f>'Service Counts'!V45</f>
        <v>14.5</v>
      </c>
      <c r="U43" s="5">
        <f t="shared" si="21"/>
        <v>0</v>
      </c>
      <c r="V43" s="184">
        <f t="shared" si="22"/>
        <v>0</v>
      </c>
      <c r="W43" s="62">
        <f>'Service Counts'!Y45</f>
        <v>14.5</v>
      </c>
      <c r="X43" s="5">
        <f t="shared" si="23"/>
        <v>0</v>
      </c>
      <c r="Y43" s="139">
        <f t="shared" si="24"/>
        <v>0</v>
      </c>
      <c r="Z43" s="5"/>
      <c r="AA43" s="5">
        <f t="shared" si="25"/>
        <v>0</v>
      </c>
    </row>
    <row r="44" spans="1:28">
      <c r="A44" t="s">
        <v>61</v>
      </c>
      <c r="C44" s="26">
        <f>'Service Counts'!C46</f>
        <v>0</v>
      </c>
      <c r="D44" s="62">
        <f>'Service Counts'!D46</f>
        <v>19.45</v>
      </c>
      <c r="E44" s="5">
        <f t="shared" si="13"/>
        <v>0</v>
      </c>
      <c r="F44" s="26">
        <f t="shared" si="14"/>
        <v>0</v>
      </c>
      <c r="G44" s="62">
        <f>'Service Counts'!G46</f>
        <v>19.920000000000002</v>
      </c>
      <c r="H44" s="5">
        <f t="shared" si="15"/>
        <v>0</v>
      </c>
      <c r="I44" s="139">
        <f t="shared" si="16"/>
        <v>0</v>
      </c>
      <c r="K44" s="184">
        <f>'Service Counts'!L46</f>
        <v>0</v>
      </c>
      <c r="L44" s="62">
        <f>'Service Counts'!M46</f>
        <v>15.2</v>
      </c>
      <c r="M44" s="5">
        <f t="shared" si="17"/>
        <v>0</v>
      </c>
      <c r="N44" s="184">
        <f t="shared" si="18"/>
        <v>0</v>
      </c>
      <c r="O44" s="62">
        <f>'Service Counts'!P46</f>
        <v>15.2</v>
      </c>
      <c r="P44" s="5">
        <f t="shared" si="19"/>
        <v>0</v>
      </c>
      <c r="Q44" s="139">
        <f t="shared" si="20"/>
        <v>0</v>
      </c>
      <c r="S44" s="184">
        <f>'Service Counts'!U46</f>
        <v>0</v>
      </c>
      <c r="T44" s="62">
        <f>'Service Counts'!V46</f>
        <v>15.2</v>
      </c>
      <c r="U44" s="5">
        <f t="shared" si="21"/>
        <v>0</v>
      </c>
      <c r="V44" s="184">
        <f t="shared" si="22"/>
        <v>0</v>
      </c>
      <c r="W44" s="62">
        <f>'Service Counts'!Y46</f>
        <v>15.2</v>
      </c>
      <c r="X44" s="5">
        <f t="shared" si="23"/>
        <v>0</v>
      </c>
      <c r="Y44" s="139">
        <f t="shared" si="24"/>
        <v>0</v>
      </c>
      <c r="Z44" s="5"/>
      <c r="AA44" s="5">
        <f t="shared" si="25"/>
        <v>0</v>
      </c>
    </row>
    <row r="45" spans="1:28">
      <c r="A45" t="s">
        <v>62</v>
      </c>
      <c r="C45" s="26">
        <f>'Service Counts'!C47</f>
        <v>0</v>
      </c>
      <c r="D45" s="62">
        <f>'Service Counts'!D47</f>
        <v>19.45</v>
      </c>
      <c r="E45" s="5">
        <f t="shared" si="13"/>
        <v>0</v>
      </c>
      <c r="F45" s="26">
        <f t="shared" si="14"/>
        <v>0</v>
      </c>
      <c r="G45" s="62">
        <f>'Service Counts'!G47</f>
        <v>19.920000000000002</v>
      </c>
      <c r="H45" s="5">
        <f t="shared" si="15"/>
        <v>0</v>
      </c>
      <c r="I45" s="139">
        <f t="shared" si="16"/>
        <v>0</v>
      </c>
      <c r="K45" s="184">
        <f>'Service Counts'!L47</f>
        <v>0</v>
      </c>
      <c r="L45" s="62">
        <f>'Service Counts'!M47</f>
        <v>15.8</v>
      </c>
      <c r="M45" s="5">
        <f t="shared" si="17"/>
        <v>0</v>
      </c>
      <c r="N45" s="184">
        <f t="shared" si="18"/>
        <v>0</v>
      </c>
      <c r="O45" s="62">
        <f>'Service Counts'!P47</f>
        <v>15.8</v>
      </c>
      <c r="P45" s="5">
        <f t="shared" si="19"/>
        <v>0</v>
      </c>
      <c r="Q45" s="139">
        <f t="shared" si="20"/>
        <v>0</v>
      </c>
      <c r="S45" s="184">
        <f>'Service Counts'!U47</f>
        <v>0</v>
      </c>
      <c r="T45" s="62">
        <f>'Service Counts'!V47</f>
        <v>15.8</v>
      </c>
      <c r="U45" s="5">
        <f t="shared" si="21"/>
        <v>0</v>
      </c>
      <c r="V45" s="184">
        <f t="shared" si="22"/>
        <v>0</v>
      </c>
      <c r="W45" s="62">
        <f>'Service Counts'!Y47</f>
        <v>15.8</v>
      </c>
      <c r="X45" s="5">
        <f t="shared" si="23"/>
        <v>0</v>
      </c>
      <c r="Y45" s="139">
        <f t="shared" si="24"/>
        <v>0</v>
      </c>
      <c r="Z45" s="5"/>
      <c r="AA45" s="5">
        <f t="shared" si="25"/>
        <v>0</v>
      </c>
    </row>
    <row r="46" spans="1:28">
      <c r="A46" t="s">
        <v>63</v>
      </c>
      <c r="C46" s="26">
        <f>'Service Counts'!C48</f>
        <v>0</v>
      </c>
      <c r="D46" s="62">
        <f>'Service Counts'!D48</f>
        <v>22.4</v>
      </c>
      <c r="E46" s="5">
        <f t="shared" si="13"/>
        <v>0</v>
      </c>
      <c r="F46" s="26">
        <f t="shared" si="14"/>
        <v>0</v>
      </c>
      <c r="G46" s="62">
        <f>'Service Counts'!G48</f>
        <v>22.94</v>
      </c>
      <c r="H46" s="5">
        <f t="shared" si="15"/>
        <v>0</v>
      </c>
      <c r="I46" s="139">
        <f t="shared" si="16"/>
        <v>0</v>
      </c>
      <c r="K46" s="184">
        <f>'Service Counts'!L48</f>
        <v>0</v>
      </c>
      <c r="L46" s="62">
        <f>'Service Counts'!M48</f>
        <v>18.350000000000001</v>
      </c>
      <c r="M46" s="5">
        <f t="shared" si="17"/>
        <v>0</v>
      </c>
      <c r="N46" s="184">
        <f t="shared" si="18"/>
        <v>0</v>
      </c>
      <c r="O46" s="62">
        <f>'Service Counts'!P48</f>
        <v>18.350000000000001</v>
      </c>
      <c r="P46" s="5">
        <f t="shared" si="19"/>
        <v>0</v>
      </c>
      <c r="Q46" s="139">
        <f t="shared" si="20"/>
        <v>0</v>
      </c>
      <c r="S46" s="184">
        <f>'Service Counts'!U48</f>
        <v>0</v>
      </c>
      <c r="T46" s="62">
        <f>'Service Counts'!V48</f>
        <v>18.350000000000001</v>
      </c>
      <c r="U46" s="5">
        <f t="shared" si="21"/>
        <v>0</v>
      </c>
      <c r="V46" s="184">
        <f t="shared" si="22"/>
        <v>0</v>
      </c>
      <c r="W46" s="62">
        <f>'Service Counts'!Y48</f>
        <v>18.350000000000001</v>
      </c>
      <c r="X46" s="5">
        <f t="shared" si="23"/>
        <v>0</v>
      </c>
      <c r="Y46" s="139">
        <f t="shared" si="24"/>
        <v>0</v>
      </c>
      <c r="Z46" s="5"/>
      <c r="AA46" s="5">
        <f t="shared" si="25"/>
        <v>0</v>
      </c>
    </row>
    <row r="47" spans="1:28">
      <c r="A47" t="s">
        <v>64</v>
      </c>
      <c r="C47" s="26">
        <f>'Service Counts'!C49</f>
        <v>0</v>
      </c>
      <c r="D47" s="62">
        <f>'Service Counts'!D49</f>
        <v>2.85</v>
      </c>
      <c r="E47" s="5">
        <f t="shared" si="13"/>
        <v>0</v>
      </c>
      <c r="F47" s="26">
        <f t="shared" si="14"/>
        <v>0</v>
      </c>
      <c r="G47" s="62">
        <f>'Service Counts'!G49</f>
        <v>2.92</v>
      </c>
      <c r="H47" s="5">
        <f t="shared" si="15"/>
        <v>0</v>
      </c>
      <c r="I47" s="139">
        <f t="shared" si="16"/>
        <v>0</v>
      </c>
      <c r="K47" s="184">
        <f>'Service Counts'!L49</f>
        <v>0</v>
      </c>
      <c r="L47" s="62">
        <f>'Service Counts'!M49</f>
        <v>2.2999999999999998</v>
      </c>
      <c r="M47" s="5">
        <f t="shared" si="17"/>
        <v>0</v>
      </c>
      <c r="N47" s="184">
        <f t="shared" si="18"/>
        <v>0</v>
      </c>
      <c r="O47" s="62">
        <f>'Service Counts'!P49</f>
        <v>2.2999999999999998</v>
      </c>
      <c r="P47" s="5">
        <f t="shared" si="19"/>
        <v>0</v>
      </c>
      <c r="Q47" s="139">
        <f t="shared" si="20"/>
        <v>0</v>
      </c>
      <c r="S47" s="184">
        <f>'Service Counts'!U49</f>
        <v>0</v>
      </c>
      <c r="T47" s="62">
        <f>'Service Counts'!V49</f>
        <v>2.2999999999999998</v>
      </c>
      <c r="U47" s="5">
        <f t="shared" si="21"/>
        <v>0</v>
      </c>
      <c r="V47" s="184">
        <f t="shared" si="22"/>
        <v>0</v>
      </c>
      <c r="W47" s="62">
        <f>'Service Counts'!Y49</f>
        <v>2.2999999999999998</v>
      </c>
      <c r="X47" s="5">
        <f t="shared" si="23"/>
        <v>0</v>
      </c>
      <c r="Y47" s="139">
        <f t="shared" si="24"/>
        <v>0</v>
      </c>
      <c r="Z47" s="5"/>
      <c r="AA47" s="5">
        <f t="shared" si="25"/>
        <v>0</v>
      </c>
    </row>
    <row r="48" spans="1:28">
      <c r="A48" t="s">
        <v>65</v>
      </c>
      <c r="C48" s="26">
        <f>'Service Counts'!C50</f>
        <v>0</v>
      </c>
      <c r="D48" s="62">
        <f>'Service Counts'!D50</f>
        <v>1.65</v>
      </c>
      <c r="E48" s="5">
        <f t="shared" si="13"/>
        <v>0</v>
      </c>
      <c r="F48" s="26">
        <f t="shared" si="14"/>
        <v>0</v>
      </c>
      <c r="G48" s="62">
        <f>'Service Counts'!G50</f>
        <v>1.69</v>
      </c>
      <c r="H48" s="5">
        <f t="shared" si="15"/>
        <v>0</v>
      </c>
      <c r="I48" s="139">
        <f t="shared" si="16"/>
        <v>0</v>
      </c>
      <c r="K48" s="184">
        <f>'Service Counts'!L50</f>
        <v>0</v>
      </c>
      <c r="L48" s="62">
        <f>'Service Counts'!M50</f>
        <v>1.3</v>
      </c>
      <c r="M48" s="5">
        <f t="shared" si="17"/>
        <v>0</v>
      </c>
      <c r="N48" s="184">
        <f t="shared" si="18"/>
        <v>0</v>
      </c>
      <c r="O48" s="62">
        <f>'Service Counts'!P50</f>
        <v>1.3</v>
      </c>
      <c r="P48" s="5">
        <f t="shared" si="19"/>
        <v>0</v>
      </c>
      <c r="Q48" s="139">
        <f t="shared" si="20"/>
        <v>0</v>
      </c>
      <c r="S48" s="184">
        <f>'Service Counts'!U50</f>
        <v>0</v>
      </c>
      <c r="T48" s="62">
        <f>'Service Counts'!V50</f>
        <v>1.3</v>
      </c>
      <c r="U48" s="5">
        <f t="shared" si="21"/>
        <v>0</v>
      </c>
      <c r="V48" s="184">
        <f t="shared" si="22"/>
        <v>0</v>
      </c>
      <c r="W48" s="62">
        <f>'Service Counts'!Y50</f>
        <v>1.3</v>
      </c>
      <c r="X48" s="5">
        <f t="shared" si="23"/>
        <v>0</v>
      </c>
      <c r="Y48" s="139">
        <f t="shared" si="24"/>
        <v>0</v>
      </c>
      <c r="Z48" s="5"/>
      <c r="AA48" s="5">
        <f t="shared" si="25"/>
        <v>0</v>
      </c>
      <c r="AB48" s="5">
        <f>SUM(AA33:AA48)</f>
        <v>0</v>
      </c>
    </row>
    <row r="49" spans="1:28">
      <c r="C49" s="26"/>
      <c r="D49" s="138"/>
      <c r="F49" s="26"/>
      <c r="G49" s="186"/>
      <c r="I49" s="134"/>
      <c r="K49" s="184"/>
      <c r="L49" s="186"/>
      <c r="N49" s="184"/>
      <c r="O49" s="186"/>
      <c r="Q49" s="134"/>
      <c r="S49" s="184"/>
      <c r="T49" s="186"/>
      <c r="V49" s="184"/>
      <c r="W49" s="186"/>
      <c r="Y49" s="134"/>
    </row>
    <row r="50" spans="1:28">
      <c r="A50" t="s">
        <v>66</v>
      </c>
      <c r="C50" s="26"/>
      <c r="D50" s="138"/>
      <c r="F50" s="26"/>
      <c r="G50" s="186"/>
      <c r="I50" s="134"/>
      <c r="K50" s="184"/>
      <c r="L50" s="186"/>
      <c r="N50" s="184"/>
      <c r="O50" s="186"/>
      <c r="Q50" s="134"/>
      <c r="S50" s="184"/>
      <c r="T50" s="186"/>
      <c r="V50" s="184"/>
      <c r="W50" s="186"/>
      <c r="Y50" s="134"/>
    </row>
    <row r="51" spans="1:28">
      <c r="A51" t="s">
        <v>67</v>
      </c>
      <c r="C51" s="26">
        <f>'Service Counts'!C53</f>
        <v>0</v>
      </c>
      <c r="D51" s="62">
        <f>'Service Counts'!D53</f>
        <v>114.5</v>
      </c>
      <c r="E51" s="5">
        <f t="shared" ref="E51:E63" si="26">+C51*D51</f>
        <v>0</v>
      </c>
      <c r="F51" s="26">
        <f t="shared" ref="F51:F63" si="27">+C51</f>
        <v>0</v>
      </c>
      <c r="G51" s="62">
        <f>'Service Counts'!G53</f>
        <v>117.24</v>
      </c>
      <c r="H51" s="5">
        <f t="shared" ref="H51:H63" si="28">+F51*G51</f>
        <v>0</v>
      </c>
      <c r="I51" s="139">
        <f t="shared" ref="I51:I63" si="29">+H51-E51</f>
        <v>0</v>
      </c>
      <c r="K51" s="184">
        <f>'Service Counts'!L53</f>
        <v>0</v>
      </c>
      <c r="L51" s="62">
        <f>'Service Counts'!M53</f>
        <v>95.05</v>
      </c>
      <c r="M51" s="5">
        <f t="shared" ref="M51:M63" si="30">+K51*L51</f>
        <v>0</v>
      </c>
      <c r="N51" s="184">
        <f t="shared" ref="N51:N63" si="31">+K51</f>
        <v>0</v>
      </c>
      <c r="O51" s="62">
        <f>'Service Counts'!P53</f>
        <v>95.05</v>
      </c>
      <c r="P51" s="5">
        <f t="shared" ref="P51:P63" si="32">+N51*O51</f>
        <v>0</v>
      </c>
      <c r="Q51" s="139">
        <f t="shared" ref="Q51:Q63" si="33">+P51-M51</f>
        <v>0</v>
      </c>
      <c r="S51" s="184">
        <f>'Service Counts'!U53</f>
        <v>0</v>
      </c>
      <c r="T51" s="62">
        <f>'Service Counts'!V53</f>
        <v>95.05</v>
      </c>
      <c r="U51" s="5">
        <f t="shared" ref="U51:U63" si="34">+S51*T51</f>
        <v>0</v>
      </c>
      <c r="V51" s="184">
        <f t="shared" ref="V51:V63" si="35">+S51</f>
        <v>0</v>
      </c>
      <c r="W51" s="62">
        <f>'Service Counts'!Y53</f>
        <v>95.05</v>
      </c>
      <c r="X51" s="5">
        <f t="shared" ref="X51:X63" si="36">+V51*W51</f>
        <v>0</v>
      </c>
      <c r="Y51" s="139">
        <f t="shared" ref="Y51:Y63" si="37">+X51-U51</f>
        <v>0</v>
      </c>
      <c r="Z51" s="5"/>
      <c r="AA51" s="5">
        <f t="shared" ref="AA51:AA63" si="38">+I51+Q51+Y51</f>
        <v>0</v>
      </c>
    </row>
    <row r="52" spans="1:28">
      <c r="A52" t="s">
        <v>68</v>
      </c>
      <c r="C52" s="26">
        <f>'Service Counts'!C54</f>
        <v>0</v>
      </c>
      <c r="D52" s="62">
        <f>'Service Counts'!D54</f>
        <v>139.5</v>
      </c>
      <c r="E52" s="5">
        <f t="shared" si="26"/>
        <v>0</v>
      </c>
      <c r="F52" s="26">
        <f t="shared" si="27"/>
        <v>0</v>
      </c>
      <c r="G52" s="62">
        <f>'Service Counts'!G54</f>
        <v>142.84</v>
      </c>
      <c r="H52" s="5">
        <f t="shared" si="28"/>
        <v>0</v>
      </c>
      <c r="I52" s="139">
        <f t="shared" si="29"/>
        <v>0</v>
      </c>
      <c r="K52" s="184">
        <f>'Service Counts'!L54</f>
        <v>0</v>
      </c>
      <c r="L52" s="62">
        <f>'Service Counts'!M54</f>
        <v>114.95</v>
      </c>
      <c r="M52" s="5">
        <f t="shared" si="30"/>
        <v>0</v>
      </c>
      <c r="N52" s="184">
        <f t="shared" si="31"/>
        <v>0</v>
      </c>
      <c r="O52" s="62">
        <f>'Service Counts'!P54</f>
        <v>114.95</v>
      </c>
      <c r="P52" s="5">
        <f t="shared" si="32"/>
        <v>0</v>
      </c>
      <c r="Q52" s="139">
        <f t="shared" si="33"/>
        <v>0</v>
      </c>
      <c r="S52" s="184">
        <f>'Service Counts'!U54</f>
        <v>0</v>
      </c>
      <c r="T52" s="62">
        <f>'Service Counts'!V54</f>
        <v>114.95</v>
      </c>
      <c r="U52" s="5">
        <f t="shared" si="34"/>
        <v>0</v>
      </c>
      <c r="V52" s="184">
        <f t="shared" si="35"/>
        <v>0</v>
      </c>
      <c r="W52" s="62">
        <f>'Service Counts'!Y54</f>
        <v>114.95</v>
      </c>
      <c r="X52" s="5">
        <f t="shared" si="36"/>
        <v>0</v>
      </c>
      <c r="Y52" s="139">
        <f t="shared" si="37"/>
        <v>0</v>
      </c>
      <c r="Z52" s="5"/>
      <c r="AA52" s="5">
        <f t="shared" si="38"/>
        <v>0</v>
      </c>
    </row>
    <row r="53" spans="1:28">
      <c r="A53" t="s">
        <v>69</v>
      </c>
      <c r="C53" s="26">
        <f>'Service Counts'!C55</f>
        <v>0</v>
      </c>
      <c r="D53" s="62">
        <f>'Service Counts'!D55</f>
        <v>150.5</v>
      </c>
      <c r="E53" s="5">
        <f t="shared" si="26"/>
        <v>0</v>
      </c>
      <c r="F53" s="26">
        <f t="shared" si="27"/>
        <v>0</v>
      </c>
      <c r="G53" s="62">
        <f>'Service Counts'!G55</f>
        <v>154.11000000000001</v>
      </c>
      <c r="H53" s="5">
        <f t="shared" si="28"/>
        <v>0</v>
      </c>
      <c r="I53" s="139">
        <f t="shared" si="29"/>
        <v>0</v>
      </c>
      <c r="K53" s="184">
        <f>'Service Counts'!L55</f>
        <v>0</v>
      </c>
      <c r="L53" s="62">
        <f>'Service Counts'!M55</f>
        <v>124.95</v>
      </c>
      <c r="M53" s="5">
        <f t="shared" si="30"/>
        <v>0</v>
      </c>
      <c r="N53" s="184">
        <f t="shared" si="31"/>
        <v>0</v>
      </c>
      <c r="O53" s="62">
        <f>'Service Counts'!P55</f>
        <v>124.95</v>
      </c>
      <c r="P53" s="5">
        <f t="shared" si="32"/>
        <v>0</v>
      </c>
      <c r="Q53" s="139">
        <f t="shared" si="33"/>
        <v>0</v>
      </c>
      <c r="S53" s="184">
        <f>'Service Counts'!U55</f>
        <v>0</v>
      </c>
      <c r="T53" s="62">
        <f>'Service Counts'!V55</f>
        <v>124.95</v>
      </c>
      <c r="U53" s="5">
        <f t="shared" si="34"/>
        <v>0</v>
      </c>
      <c r="V53" s="184">
        <f t="shared" si="35"/>
        <v>0</v>
      </c>
      <c r="W53" s="62">
        <f>'Service Counts'!Y55</f>
        <v>124.95</v>
      </c>
      <c r="X53" s="5">
        <f t="shared" si="36"/>
        <v>0</v>
      </c>
      <c r="Y53" s="139">
        <f t="shared" si="37"/>
        <v>0</v>
      </c>
      <c r="Z53" s="5"/>
      <c r="AA53" s="5">
        <f t="shared" si="38"/>
        <v>0</v>
      </c>
    </row>
    <row r="54" spans="1:28">
      <c r="A54" t="s">
        <v>70</v>
      </c>
      <c r="C54" s="26">
        <f>'Service Counts'!C56</f>
        <v>0</v>
      </c>
      <c r="D54" s="62">
        <f>'Service Counts'!D56</f>
        <v>3.35</v>
      </c>
      <c r="E54" s="5">
        <f t="shared" si="26"/>
        <v>0</v>
      </c>
      <c r="F54" s="26">
        <f t="shared" si="27"/>
        <v>0</v>
      </c>
      <c r="G54" s="62">
        <f>'Service Counts'!G56</f>
        <v>3.43</v>
      </c>
      <c r="H54" s="5">
        <f t="shared" si="28"/>
        <v>0</v>
      </c>
      <c r="I54" s="139">
        <f t="shared" si="29"/>
        <v>0</v>
      </c>
      <c r="K54" s="184">
        <f>'Service Counts'!L56</f>
        <v>0</v>
      </c>
      <c r="L54" s="62">
        <f>'Service Counts'!M56</f>
        <v>3.05</v>
      </c>
      <c r="M54" s="5">
        <f t="shared" si="30"/>
        <v>0</v>
      </c>
      <c r="N54" s="184">
        <f t="shared" si="31"/>
        <v>0</v>
      </c>
      <c r="O54" s="62">
        <f>'Service Counts'!P56</f>
        <v>3.05</v>
      </c>
      <c r="P54" s="5">
        <f t="shared" si="32"/>
        <v>0</v>
      </c>
      <c r="Q54" s="139">
        <f t="shared" si="33"/>
        <v>0</v>
      </c>
      <c r="S54" s="184">
        <f>'Service Counts'!U56</f>
        <v>0</v>
      </c>
      <c r="T54" s="62">
        <f>'Service Counts'!V56</f>
        <v>3.05</v>
      </c>
      <c r="U54" s="5">
        <f t="shared" si="34"/>
        <v>0</v>
      </c>
      <c r="V54" s="184">
        <f t="shared" si="35"/>
        <v>0</v>
      </c>
      <c r="W54" s="62">
        <f>'Service Counts'!Y56</f>
        <v>3.05</v>
      </c>
      <c r="X54" s="5">
        <f t="shared" si="36"/>
        <v>0</v>
      </c>
      <c r="Y54" s="139">
        <f t="shared" si="37"/>
        <v>0</v>
      </c>
      <c r="Z54" s="5"/>
      <c r="AA54" s="5">
        <f t="shared" si="38"/>
        <v>0</v>
      </c>
    </row>
    <row r="55" spans="1:28">
      <c r="A55" t="s">
        <v>71</v>
      </c>
      <c r="C55" s="26">
        <f>'Service Counts'!C57</f>
        <v>0</v>
      </c>
      <c r="D55" s="62">
        <f>'Service Counts'!D57</f>
        <v>3.85</v>
      </c>
      <c r="E55" s="5">
        <f t="shared" si="26"/>
        <v>0</v>
      </c>
      <c r="F55" s="26">
        <f t="shared" si="27"/>
        <v>0</v>
      </c>
      <c r="G55" s="62">
        <f>'Service Counts'!G57</f>
        <v>3.94</v>
      </c>
      <c r="H55" s="5">
        <f t="shared" si="28"/>
        <v>0</v>
      </c>
      <c r="I55" s="139">
        <f t="shared" si="29"/>
        <v>0</v>
      </c>
      <c r="K55" s="184">
        <f>'Service Counts'!L57</f>
        <v>0</v>
      </c>
      <c r="L55" s="62">
        <f>'Service Counts'!M57</f>
        <v>3.55</v>
      </c>
      <c r="M55" s="5">
        <f t="shared" si="30"/>
        <v>0</v>
      </c>
      <c r="N55" s="184">
        <f t="shared" si="31"/>
        <v>0</v>
      </c>
      <c r="O55" s="62">
        <f>'Service Counts'!P57</f>
        <v>3.55</v>
      </c>
      <c r="P55" s="5">
        <f t="shared" si="32"/>
        <v>0</v>
      </c>
      <c r="Q55" s="139">
        <f t="shared" si="33"/>
        <v>0</v>
      </c>
      <c r="S55" s="184">
        <f>'Service Counts'!U57</f>
        <v>0</v>
      </c>
      <c r="T55" s="62">
        <f>'Service Counts'!V57</f>
        <v>3.55</v>
      </c>
      <c r="U55" s="5">
        <f t="shared" si="34"/>
        <v>0</v>
      </c>
      <c r="V55" s="184">
        <f t="shared" si="35"/>
        <v>0</v>
      </c>
      <c r="W55" s="62">
        <f>'Service Counts'!Y57</f>
        <v>3.55</v>
      </c>
      <c r="X55" s="5">
        <f t="shared" si="36"/>
        <v>0</v>
      </c>
      <c r="Y55" s="139">
        <f t="shared" si="37"/>
        <v>0</v>
      </c>
      <c r="Z55" s="5"/>
      <c r="AA55" s="5">
        <f t="shared" si="38"/>
        <v>0</v>
      </c>
    </row>
    <row r="56" spans="1:28">
      <c r="A56" t="s">
        <v>72</v>
      </c>
      <c r="C56" s="26">
        <f>'Service Counts'!C58</f>
        <v>0</v>
      </c>
      <c r="D56" s="62">
        <f>'Service Counts'!D58</f>
        <v>4.5999999999999996</v>
      </c>
      <c r="E56" s="5">
        <f t="shared" si="26"/>
        <v>0</v>
      </c>
      <c r="F56" s="26">
        <f t="shared" si="27"/>
        <v>0</v>
      </c>
      <c r="G56" s="62">
        <f>'Service Counts'!G58</f>
        <v>4.71</v>
      </c>
      <c r="H56" s="5">
        <f t="shared" si="28"/>
        <v>0</v>
      </c>
      <c r="I56" s="139">
        <f t="shared" si="29"/>
        <v>0</v>
      </c>
      <c r="K56" s="184">
        <f>'Service Counts'!L58</f>
        <v>0</v>
      </c>
      <c r="L56" s="62">
        <f>'Service Counts'!M58</f>
        <v>4.2</v>
      </c>
      <c r="M56" s="5">
        <f t="shared" si="30"/>
        <v>0</v>
      </c>
      <c r="N56" s="184">
        <f t="shared" si="31"/>
        <v>0</v>
      </c>
      <c r="O56" s="62">
        <f>'Service Counts'!P58</f>
        <v>4.2</v>
      </c>
      <c r="P56" s="5">
        <f t="shared" si="32"/>
        <v>0</v>
      </c>
      <c r="Q56" s="139">
        <f t="shared" si="33"/>
        <v>0</v>
      </c>
      <c r="S56" s="184">
        <f>'Service Counts'!U58</f>
        <v>0</v>
      </c>
      <c r="T56" s="62">
        <f>'Service Counts'!V58</f>
        <v>4.2</v>
      </c>
      <c r="U56" s="5">
        <f t="shared" si="34"/>
        <v>0</v>
      </c>
      <c r="V56" s="184">
        <f t="shared" si="35"/>
        <v>0</v>
      </c>
      <c r="W56" s="62">
        <f>'Service Counts'!Y58</f>
        <v>4.2</v>
      </c>
      <c r="X56" s="5">
        <f t="shared" si="36"/>
        <v>0</v>
      </c>
      <c r="Y56" s="139">
        <f t="shared" si="37"/>
        <v>0</v>
      </c>
      <c r="Z56" s="5"/>
      <c r="AA56" s="5">
        <f t="shared" si="38"/>
        <v>0</v>
      </c>
    </row>
    <row r="57" spans="1:28">
      <c r="A57" t="s">
        <v>73</v>
      </c>
      <c r="C57" s="26">
        <f>'Service Counts'!C59</f>
        <v>0</v>
      </c>
      <c r="D57" s="62">
        <f>'Service Counts'!D59</f>
        <v>42.75</v>
      </c>
      <c r="E57" s="5">
        <f t="shared" si="26"/>
        <v>0</v>
      </c>
      <c r="F57" s="26">
        <f t="shared" si="27"/>
        <v>0</v>
      </c>
      <c r="G57" s="62">
        <f>'Service Counts'!G59</f>
        <v>43.77</v>
      </c>
      <c r="H57" s="5">
        <f t="shared" si="28"/>
        <v>0</v>
      </c>
      <c r="I57" s="139">
        <f t="shared" si="29"/>
        <v>0</v>
      </c>
      <c r="K57" s="184">
        <f>'Service Counts'!L59</f>
        <v>0</v>
      </c>
      <c r="L57" s="62">
        <f>'Service Counts'!M59</f>
        <v>35</v>
      </c>
      <c r="M57" s="5">
        <f t="shared" si="30"/>
        <v>0</v>
      </c>
      <c r="N57" s="184">
        <f t="shared" si="31"/>
        <v>0</v>
      </c>
      <c r="O57" s="62">
        <f>'Service Counts'!P59</f>
        <v>35</v>
      </c>
      <c r="P57" s="5">
        <f t="shared" si="32"/>
        <v>0</v>
      </c>
      <c r="Q57" s="139">
        <f t="shared" si="33"/>
        <v>0</v>
      </c>
      <c r="S57" s="184">
        <f>'Service Counts'!U59</f>
        <v>0</v>
      </c>
      <c r="T57" s="62">
        <f>'Service Counts'!V59</f>
        <v>35</v>
      </c>
      <c r="U57" s="5">
        <f t="shared" si="34"/>
        <v>0</v>
      </c>
      <c r="V57" s="184">
        <f t="shared" si="35"/>
        <v>0</v>
      </c>
      <c r="W57" s="62">
        <f>'Service Counts'!Y59</f>
        <v>35</v>
      </c>
      <c r="X57" s="5">
        <f t="shared" si="36"/>
        <v>0</v>
      </c>
      <c r="Y57" s="139">
        <f t="shared" si="37"/>
        <v>0</v>
      </c>
      <c r="Z57" s="5"/>
      <c r="AA57" s="5">
        <f t="shared" si="38"/>
        <v>0</v>
      </c>
    </row>
    <row r="58" spans="1:28">
      <c r="A58" t="s">
        <v>74</v>
      </c>
      <c r="C58" s="26">
        <f>'Service Counts'!C60</f>
        <v>0</v>
      </c>
      <c r="D58" s="62">
        <f>'Service Counts'!D60</f>
        <v>42.75</v>
      </c>
      <c r="E58" s="5">
        <f t="shared" si="26"/>
        <v>0</v>
      </c>
      <c r="F58" s="26">
        <f t="shared" si="27"/>
        <v>0</v>
      </c>
      <c r="G58" s="62">
        <f>'Service Counts'!G60</f>
        <v>43.77</v>
      </c>
      <c r="H58" s="5">
        <f t="shared" si="28"/>
        <v>0</v>
      </c>
      <c r="I58" s="139">
        <f t="shared" si="29"/>
        <v>0</v>
      </c>
      <c r="K58" s="184">
        <f>'Service Counts'!L60</f>
        <v>0</v>
      </c>
      <c r="L58" s="62">
        <f>'Service Counts'!M60</f>
        <v>35</v>
      </c>
      <c r="M58" s="5">
        <f t="shared" si="30"/>
        <v>0</v>
      </c>
      <c r="N58" s="184">
        <f t="shared" si="31"/>
        <v>0</v>
      </c>
      <c r="O58" s="62">
        <f>'Service Counts'!P60</f>
        <v>35</v>
      </c>
      <c r="P58" s="5">
        <f t="shared" si="32"/>
        <v>0</v>
      </c>
      <c r="Q58" s="139">
        <f t="shared" si="33"/>
        <v>0</v>
      </c>
      <c r="S58" s="184">
        <f>'Service Counts'!U60</f>
        <v>0</v>
      </c>
      <c r="T58" s="62">
        <f>'Service Counts'!V60</f>
        <v>35</v>
      </c>
      <c r="U58" s="5">
        <f t="shared" si="34"/>
        <v>0</v>
      </c>
      <c r="V58" s="184">
        <f t="shared" si="35"/>
        <v>0</v>
      </c>
      <c r="W58" s="62">
        <f>'Service Counts'!Y60</f>
        <v>35</v>
      </c>
      <c r="X58" s="5">
        <f t="shared" si="36"/>
        <v>0</v>
      </c>
      <c r="Y58" s="139">
        <f t="shared" si="37"/>
        <v>0</v>
      </c>
      <c r="Z58" s="5"/>
      <c r="AA58" s="5">
        <f t="shared" si="38"/>
        <v>0</v>
      </c>
    </row>
    <row r="59" spans="1:28">
      <c r="A59" t="s">
        <v>75</v>
      </c>
      <c r="C59" s="26">
        <f>'Service Counts'!C61</f>
        <v>0</v>
      </c>
      <c r="D59" s="62">
        <f>'Service Counts'!D61</f>
        <v>42.75</v>
      </c>
      <c r="E59" s="5">
        <f t="shared" si="26"/>
        <v>0</v>
      </c>
      <c r="F59" s="26">
        <f t="shared" si="27"/>
        <v>0</v>
      </c>
      <c r="G59" s="62">
        <f>'Service Counts'!G61</f>
        <v>43.77</v>
      </c>
      <c r="H59" s="5">
        <f t="shared" si="28"/>
        <v>0</v>
      </c>
      <c r="I59" s="139">
        <f t="shared" si="29"/>
        <v>0</v>
      </c>
      <c r="K59" s="184">
        <f>'Service Counts'!L61</f>
        <v>0</v>
      </c>
      <c r="L59" s="62">
        <f>'Service Counts'!M61</f>
        <v>35</v>
      </c>
      <c r="M59" s="5">
        <f t="shared" si="30"/>
        <v>0</v>
      </c>
      <c r="N59" s="184">
        <f t="shared" si="31"/>
        <v>0</v>
      </c>
      <c r="O59" s="62">
        <f>'Service Counts'!P61</f>
        <v>35</v>
      </c>
      <c r="P59" s="5">
        <f t="shared" si="32"/>
        <v>0</v>
      </c>
      <c r="Q59" s="139">
        <f t="shared" si="33"/>
        <v>0</v>
      </c>
      <c r="S59" s="184">
        <f>'Service Counts'!U61</f>
        <v>0</v>
      </c>
      <c r="T59" s="62">
        <f>'Service Counts'!V61</f>
        <v>35</v>
      </c>
      <c r="U59" s="5">
        <f t="shared" si="34"/>
        <v>0</v>
      </c>
      <c r="V59" s="184">
        <f t="shared" si="35"/>
        <v>0</v>
      </c>
      <c r="W59" s="62">
        <f>'Service Counts'!Y61</f>
        <v>35</v>
      </c>
      <c r="X59" s="5">
        <f t="shared" si="36"/>
        <v>0</v>
      </c>
      <c r="Y59" s="139">
        <f t="shared" si="37"/>
        <v>0</v>
      </c>
      <c r="Z59" s="5"/>
      <c r="AA59" s="5">
        <f t="shared" si="38"/>
        <v>0</v>
      </c>
    </row>
    <row r="60" spans="1:28">
      <c r="A60" t="s">
        <v>76</v>
      </c>
      <c r="C60" s="26">
        <f>'Service Counts'!C62</f>
        <v>0</v>
      </c>
      <c r="D60" s="62">
        <f>'Service Counts'!D62</f>
        <v>2.4500000000000002</v>
      </c>
      <c r="E60" s="5">
        <f t="shared" si="26"/>
        <v>0</v>
      </c>
      <c r="F60" s="26">
        <f t="shared" si="27"/>
        <v>0</v>
      </c>
      <c r="G60" s="62">
        <f>'Service Counts'!G62</f>
        <v>2.5099999999999998</v>
      </c>
      <c r="H60" s="5">
        <f t="shared" si="28"/>
        <v>0</v>
      </c>
      <c r="I60" s="139">
        <f t="shared" si="29"/>
        <v>0</v>
      </c>
      <c r="K60" s="184">
        <f>'Service Counts'!L62</f>
        <v>0</v>
      </c>
      <c r="L60" s="62">
        <f>'Service Counts'!M62</f>
        <v>2.2000000000000002</v>
      </c>
      <c r="M60" s="5">
        <f t="shared" si="30"/>
        <v>0</v>
      </c>
      <c r="N60" s="184">
        <f t="shared" si="31"/>
        <v>0</v>
      </c>
      <c r="O60" s="62">
        <f>'Service Counts'!P62</f>
        <v>2.2000000000000002</v>
      </c>
      <c r="P60" s="5">
        <f t="shared" si="32"/>
        <v>0</v>
      </c>
      <c r="Q60" s="139">
        <f t="shared" si="33"/>
        <v>0</v>
      </c>
      <c r="S60" s="184">
        <f>'Service Counts'!U62</f>
        <v>0</v>
      </c>
      <c r="T60" s="62">
        <f>'Service Counts'!V62</f>
        <v>2.2000000000000002</v>
      </c>
      <c r="U60" s="5">
        <f t="shared" si="34"/>
        <v>0</v>
      </c>
      <c r="V60" s="184">
        <f t="shared" si="35"/>
        <v>0</v>
      </c>
      <c r="W60" s="62">
        <f>'Service Counts'!Y62</f>
        <v>2.2000000000000002</v>
      </c>
      <c r="X60" s="5">
        <f t="shared" si="36"/>
        <v>0</v>
      </c>
      <c r="Y60" s="139">
        <f t="shared" si="37"/>
        <v>0</v>
      </c>
      <c r="Z60" s="5"/>
      <c r="AA60" s="5">
        <f t="shared" si="38"/>
        <v>0</v>
      </c>
    </row>
    <row r="61" spans="1:28">
      <c r="A61" t="s">
        <v>77</v>
      </c>
      <c r="C61" s="26">
        <f>'Service Counts'!C63</f>
        <v>0</v>
      </c>
      <c r="D61" s="62">
        <f>'Service Counts'!D63</f>
        <v>30.9</v>
      </c>
      <c r="E61" s="5">
        <f t="shared" si="26"/>
        <v>0</v>
      </c>
      <c r="F61" s="26">
        <f t="shared" si="27"/>
        <v>0</v>
      </c>
      <c r="G61" s="62">
        <f>'Service Counts'!G63</f>
        <v>31.64</v>
      </c>
      <c r="H61" s="5">
        <f t="shared" si="28"/>
        <v>0</v>
      </c>
      <c r="I61" s="139">
        <f t="shared" si="29"/>
        <v>0</v>
      </c>
      <c r="K61" s="184">
        <f>'Service Counts'!L63</f>
        <v>0</v>
      </c>
      <c r="L61" s="62">
        <f>'Service Counts'!M63</f>
        <v>0</v>
      </c>
      <c r="M61" s="5">
        <f t="shared" si="30"/>
        <v>0</v>
      </c>
      <c r="N61" s="184">
        <f t="shared" si="31"/>
        <v>0</v>
      </c>
      <c r="O61" s="62">
        <f>'Service Counts'!P63</f>
        <v>0</v>
      </c>
      <c r="P61" s="5">
        <f t="shared" si="32"/>
        <v>0</v>
      </c>
      <c r="Q61" s="139">
        <f t="shared" si="33"/>
        <v>0</v>
      </c>
      <c r="S61" s="184">
        <f>'Service Counts'!U63</f>
        <v>0</v>
      </c>
      <c r="T61" s="62">
        <f>'Service Counts'!V63</f>
        <v>0</v>
      </c>
      <c r="U61" s="5">
        <f t="shared" si="34"/>
        <v>0</v>
      </c>
      <c r="V61" s="184">
        <f t="shared" si="35"/>
        <v>0</v>
      </c>
      <c r="W61" s="62">
        <f>'Service Counts'!Y63</f>
        <v>0</v>
      </c>
      <c r="X61" s="5">
        <f t="shared" si="36"/>
        <v>0</v>
      </c>
      <c r="Y61" s="139">
        <f t="shared" si="37"/>
        <v>0</v>
      </c>
      <c r="Z61" s="5"/>
      <c r="AA61" s="5">
        <f t="shared" si="38"/>
        <v>0</v>
      </c>
      <c r="AB61" s="5"/>
    </row>
    <row r="62" spans="1:28">
      <c r="A62" t="s">
        <v>78</v>
      </c>
      <c r="C62" s="26">
        <f>'Service Counts'!C64</f>
        <v>0</v>
      </c>
      <c r="D62" s="62">
        <f>'Service Counts'!D64</f>
        <v>177.5</v>
      </c>
      <c r="E62" s="5">
        <f t="shared" si="26"/>
        <v>0</v>
      </c>
      <c r="F62" s="26">
        <f t="shared" si="27"/>
        <v>0</v>
      </c>
      <c r="G62" s="62">
        <f>'Service Counts'!G64</f>
        <v>181.75</v>
      </c>
      <c r="H62" s="5">
        <f t="shared" si="28"/>
        <v>0</v>
      </c>
      <c r="I62" s="139">
        <f t="shared" si="29"/>
        <v>0</v>
      </c>
      <c r="K62" s="184">
        <f>'Service Counts'!L64</f>
        <v>0</v>
      </c>
      <c r="L62" s="62">
        <f>'Service Counts'!M64</f>
        <v>0</v>
      </c>
      <c r="M62" s="5">
        <f t="shared" si="30"/>
        <v>0</v>
      </c>
      <c r="N62" s="184">
        <f t="shared" si="31"/>
        <v>0</v>
      </c>
      <c r="O62" s="62">
        <f>'Service Counts'!P64</f>
        <v>0</v>
      </c>
      <c r="P62" s="5">
        <f t="shared" si="32"/>
        <v>0</v>
      </c>
      <c r="Q62" s="139">
        <f t="shared" si="33"/>
        <v>0</v>
      </c>
      <c r="S62" s="184">
        <f>'Service Counts'!U64</f>
        <v>0</v>
      </c>
      <c r="T62" s="62">
        <f>'Service Counts'!V64</f>
        <v>0</v>
      </c>
      <c r="U62" s="5">
        <f t="shared" si="34"/>
        <v>0</v>
      </c>
      <c r="V62" s="184">
        <f t="shared" si="35"/>
        <v>0</v>
      </c>
      <c r="W62" s="62">
        <f>'Service Counts'!Y64</f>
        <v>0</v>
      </c>
      <c r="X62" s="5">
        <f t="shared" si="36"/>
        <v>0</v>
      </c>
      <c r="Y62" s="139">
        <f t="shared" si="37"/>
        <v>0</v>
      </c>
      <c r="Z62" s="5"/>
      <c r="AA62" s="5">
        <f t="shared" si="38"/>
        <v>0</v>
      </c>
      <c r="AB62" s="5"/>
    </row>
    <row r="63" spans="1:28">
      <c r="A63" t="s">
        <v>79</v>
      </c>
      <c r="C63" s="26">
        <f>'Service Counts'!C65</f>
        <v>0</v>
      </c>
      <c r="D63" s="62">
        <f>'Service Counts'!D65</f>
        <v>215.5</v>
      </c>
      <c r="E63" s="5">
        <f t="shared" si="26"/>
        <v>0</v>
      </c>
      <c r="F63" s="26">
        <f t="shared" si="27"/>
        <v>0</v>
      </c>
      <c r="G63" s="62">
        <f>'Service Counts'!G65</f>
        <v>220.67</v>
      </c>
      <c r="H63" s="5">
        <f t="shared" si="28"/>
        <v>0</v>
      </c>
      <c r="I63" s="139">
        <f t="shared" si="29"/>
        <v>0</v>
      </c>
      <c r="K63" s="184">
        <f>'Service Counts'!L65</f>
        <v>0</v>
      </c>
      <c r="L63" s="62">
        <f>'Service Counts'!M65</f>
        <v>0</v>
      </c>
      <c r="M63" s="5">
        <f t="shared" si="30"/>
        <v>0</v>
      </c>
      <c r="N63" s="184">
        <f t="shared" si="31"/>
        <v>0</v>
      </c>
      <c r="O63" s="62">
        <f>'Service Counts'!P65</f>
        <v>0</v>
      </c>
      <c r="P63" s="5">
        <f t="shared" si="32"/>
        <v>0</v>
      </c>
      <c r="Q63" s="139">
        <f t="shared" si="33"/>
        <v>0</v>
      </c>
      <c r="S63" s="184">
        <f>'Service Counts'!U65</f>
        <v>0</v>
      </c>
      <c r="T63" s="62">
        <f>'Service Counts'!V65</f>
        <v>0</v>
      </c>
      <c r="U63" s="5">
        <f t="shared" si="34"/>
        <v>0</v>
      </c>
      <c r="V63" s="184">
        <f t="shared" si="35"/>
        <v>0</v>
      </c>
      <c r="W63" s="62">
        <f>'Service Counts'!Y65</f>
        <v>0</v>
      </c>
      <c r="X63" s="5">
        <f t="shared" si="36"/>
        <v>0</v>
      </c>
      <c r="Y63" s="139">
        <f t="shared" si="37"/>
        <v>0</v>
      </c>
      <c r="Z63" s="5"/>
      <c r="AA63" s="5">
        <f t="shared" si="38"/>
        <v>0</v>
      </c>
      <c r="AB63" s="5">
        <f>SUM(AA51:AA63)</f>
        <v>0</v>
      </c>
    </row>
    <row r="64" spans="1:28">
      <c r="C64" s="26"/>
      <c r="D64" s="138"/>
      <c r="F64" s="26"/>
      <c r="G64" s="186"/>
      <c r="I64" s="134"/>
      <c r="K64" s="26"/>
      <c r="L64" s="186"/>
      <c r="N64" s="184"/>
      <c r="O64" s="138"/>
      <c r="Q64" s="134"/>
      <c r="S64" s="184"/>
      <c r="T64" s="138"/>
      <c r="V64" s="184"/>
      <c r="W64" s="138"/>
      <c r="Y64" s="134"/>
    </row>
    <row r="65" spans="1:29">
      <c r="A65" t="s">
        <v>80</v>
      </c>
      <c r="C65" s="26"/>
      <c r="D65" s="138"/>
      <c r="F65" s="26"/>
      <c r="G65" s="186"/>
      <c r="I65" s="134"/>
      <c r="K65" s="26"/>
      <c r="L65" s="186"/>
      <c r="N65" s="184"/>
      <c r="O65" s="138"/>
      <c r="Q65" s="134"/>
      <c r="S65" s="184"/>
      <c r="T65" s="138"/>
      <c r="V65" s="184"/>
      <c r="W65" s="138"/>
      <c r="Y65" s="134"/>
    </row>
    <row r="66" spans="1:29">
      <c r="A66" t="s">
        <v>81</v>
      </c>
      <c r="C66" s="26"/>
      <c r="D66" s="138"/>
      <c r="F66" s="26"/>
      <c r="G66" s="182"/>
      <c r="I66" s="134"/>
      <c r="K66" s="26"/>
      <c r="L66" s="185"/>
      <c r="N66" s="184"/>
      <c r="O66" s="138"/>
      <c r="Q66" s="134"/>
      <c r="S66" s="184"/>
      <c r="T66" s="138"/>
      <c r="V66" s="184"/>
      <c r="W66" s="138"/>
      <c r="Y66" s="134"/>
    </row>
    <row r="67" spans="1:29">
      <c r="A67" t="s">
        <v>82</v>
      </c>
      <c r="C67" s="26">
        <f>'Service Counts'!C69</f>
        <v>0</v>
      </c>
      <c r="D67" s="62">
        <f>'Service Counts'!D69</f>
        <v>138</v>
      </c>
      <c r="E67" s="5">
        <f>+C67*D67</f>
        <v>0</v>
      </c>
      <c r="F67" s="26">
        <f>+C67</f>
        <v>0</v>
      </c>
      <c r="G67" s="62">
        <f>'Service Counts'!G69</f>
        <v>141.31</v>
      </c>
      <c r="H67" s="5">
        <f>+F67*G67</f>
        <v>0</v>
      </c>
      <c r="I67" s="139">
        <f>+H67-E67</f>
        <v>0</v>
      </c>
      <c r="K67" s="184">
        <f>'Service Counts'!L69</f>
        <v>0</v>
      </c>
      <c r="L67" s="62">
        <f>'Service Counts'!M69</f>
        <v>129</v>
      </c>
      <c r="M67" s="5">
        <f>+K67*L67</f>
        <v>0</v>
      </c>
      <c r="N67" s="184">
        <f>+K67</f>
        <v>0</v>
      </c>
      <c r="O67" s="62">
        <f>'Service Counts'!P69</f>
        <v>129</v>
      </c>
      <c r="P67" s="5">
        <f>+N67*O67</f>
        <v>0</v>
      </c>
      <c r="Q67" s="139">
        <f>+P67-M67</f>
        <v>0</v>
      </c>
      <c r="S67" s="184">
        <f>'Service Counts'!U69</f>
        <v>0</v>
      </c>
      <c r="T67" s="62">
        <f>'Service Counts'!V69</f>
        <v>129</v>
      </c>
      <c r="U67" s="5">
        <f>+S67*T67</f>
        <v>0</v>
      </c>
      <c r="V67" s="184">
        <f>+S67</f>
        <v>0</v>
      </c>
      <c r="W67" s="62">
        <f>'Service Counts'!Y69</f>
        <v>129</v>
      </c>
      <c r="X67" s="5">
        <f>+V67*W67</f>
        <v>0</v>
      </c>
      <c r="Y67" s="139">
        <f>+X67-U67</f>
        <v>0</v>
      </c>
      <c r="Z67" s="5"/>
      <c r="AA67" s="5">
        <f>+I67+Q67+Y67</f>
        <v>0</v>
      </c>
    </row>
    <row r="68" spans="1:29" ht="13.5" thickBot="1">
      <c r="A68" t="s">
        <v>83</v>
      </c>
      <c r="C68" s="26">
        <f>'Service Counts'!C70</f>
        <v>0</v>
      </c>
      <c r="D68" s="62">
        <f>'Service Counts'!D70</f>
        <v>35</v>
      </c>
      <c r="E68" s="6">
        <f>+C68*D68</f>
        <v>0</v>
      </c>
      <c r="F68" s="130">
        <f>+C68</f>
        <v>0</v>
      </c>
      <c r="G68" s="62">
        <f>'Service Counts'!G70</f>
        <v>35.840000000000003</v>
      </c>
      <c r="H68" s="6">
        <f>+F68*G68</f>
        <v>0</v>
      </c>
      <c r="I68" s="136">
        <f>+H68-E68</f>
        <v>0</v>
      </c>
      <c r="K68" s="184">
        <f>'Service Counts'!L70</f>
        <v>0</v>
      </c>
      <c r="L68" s="62">
        <f>'Service Counts'!M70</f>
        <v>32</v>
      </c>
      <c r="M68" s="6">
        <f>+K68*L68</f>
        <v>0</v>
      </c>
      <c r="N68" s="183">
        <f>+K68</f>
        <v>0</v>
      </c>
      <c r="O68" s="62">
        <f>'Service Counts'!P70</f>
        <v>32</v>
      </c>
      <c r="P68" s="6">
        <f>+N68*O68</f>
        <v>0</v>
      </c>
      <c r="Q68" s="136">
        <f>+P68-M68</f>
        <v>0</v>
      </c>
      <c r="S68" s="184">
        <f>'Service Counts'!U70</f>
        <v>0</v>
      </c>
      <c r="T68" s="62">
        <f>'Service Counts'!V70</f>
        <v>32</v>
      </c>
      <c r="U68" s="6">
        <f>+S68*T68</f>
        <v>0</v>
      </c>
      <c r="V68" s="183">
        <f>+S68</f>
        <v>0</v>
      </c>
      <c r="W68" s="62">
        <f>'Service Counts'!Y70</f>
        <v>32</v>
      </c>
      <c r="X68" s="6">
        <f>+V68*W68</f>
        <v>0</v>
      </c>
      <c r="Y68" s="136">
        <f>+X68-U68</f>
        <v>0</v>
      </c>
      <c r="Z68" s="5"/>
      <c r="AA68" s="6">
        <f>+I68+Q68+Y68</f>
        <v>0</v>
      </c>
      <c r="AB68" s="6">
        <f>SUM(AA67:AA68)</f>
        <v>0</v>
      </c>
    </row>
    <row r="69" spans="1:29">
      <c r="C69" s="26"/>
      <c r="D69" s="51"/>
      <c r="F69" s="26"/>
      <c r="G69" s="51"/>
      <c r="I69" s="99"/>
      <c r="K69" s="26"/>
      <c r="L69" s="51"/>
      <c r="N69" s="26"/>
      <c r="O69" s="51"/>
      <c r="Q69" s="99"/>
      <c r="S69" s="26"/>
      <c r="T69" s="51"/>
      <c r="V69" s="26"/>
      <c r="W69" s="51"/>
      <c r="Y69" s="99"/>
    </row>
    <row r="70" spans="1:29">
      <c r="C70" s="26">
        <f>SUM(C11:C68)</f>
        <v>0</v>
      </c>
      <c r="D70" s="51"/>
      <c r="E70" s="57">
        <f>SUM(E11:E68)</f>
        <v>0</v>
      </c>
      <c r="F70" s="26">
        <f>SUM(F11:F68)</f>
        <v>0</v>
      </c>
      <c r="G70" s="51"/>
      <c r="H70" s="57">
        <f>SUM(H11:H68)</f>
        <v>0</v>
      </c>
      <c r="I70" s="143">
        <f>SUM(I11:I68)</f>
        <v>0</v>
      </c>
      <c r="K70" s="26">
        <f>SUM(K11:K68)</f>
        <v>0</v>
      </c>
      <c r="L70" s="51"/>
      <c r="M70" s="57">
        <f>SUM(M11:M68)</f>
        <v>0</v>
      </c>
      <c r="N70" s="26">
        <f>SUM(N11:N68)</f>
        <v>0</v>
      </c>
      <c r="O70" s="51"/>
      <c r="P70" s="57">
        <f>SUM(P11:P68)</f>
        <v>0</v>
      </c>
      <c r="Q70" s="143">
        <f>SUM(Q11:Q68)</f>
        <v>0</v>
      </c>
      <c r="R70">
        <v>0</v>
      </c>
      <c r="S70" s="26">
        <f>SUM(S11:S68)</f>
        <v>0</v>
      </c>
      <c r="T70" s="51"/>
      <c r="U70" s="57">
        <f>SUM(U11:U68)</f>
        <v>0</v>
      </c>
      <c r="V70" s="26">
        <f>SUM(V11:V68)</f>
        <v>0</v>
      </c>
      <c r="W70" s="51"/>
      <c r="X70" s="57">
        <f>SUM(X11:X68)</f>
        <v>0</v>
      </c>
      <c r="Y70" s="143">
        <f>SUM(Y11:Y68)</f>
        <v>0</v>
      </c>
      <c r="Z70" s="57"/>
      <c r="AA70" s="57"/>
      <c r="AB70" s="57">
        <f>SUM(AB11:AB68)</f>
        <v>0</v>
      </c>
    </row>
    <row r="71" spans="1:29">
      <c r="C71" s="26"/>
      <c r="D71" s="51"/>
      <c r="F71" s="26"/>
      <c r="G71" s="51"/>
      <c r="I71" s="134"/>
      <c r="K71" s="26"/>
      <c r="L71" s="51"/>
      <c r="N71" s="26"/>
      <c r="O71" s="51"/>
      <c r="Q71" s="134"/>
      <c r="S71" s="26"/>
      <c r="T71" s="51"/>
      <c r="V71" s="26"/>
      <c r="W71" s="51"/>
      <c r="Y71" s="134"/>
    </row>
    <row r="72" spans="1:29">
      <c r="D72" s="51"/>
      <c r="E72" s="9"/>
      <c r="F72" s="26"/>
      <c r="G72" s="51" t="s">
        <v>734</v>
      </c>
      <c r="H72" s="9"/>
      <c r="I72" s="132">
        <f>SUM(I11:I48)+(I67+I68)</f>
        <v>0</v>
      </c>
      <c r="J72" s="9"/>
      <c r="L72" s="51"/>
      <c r="M72" s="9"/>
      <c r="O72" s="51" t="s">
        <v>734</v>
      </c>
      <c r="P72" s="9"/>
      <c r="Q72" s="132">
        <f>SUM(Q11:Q48)+(Q67+Q68)</f>
        <v>0</v>
      </c>
      <c r="R72" s="9"/>
      <c r="T72" s="51"/>
      <c r="U72" s="9"/>
      <c r="W72" s="51" t="s">
        <v>734</v>
      </c>
      <c r="X72" s="9"/>
      <c r="Y72" s="132">
        <f>SUM(Y11:Y48)+(Y67+Y68)</f>
        <v>0</v>
      </c>
      <c r="Z72" s="51" t="s">
        <v>734</v>
      </c>
      <c r="AA72" s="9"/>
      <c r="AB72" s="132">
        <f>SUM(AB11:AB48)+(AB67+AB68)</f>
        <v>0</v>
      </c>
    </row>
    <row r="73" spans="1:29">
      <c r="D73" s="51"/>
      <c r="E73" s="9"/>
      <c r="F73" s="26"/>
      <c r="G73" s="51" t="s">
        <v>263</v>
      </c>
      <c r="H73" s="9"/>
      <c r="I73" s="139">
        <f>SUM(I51:I63)</f>
        <v>0</v>
      </c>
      <c r="J73" s="9"/>
      <c r="L73" s="51"/>
      <c r="M73" s="9"/>
      <c r="O73" s="51" t="s">
        <v>263</v>
      </c>
      <c r="P73" s="9"/>
      <c r="Q73" s="139">
        <f>SUM(Q51:Q63)</f>
        <v>0</v>
      </c>
      <c r="R73" s="9"/>
      <c r="T73" s="51"/>
      <c r="U73" s="9"/>
      <c r="W73" s="51" t="s">
        <v>263</v>
      </c>
      <c r="X73" s="9"/>
      <c r="Y73" s="139">
        <f>SUM(Y51:Y63)</f>
        <v>0</v>
      </c>
      <c r="Z73" s="51" t="s">
        <v>263</v>
      </c>
      <c r="AA73" s="9"/>
      <c r="AB73" s="139">
        <f>SUM(AB51:AB63)</f>
        <v>0</v>
      </c>
    </row>
    <row r="74" spans="1:29">
      <c r="D74" s="51"/>
      <c r="F74" s="26"/>
      <c r="G74" s="51"/>
      <c r="I74" s="134"/>
      <c r="L74" s="51"/>
      <c r="O74" s="51"/>
      <c r="Q74" s="134"/>
      <c r="T74" s="51"/>
      <c r="W74" s="51"/>
      <c r="Y74" s="134"/>
    </row>
    <row r="75" spans="1:29">
      <c r="D75" s="51"/>
      <c r="F75" s="26"/>
      <c r="G75" s="51"/>
      <c r="I75" s="134"/>
      <c r="L75" s="51"/>
      <c r="O75" s="51"/>
      <c r="Q75" s="134"/>
      <c r="T75" s="51"/>
      <c r="W75" s="51"/>
      <c r="Y75" s="134"/>
      <c r="AA75" s="5"/>
    </row>
    <row r="76" spans="1:29">
      <c r="D76" s="51"/>
      <c r="F76" s="26"/>
      <c r="I76" s="134"/>
      <c r="Q76" s="134"/>
      <c r="Y76" s="134"/>
      <c r="AA76" s="5"/>
    </row>
    <row r="77" spans="1:29">
      <c r="D77" s="51"/>
      <c r="F77" s="26"/>
      <c r="I77" s="134"/>
      <c r="Q77" s="134"/>
      <c r="Y77" s="134"/>
      <c r="AA77" s="5"/>
      <c r="AB77" s="5"/>
    </row>
    <row r="78" spans="1:29">
      <c r="F78" s="26"/>
      <c r="I78" s="134"/>
      <c r="Q78" s="134"/>
      <c r="Y78" s="134"/>
      <c r="AB78" s="51"/>
      <c r="AC78" s="9"/>
    </row>
    <row r="79" spans="1:29">
      <c r="F79" s="26"/>
      <c r="I79" s="134"/>
      <c r="Q79" s="134"/>
      <c r="Y79" s="134"/>
    </row>
    <row r="80" spans="1:29">
      <c r="F80" s="26"/>
      <c r="I80" s="134"/>
      <c r="Q80" s="134"/>
      <c r="Y80" s="134"/>
    </row>
    <row r="81" spans="1:29">
      <c r="A81" t="s">
        <v>1055</v>
      </c>
      <c r="C81" s="26"/>
      <c r="F81" s="26"/>
      <c r="G81" s="51"/>
      <c r="I81" s="134"/>
      <c r="K81" s="26"/>
      <c r="L81" s="51"/>
      <c r="N81" s="26"/>
      <c r="O81" s="51"/>
      <c r="Q81" s="134"/>
      <c r="S81" s="26"/>
      <c r="T81" s="51"/>
      <c r="V81" s="26"/>
      <c r="W81" s="51"/>
      <c r="Y81" s="134"/>
      <c r="AA81" s="530"/>
    </row>
    <row r="82" spans="1:29">
      <c r="A82" t="s">
        <v>1056</v>
      </c>
      <c r="C82" s="26" t="e">
        <f>'Service Count Data'!#REF!</f>
        <v>#REF!</v>
      </c>
      <c r="D82" s="181">
        <v>35.97</v>
      </c>
      <c r="E82" s="5" t="e">
        <f>+C82*D82</f>
        <v>#REF!</v>
      </c>
      <c r="F82" s="26" t="e">
        <f>+C82</f>
        <v>#REF!</v>
      </c>
      <c r="G82" s="138">
        <v>35.97</v>
      </c>
      <c r="H82" s="5" t="e">
        <f>+F82*G82</f>
        <v>#REF!</v>
      </c>
      <c r="I82" s="139" t="e">
        <f>+H82-E82</f>
        <v>#REF!</v>
      </c>
      <c r="K82" s="26" t="e">
        <f>'Service Count Data'!#REF!</f>
        <v>#REF!</v>
      </c>
      <c r="L82" s="138">
        <v>40.700000000000003</v>
      </c>
      <c r="M82" s="5" t="e">
        <f>+K82*L82</f>
        <v>#REF!</v>
      </c>
      <c r="N82" s="5" t="e">
        <f>+K82</f>
        <v>#REF!</v>
      </c>
      <c r="O82" s="138">
        <v>40.700000000000003</v>
      </c>
      <c r="P82" s="5" t="e">
        <f>+N82*O82</f>
        <v>#REF!</v>
      </c>
      <c r="Q82" s="139" t="e">
        <f>+P82-M82</f>
        <v>#REF!</v>
      </c>
      <c r="S82" s="26" t="e">
        <f>'Service Count Data'!#REF!</f>
        <v>#REF!</v>
      </c>
      <c r="T82" s="138">
        <v>40.700000000000003</v>
      </c>
      <c r="U82" s="5" t="e">
        <f>+S82*T82</f>
        <v>#REF!</v>
      </c>
      <c r="V82" s="5" t="e">
        <f>+S82</f>
        <v>#REF!</v>
      </c>
      <c r="W82" s="138">
        <v>40.700000000000003</v>
      </c>
      <c r="X82" s="5" t="e">
        <f>+V82*W82</f>
        <v>#REF!</v>
      </c>
      <c r="Y82" s="139" t="e">
        <f>+X82-U82</f>
        <v>#REF!</v>
      </c>
      <c r="Z82" s="5"/>
      <c r="AA82" s="5" t="e">
        <f>+I82+Q82+Y82</f>
        <v>#REF!</v>
      </c>
    </row>
    <row r="83" spans="1:29">
      <c r="A83" t="s">
        <v>1057</v>
      </c>
      <c r="C83" s="26">
        <f>'Service Count Data'!X232</f>
        <v>0</v>
      </c>
      <c r="D83" s="181">
        <v>21.32</v>
      </c>
      <c r="E83" s="5">
        <f>+C83*D83</f>
        <v>0</v>
      </c>
      <c r="F83" s="26">
        <f>+C83</f>
        <v>0</v>
      </c>
      <c r="G83" s="138">
        <v>21.32</v>
      </c>
      <c r="H83" s="5">
        <f>+F83*G83</f>
        <v>0</v>
      </c>
      <c r="I83" s="139">
        <f>+H83-E83</f>
        <v>0</v>
      </c>
      <c r="K83" s="26">
        <f>'Service Count Data'!X233</f>
        <v>0</v>
      </c>
      <c r="L83" s="138">
        <v>16.28</v>
      </c>
      <c r="M83" s="5">
        <f>+K83*L83</f>
        <v>0</v>
      </c>
      <c r="N83" s="5">
        <f>+K83</f>
        <v>0</v>
      </c>
      <c r="O83" s="138">
        <v>16.28</v>
      </c>
      <c r="P83" s="5">
        <f>+N83*O83</f>
        <v>0</v>
      </c>
      <c r="Q83" s="139">
        <f>+P83-M83</f>
        <v>0</v>
      </c>
      <c r="S83" s="26">
        <f>'Service Count Data'!X234</f>
        <v>0</v>
      </c>
      <c r="T83" s="138">
        <v>16.28</v>
      </c>
      <c r="U83" s="5">
        <f>+S83*T83</f>
        <v>0</v>
      </c>
      <c r="V83" s="5">
        <f>+S83</f>
        <v>0</v>
      </c>
      <c r="W83" s="138">
        <v>16.28</v>
      </c>
      <c r="X83" s="5">
        <f>+V83*W83</f>
        <v>0</v>
      </c>
      <c r="Y83" s="139">
        <f>+X83-U83</f>
        <v>0</v>
      </c>
      <c r="Z83" s="5"/>
      <c r="AA83" s="5">
        <f>+I83+Q83+Y83</f>
        <v>0</v>
      </c>
    </row>
    <row r="84" spans="1:29" ht="13.5" thickBot="1">
      <c r="A84" t="s">
        <v>1059</v>
      </c>
      <c r="C84" s="26">
        <f>'Service Count Data'!X235</f>
        <v>0</v>
      </c>
      <c r="D84" s="180">
        <v>74</v>
      </c>
      <c r="E84" s="6">
        <f>+C84*D84</f>
        <v>0</v>
      </c>
      <c r="F84" s="130">
        <f>+C84</f>
        <v>0</v>
      </c>
      <c r="G84" s="138">
        <v>81.5</v>
      </c>
      <c r="H84" s="6">
        <f>+F84*G84</f>
        <v>0</v>
      </c>
      <c r="I84" s="136">
        <f>+H84-E84</f>
        <v>0</v>
      </c>
      <c r="K84" s="26">
        <f>'Service Count Data'!X236</f>
        <v>0</v>
      </c>
      <c r="L84" s="138">
        <v>81.5</v>
      </c>
      <c r="M84" s="6">
        <f>+K84*L84</f>
        <v>0</v>
      </c>
      <c r="N84" s="6">
        <f>+K84</f>
        <v>0</v>
      </c>
      <c r="O84" s="138">
        <v>81.5</v>
      </c>
      <c r="P84" s="6">
        <f>+N84*O84</f>
        <v>0</v>
      </c>
      <c r="Q84" s="136">
        <f>+P84-M84</f>
        <v>0</v>
      </c>
      <c r="S84" s="26">
        <f>'Service Count Data'!X237</f>
        <v>0</v>
      </c>
      <c r="T84" s="138">
        <v>81.5</v>
      </c>
      <c r="U84" s="6">
        <f>+S84*T84</f>
        <v>0</v>
      </c>
      <c r="V84" s="6">
        <f>+S84</f>
        <v>0</v>
      </c>
      <c r="W84" s="138">
        <v>81.5</v>
      </c>
      <c r="X84" s="6">
        <f>+V84*W84</f>
        <v>0</v>
      </c>
      <c r="Y84" s="136">
        <f>+X84-U84</f>
        <v>0</v>
      </c>
      <c r="Z84" s="5"/>
      <c r="AA84" s="5">
        <f>+I84+Q84+Y84</f>
        <v>0</v>
      </c>
      <c r="AB84" s="6" t="e">
        <f>SUM(AA82:AA84)</f>
        <v>#REF!</v>
      </c>
    </row>
    <row r="85" spans="1:29">
      <c r="F85" s="26"/>
      <c r="G85" s="51"/>
      <c r="I85" s="99"/>
      <c r="L85" s="51"/>
      <c r="O85" s="51"/>
      <c r="Q85" s="99"/>
      <c r="T85" s="51"/>
      <c r="W85" s="51"/>
      <c r="Y85" s="134"/>
    </row>
    <row r="86" spans="1:29">
      <c r="C86" s="5" t="e">
        <f>SUM(C82:C84)</f>
        <v>#REF!</v>
      </c>
      <c r="E86" s="51" t="e">
        <f>SUM(E82:E84)</f>
        <v>#REF!</v>
      </c>
      <c r="F86" s="26" t="e">
        <f>SUM(F82:F84)</f>
        <v>#REF!</v>
      </c>
      <c r="G86" s="51"/>
      <c r="H86" s="51" t="e">
        <f>SUM(H82:H84)</f>
        <v>#REF!</v>
      </c>
      <c r="I86" s="132" t="e">
        <f>SUM(I82:I84)</f>
        <v>#REF!</v>
      </c>
      <c r="J86" s="9"/>
      <c r="K86" s="5" t="e">
        <f>SUM(K82:K84)</f>
        <v>#REF!</v>
      </c>
      <c r="L86" s="51"/>
      <c r="M86" s="51" t="e">
        <f>SUM(M82:M84)</f>
        <v>#REF!</v>
      </c>
      <c r="N86" s="5" t="e">
        <f>SUM(N82:N84)</f>
        <v>#REF!</v>
      </c>
      <c r="O86" s="51"/>
      <c r="P86" s="51" t="e">
        <f>SUM(P82:P84)</f>
        <v>#REF!</v>
      </c>
      <c r="Q86" s="132" t="e">
        <f>SUM(Q82:Q84)</f>
        <v>#REF!</v>
      </c>
      <c r="R86" s="9"/>
      <c r="S86" s="5" t="e">
        <f>SUM(S82:S84)</f>
        <v>#REF!</v>
      </c>
      <c r="T86" s="51"/>
      <c r="U86" s="51" t="e">
        <f>SUM(U82:U84)</f>
        <v>#REF!</v>
      </c>
      <c r="V86" s="5" t="e">
        <f>SUM(V82:V84)</f>
        <v>#REF!</v>
      </c>
      <c r="W86" s="51"/>
      <c r="X86" s="51" t="e">
        <f>SUM(X82:X84)</f>
        <v>#REF!</v>
      </c>
      <c r="Y86" s="132" t="e">
        <f>SUM(Y82:Y84)</f>
        <v>#REF!</v>
      </c>
      <c r="Z86" s="51"/>
      <c r="AB86" s="51" t="e">
        <f>SUM(AA82:AA84)</f>
        <v>#REF!</v>
      </c>
    </row>
    <row r="87" spans="1:29">
      <c r="F87" s="26"/>
    </row>
    <row r="88" spans="1:29">
      <c r="AB88" s="5"/>
    </row>
    <row r="90" spans="1:29">
      <c r="AB90" s="51"/>
      <c r="AC90" s="104"/>
    </row>
  </sheetData>
  <mergeCells count="6">
    <mergeCell ref="S5:U5"/>
    <mergeCell ref="V5:X5"/>
    <mergeCell ref="C5:E5"/>
    <mergeCell ref="F5:H5"/>
    <mergeCell ref="K5:M5"/>
    <mergeCell ref="N5:P5"/>
  </mergeCells>
  <pageMargins left="0.17" right="0.17" top="0.24" bottom="0.23" header="0.25" footer="0.27"/>
  <pageSetup scale="48" fitToHeight="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59999389629810485"/>
    <pageSetUpPr fitToPage="1"/>
  </sheetPr>
  <dimension ref="A1:R68"/>
  <sheetViews>
    <sheetView topLeftCell="A22" workbookViewId="0">
      <selection activeCell="B37" sqref="B37"/>
    </sheetView>
  </sheetViews>
  <sheetFormatPr defaultRowHeight="12.75"/>
  <cols>
    <col min="1" max="1" width="17.7109375" customWidth="1"/>
    <col min="2" max="2" width="8" customWidth="1"/>
    <col min="3" max="3" width="10" customWidth="1"/>
    <col min="4" max="4" width="7.85546875" customWidth="1"/>
    <col min="6" max="6" width="8.85546875" customWidth="1"/>
    <col min="7" max="7" width="10.140625" customWidth="1"/>
    <col min="8" max="8" width="8" customWidth="1"/>
    <col min="10" max="10" width="8.140625" customWidth="1"/>
    <col min="12" max="12" width="2.42578125" customWidth="1"/>
    <col min="13" max="13" width="13" customWidth="1"/>
    <col min="15" max="15" width="11" customWidth="1"/>
    <col min="16" max="16" width="11.28515625" customWidth="1"/>
    <col min="17" max="17" width="11.140625" customWidth="1"/>
    <col min="18" max="18" width="11.42578125" customWidth="1"/>
  </cols>
  <sheetData>
    <row r="1" spans="1:18">
      <c r="A1" t="str">
        <f>+'City Contracts'!A1</f>
        <v>Zippy Disposal Service, Inc.</v>
      </c>
    </row>
    <row r="2" spans="1:18">
      <c r="E2" s="459"/>
    </row>
    <row r="3" spans="1:18">
      <c r="A3" t="s">
        <v>1150</v>
      </c>
      <c r="D3" s="459" t="s">
        <v>11</v>
      </c>
      <c r="E3" s="462" t="s">
        <v>12</v>
      </c>
    </row>
    <row r="5" spans="1:18">
      <c r="A5" s="458" t="s">
        <v>1432</v>
      </c>
    </row>
    <row r="7" spans="1:18">
      <c r="A7" s="93" t="s">
        <v>640</v>
      </c>
      <c r="G7" s="93" t="s">
        <v>1151</v>
      </c>
      <c r="M7" s="93" t="s">
        <v>642</v>
      </c>
    </row>
    <row r="8" spans="1:18">
      <c r="A8" s="530"/>
      <c r="B8" s="530"/>
      <c r="C8" s="530"/>
      <c r="D8" s="530" t="s">
        <v>643</v>
      </c>
      <c r="E8" s="530" t="s">
        <v>644</v>
      </c>
      <c r="F8" s="530"/>
      <c r="G8" s="530"/>
      <c r="H8" s="530"/>
      <c r="I8" s="530"/>
      <c r="J8" s="530" t="s">
        <v>643</v>
      </c>
      <c r="K8" s="530"/>
      <c r="L8" s="530"/>
      <c r="M8" s="530"/>
      <c r="N8" s="530"/>
      <c r="O8" s="530"/>
      <c r="P8" s="530" t="s">
        <v>643</v>
      </c>
      <c r="Q8" s="530"/>
      <c r="R8" s="530"/>
    </row>
    <row r="9" spans="1:18" ht="13.5" thickBot="1">
      <c r="A9" s="193" t="s">
        <v>330</v>
      </c>
      <c r="B9" s="18" t="s">
        <v>333</v>
      </c>
      <c r="C9" s="18" t="s">
        <v>207</v>
      </c>
      <c r="D9" s="18" t="s">
        <v>645</v>
      </c>
      <c r="E9" s="18" t="s">
        <v>646</v>
      </c>
      <c r="F9" s="530"/>
      <c r="G9" s="193" t="s">
        <v>330</v>
      </c>
      <c r="H9" s="18" t="s">
        <v>333</v>
      </c>
      <c r="I9" s="18" t="s">
        <v>207</v>
      </c>
      <c r="J9" s="18" t="s">
        <v>645</v>
      </c>
      <c r="K9" s="530"/>
      <c r="L9" s="530"/>
      <c r="M9" s="193" t="s">
        <v>330</v>
      </c>
      <c r="N9" s="18" t="s">
        <v>333</v>
      </c>
      <c r="O9" s="18" t="s">
        <v>207</v>
      </c>
      <c r="P9" s="18" t="s">
        <v>645</v>
      </c>
      <c r="Q9" s="530"/>
      <c r="R9" s="530"/>
    </row>
    <row r="11" spans="1:18">
      <c r="A11" t="s">
        <v>1119</v>
      </c>
      <c r="B11" s="150">
        <v>0</v>
      </c>
      <c r="C11" s="48">
        <v>0</v>
      </c>
      <c r="D11" s="48">
        <f t="shared" ref="D11:D22" si="0">IF(+B11=0,0,C11/B11)</f>
        <v>0</v>
      </c>
      <c r="E11" s="48"/>
      <c r="G11" t="str">
        <f t="shared" ref="G11:G22" si="1">+A11</f>
        <v>July</v>
      </c>
      <c r="H11" s="150">
        <v>0</v>
      </c>
      <c r="I11" s="48">
        <v>0</v>
      </c>
      <c r="J11" s="48">
        <f t="shared" ref="J11:J22" si="2">IF(+H11=0,0,I11/H11)</f>
        <v>0</v>
      </c>
      <c r="M11" t="str">
        <f t="shared" ref="M11:M22" si="3">+G11</f>
        <v>July</v>
      </c>
      <c r="N11" s="150">
        <v>48</v>
      </c>
      <c r="O11" s="48">
        <v>242.09</v>
      </c>
      <c r="P11" s="48">
        <f t="shared" ref="P11:P18" si="4">IF(+N11=0,0,O11/N11)</f>
        <v>5.043541666666667</v>
      </c>
      <c r="R11" s="48"/>
    </row>
    <row r="12" spans="1:18">
      <c r="A12" t="s">
        <v>1120</v>
      </c>
      <c r="B12" s="150">
        <v>0</v>
      </c>
      <c r="C12" s="48">
        <v>0</v>
      </c>
      <c r="D12" s="48">
        <f t="shared" si="0"/>
        <v>0</v>
      </c>
      <c r="E12" s="48"/>
      <c r="G12" t="str">
        <f t="shared" si="1"/>
        <v>August</v>
      </c>
      <c r="H12" s="150">
        <v>0</v>
      </c>
      <c r="I12" s="48">
        <v>0</v>
      </c>
      <c r="J12" s="48">
        <f t="shared" si="2"/>
        <v>0</v>
      </c>
      <c r="M12" t="str">
        <f t="shared" si="3"/>
        <v>August</v>
      </c>
      <c r="N12" s="150">
        <v>19</v>
      </c>
      <c r="O12" s="48">
        <v>93.66</v>
      </c>
      <c r="P12" s="48">
        <f t="shared" si="4"/>
        <v>4.9294736842105262</v>
      </c>
      <c r="R12" s="48"/>
    </row>
    <row r="13" spans="1:18">
      <c r="A13" t="s">
        <v>1121</v>
      </c>
      <c r="B13" s="150">
        <v>0</v>
      </c>
      <c r="C13" s="48">
        <v>0</v>
      </c>
      <c r="D13" s="48">
        <f t="shared" si="0"/>
        <v>0</v>
      </c>
      <c r="E13" s="48"/>
      <c r="G13" t="str">
        <f t="shared" si="1"/>
        <v>September</v>
      </c>
      <c r="H13" s="150">
        <v>0</v>
      </c>
      <c r="I13" s="48">
        <v>0</v>
      </c>
      <c r="J13" s="48">
        <f t="shared" si="2"/>
        <v>0</v>
      </c>
      <c r="M13" t="str">
        <f t="shared" si="3"/>
        <v>September</v>
      </c>
      <c r="N13" s="150">
        <v>35</v>
      </c>
      <c r="O13" s="48">
        <v>179.35</v>
      </c>
      <c r="P13" s="48">
        <f t="shared" si="4"/>
        <v>5.1242857142857146</v>
      </c>
      <c r="R13" s="48"/>
    </row>
    <row r="14" spans="1:18">
      <c r="A14" t="s">
        <v>1113</v>
      </c>
      <c r="B14" s="150">
        <v>0</v>
      </c>
      <c r="C14" s="48">
        <v>0</v>
      </c>
      <c r="D14" s="48">
        <f t="shared" si="0"/>
        <v>0</v>
      </c>
      <c r="E14" s="48"/>
      <c r="G14" t="str">
        <f t="shared" si="1"/>
        <v>October</v>
      </c>
      <c r="H14" s="150">
        <v>0</v>
      </c>
      <c r="I14" s="48">
        <v>0</v>
      </c>
      <c r="J14" s="48">
        <f t="shared" si="2"/>
        <v>0</v>
      </c>
      <c r="M14" t="str">
        <f t="shared" si="3"/>
        <v>October</v>
      </c>
      <c r="N14" s="150">
        <v>35</v>
      </c>
      <c r="O14" s="48">
        <v>167.67</v>
      </c>
      <c r="P14" s="48">
        <f t="shared" si="4"/>
        <v>4.790571428571428</v>
      </c>
      <c r="R14" s="48"/>
    </row>
    <row r="15" spans="1:18">
      <c r="A15" t="s">
        <v>1114</v>
      </c>
      <c r="B15" s="150">
        <v>0</v>
      </c>
      <c r="C15" s="48">
        <v>0</v>
      </c>
      <c r="D15" s="48">
        <f t="shared" si="0"/>
        <v>0</v>
      </c>
      <c r="E15" s="48"/>
      <c r="G15" t="str">
        <f t="shared" si="1"/>
        <v>November</v>
      </c>
      <c r="H15" s="150">
        <v>0</v>
      </c>
      <c r="I15" s="48">
        <v>0</v>
      </c>
      <c r="J15" s="48">
        <f t="shared" si="2"/>
        <v>0</v>
      </c>
      <c r="M15" t="str">
        <f t="shared" si="3"/>
        <v>November</v>
      </c>
      <c r="N15" s="150">
        <v>72</v>
      </c>
      <c r="O15" s="48">
        <v>327.41000000000003</v>
      </c>
      <c r="P15" s="48">
        <f t="shared" si="4"/>
        <v>4.5473611111111119</v>
      </c>
      <c r="R15" s="48"/>
    </row>
    <row r="16" spans="1:18">
      <c r="A16" t="s">
        <v>1115</v>
      </c>
      <c r="B16" s="150">
        <v>0</v>
      </c>
      <c r="C16" s="48">
        <v>0</v>
      </c>
      <c r="D16" s="48">
        <f t="shared" si="0"/>
        <v>0</v>
      </c>
      <c r="E16" s="48"/>
      <c r="G16" t="str">
        <f t="shared" si="1"/>
        <v>December</v>
      </c>
      <c r="H16" s="150">
        <v>0</v>
      </c>
      <c r="I16" s="48">
        <v>0</v>
      </c>
      <c r="J16" s="48">
        <f t="shared" si="2"/>
        <v>0</v>
      </c>
      <c r="M16" t="str">
        <f t="shared" si="3"/>
        <v>December</v>
      </c>
      <c r="N16" s="154">
        <v>38</v>
      </c>
      <c r="O16" s="148">
        <v>167.96</v>
      </c>
      <c r="P16" s="48">
        <f t="shared" si="4"/>
        <v>4.42</v>
      </c>
      <c r="R16" s="48"/>
    </row>
    <row r="17" spans="1:18">
      <c r="A17" t="s">
        <v>648</v>
      </c>
      <c r="B17" s="150">
        <v>0</v>
      </c>
      <c r="C17" s="48">
        <v>0</v>
      </c>
      <c r="D17" s="48">
        <f t="shared" si="0"/>
        <v>0</v>
      </c>
      <c r="E17" s="48"/>
      <c r="G17" t="str">
        <f t="shared" si="1"/>
        <v>January</v>
      </c>
      <c r="H17" s="150">
        <v>0</v>
      </c>
      <c r="I17" s="48">
        <v>0</v>
      </c>
      <c r="J17" s="48">
        <f t="shared" si="2"/>
        <v>0</v>
      </c>
      <c r="M17" t="str">
        <f t="shared" si="3"/>
        <v>January</v>
      </c>
      <c r="N17" s="150">
        <v>28</v>
      </c>
      <c r="O17" s="48">
        <v>117.35</v>
      </c>
      <c r="P17" s="48">
        <f t="shared" si="4"/>
        <v>4.1910714285714281</v>
      </c>
      <c r="R17" s="48"/>
    </row>
    <row r="18" spans="1:18">
      <c r="A18" t="s">
        <v>649</v>
      </c>
      <c r="B18" s="150">
        <v>0</v>
      </c>
      <c r="C18" s="48">
        <v>0</v>
      </c>
      <c r="D18" s="48">
        <f t="shared" si="0"/>
        <v>0</v>
      </c>
      <c r="E18" s="48"/>
      <c r="G18" t="str">
        <f t="shared" si="1"/>
        <v>February</v>
      </c>
      <c r="H18" s="150">
        <v>0</v>
      </c>
      <c r="I18" s="48">
        <v>0</v>
      </c>
      <c r="J18" s="48">
        <f t="shared" si="2"/>
        <v>0</v>
      </c>
      <c r="M18" t="str">
        <f t="shared" si="3"/>
        <v>February</v>
      </c>
      <c r="N18" s="150"/>
      <c r="O18" s="48"/>
      <c r="P18" s="48">
        <f t="shared" si="4"/>
        <v>0</v>
      </c>
      <c r="R18" s="48"/>
    </row>
    <row r="19" spans="1:18">
      <c r="A19" t="s">
        <v>650</v>
      </c>
      <c r="B19" s="150">
        <v>0</v>
      </c>
      <c r="C19" s="48">
        <v>0</v>
      </c>
      <c r="D19" s="48">
        <f t="shared" si="0"/>
        <v>0</v>
      </c>
      <c r="E19" s="48">
        <v>0</v>
      </c>
      <c r="G19" t="str">
        <f t="shared" si="1"/>
        <v>March</v>
      </c>
      <c r="H19" s="150">
        <v>0</v>
      </c>
      <c r="I19" s="48">
        <v>0</v>
      </c>
      <c r="J19" s="48">
        <f t="shared" si="2"/>
        <v>0</v>
      </c>
      <c r="M19" t="str">
        <f t="shared" si="3"/>
        <v>March</v>
      </c>
      <c r="N19" s="150"/>
      <c r="O19" s="48"/>
      <c r="P19" s="48">
        <f>IF(+N19=0,0,O19/N19)</f>
        <v>0</v>
      </c>
      <c r="R19" s="48"/>
    </row>
    <row r="20" spans="1:18">
      <c r="A20" t="s">
        <v>1116</v>
      </c>
      <c r="B20" s="150">
        <v>0</v>
      </c>
      <c r="C20" s="48">
        <v>0</v>
      </c>
      <c r="D20" s="48">
        <f t="shared" si="0"/>
        <v>0</v>
      </c>
      <c r="E20" s="48"/>
      <c r="G20" t="str">
        <f t="shared" si="1"/>
        <v>April</v>
      </c>
      <c r="H20" s="150">
        <v>0</v>
      </c>
      <c r="I20" s="48">
        <v>0</v>
      </c>
      <c r="J20" s="48">
        <f t="shared" si="2"/>
        <v>0</v>
      </c>
      <c r="M20" t="str">
        <f t="shared" si="3"/>
        <v>April</v>
      </c>
      <c r="N20" s="150">
        <v>78</v>
      </c>
      <c r="O20" s="48">
        <v>360.85</v>
      </c>
      <c r="P20" s="48">
        <f>IF(+N20=0,0,O20/N20)</f>
        <v>4.6262820512820513</v>
      </c>
      <c r="R20" s="48"/>
    </row>
    <row r="21" spans="1:18">
      <c r="A21" t="s">
        <v>1117</v>
      </c>
      <c r="B21" s="150">
        <v>0</v>
      </c>
      <c r="C21" s="48">
        <v>0</v>
      </c>
      <c r="D21" s="48">
        <f t="shared" si="0"/>
        <v>0</v>
      </c>
      <c r="E21" s="48"/>
      <c r="G21" t="str">
        <f t="shared" si="1"/>
        <v>May</v>
      </c>
      <c r="H21" s="150">
        <v>0</v>
      </c>
      <c r="I21" s="48">
        <v>0</v>
      </c>
      <c r="J21" s="48">
        <f t="shared" si="2"/>
        <v>0</v>
      </c>
      <c r="M21" t="str">
        <f t="shared" si="3"/>
        <v>May</v>
      </c>
      <c r="N21" s="150">
        <v>106</v>
      </c>
      <c r="O21" s="48">
        <v>428.79</v>
      </c>
      <c r="P21" s="48">
        <f>IF(+N21=0,0,O21/N21)</f>
        <v>4.0451886792452836</v>
      </c>
      <c r="R21" s="48"/>
    </row>
    <row r="22" spans="1:18" ht="13.5" thickBot="1">
      <c r="A22" s="4" t="s">
        <v>1118</v>
      </c>
      <c r="B22" s="195">
        <v>0</v>
      </c>
      <c r="C22" s="171">
        <v>0</v>
      </c>
      <c r="D22" s="171">
        <f t="shared" si="0"/>
        <v>0</v>
      </c>
      <c r="E22" s="171"/>
      <c r="G22" t="str">
        <f t="shared" si="1"/>
        <v>June</v>
      </c>
      <c r="H22" s="195">
        <v>0</v>
      </c>
      <c r="I22" s="171">
        <v>0</v>
      </c>
      <c r="J22" s="171">
        <f t="shared" si="2"/>
        <v>0</v>
      </c>
      <c r="M22" t="str">
        <f t="shared" si="3"/>
        <v>June</v>
      </c>
      <c r="N22" s="190">
        <v>78</v>
      </c>
      <c r="O22" s="189">
        <v>345.01</v>
      </c>
      <c r="P22" s="171">
        <f>IF(+N22=0,0,O22/N22)</f>
        <v>4.4232051282051277</v>
      </c>
      <c r="R22" s="48"/>
    </row>
    <row r="23" spans="1:18">
      <c r="B23" s="150"/>
      <c r="C23" s="48"/>
      <c r="H23" s="150"/>
      <c r="I23" s="48"/>
      <c r="J23" s="48"/>
      <c r="N23" s="150"/>
      <c r="O23" s="48"/>
    </row>
    <row r="24" spans="1:18">
      <c r="A24" t="s">
        <v>647</v>
      </c>
      <c r="B24" s="150">
        <f>SUM(B11:B22)</f>
        <v>0</v>
      </c>
      <c r="C24" s="48">
        <f>SUM(C11:C22)</f>
        <v>0</v>
      </c>
      <c r="D24" s="48" t="e">
        <f>+C24/B24</f>
        <v>#DIV/0!</v>
      </c>
      <c r="E24" s="48">
        <f>SUM(E11:E22)</f>
        <v>0</v>
      </c>
      <c r="H24" s="150">
        <f>SUM(H11:H22)</f>
        <v>0</v>
      </c>
      <c r="I24" s="48">
        <f>SUM(I11:I22)</f>
        <v>0</v>
      </c>
      <c r="J24" s="48" t="e">
        <f>+I24/H24</f>
        <v>#DIV/0!</v>
      </c>
      <c r="N24" s="150">
        <f>SUM(N11:N22)</f>
        <v>537</v>
      </c>
      <c r="O24" s="48">
        <f>SUM(O11:O22)</f>
        <v>2430.1400000000003</v>
      </c>
      <c r="P24" s="48">
        <f>+O24/N24</f>
        <v>4.5254003724394796</v>
      </c>
      <c r="Q24" s="48"/>
      <c r="R24" s="48"/>
    </row>
    <row r="25" spans="1:18">
      <c r="B25" s="150"/>
      <c r="C25" s="48"/>
      <c r="H25" s="150"/>
      <c r="I25" s="48"/>
      <c r="J25" s="48"/>
      <c r="N25" s="150"/>
      <c r="O25" s="48"/>
    </row>
    <row r="29" spans="1:18">
      <c r="A29" s="93" t="s">
        <v>327</v>
      </c>
    </row>
    <row r="30" spans="1:18">
      <c r="B30" s="194" t="s">
        <v>328</v>
      </c>
      <c r="C30" s="194"/>
      <c r="D30" s="194"/>
      <c r="E30" s="194" t="s">
        <v>329</v>
      </c>
      <c r="F30" s="194"/>
      <c r="G30" s="194"/>
      <c r="H30" s="791" t="s">
        <v>221</v>
      </c>
      <c r="I30" s="790"/>
      <c r="J30" s="790"/>
    </row>
    <row r="31" spans="1:18">
      <c r="A31" s="530"/>
      <c r="B31" s="530"/>
      <c r="C31" s="530"/>
      <c r="D31" s="530" t="s">
        <v>643</v>
      </c>
      <c r="E31" s="530"/>
      <c r="F31" s="530"/>
      <c r="G31" s="530" t="s">
        <v>643</v>
      </c>
      <c r="H31" s="530"/>
      <c r="I31" s="530"/>
      <c r="J31" s="530" t="s">
        <v>643</v>
      </c>
    </row>
    <row r="32" spans="1:18" ht="13.5" thickBot="1">
      <c r="A32" s="193" t="s">
        <v>330</v>
      </c>
      <c r="B32" s="18" t="s">
        <v>333</v>
      </c>
      <c r="C32" s="18" t="s">
        <v>207</v>
      </c>
      <c r="D32" s="18" t="s">
        <v>645</v>
      </c>
      <c r="E32" s="18" t="s">
        <v>333</v>
      </c>
      <c r="F32" s="18" t="s">
        <v>207</v>
      </c>
      <c r="G32" s="18" t="s">
        <v>645</v>
      </c>
      <c r="H32" s="18" t="s">
        <v>333</v>
      </c>
      <c r="I32" s="18" t="s">
        <v>207</v>
      </c>
      <c r="J32" s="18" t="s">
        <v>645</v>
      </c>
    </row>
    <row r="33" spans="1:18">
      <c r="N33" t="s">
        <v>14</v>
      </c>
    </row>
    <row r="34" spans="1:18">
      <c r="A34" s="1" t="s">
        <v>352</v>
      </c>
      <c r="B34" s="150">
        <v>989</v>
      </c>
      <c r="C34" s="48">
        <v>4393.09</v>
      </c>
      <c r="D34" s="48">
        <f t="shared" ref="D34:D56" si="5">IF(+B34=0,0,C34/B34)</f>
        <v>4.441951466127402</v>
      </c>
      <c r="E34" s="150">
        <v>253</v>
      </c>
      <c r="F34" s="48">
        <v>1129.8499999999999</v>
      </c>
      <c r="G34" s="48">
        <f t="shared" ref="G34:G56" si="6">IF(+E34=0,0,F34/E34)</f>
        <v>4.4658102766798411</v>
      </c>
      <c r="H34" s="150">
        <v>40</v>
      </c>
      <c r="I34" s="48">
        <v>179.21</v>
      </c>
      <c r="J34" s="48">
        <f t="shared" ref="J34:J56" si="7">IF(+H34=0,0,I34/H34)</f>
        <v>4.4802499999999998</v>
      </c>
      <c r="K34" s="48">
        <f t="shared" ref="K34:K56" si="8">+C34+F34+I34</f>
        <v>5702.1500000000005</v>
      </c>
      <c r="L34" s="48"/>
    </row>
    <row r="35" spans="1:18">
      <c r="A35" s="1" t="s">
        <v>353</v>
      </c>
      <c r="B35" s="150">
        <v>880</v>
      </c>
      <c r="C35" s="48">
        <v>3975.73</v>
      </c>
      <c r="D35" s="48">
        <f t="shared" si="5"/>
        <v>4.5178750000000001</v>
      </c>
      <c r="E35" s="150">
        <v>314</v>
      </c>
      <c r="F35" s="48">
        <v>1450</v>
      </c>
      <c r="G35" s="48">
        <f t="shared" si="6"/>
        <v>4.6178343949044587</v>
      </c>
      <c r="H35" s="150">
        <v>39</v>
      </c>
      <c r="I35" s="48">
        <v>176.52</v>
      </c>
      <c r="J35" s="48">
        <f t="shared" si="7"/>
        <v>4.5261538461538464</v>
      </c>
      <c r="K35" s="48">
        <f t="shared" si="8"/>
        <v>5602.25</v>
      </c>
      <c r="L35" s="48"/>
    </row>
    <row r="36" spans="1:18">
      <c r="A36" s="1" t="s">
        <v>354</v>
      </c>
      <c r="B36" s="150">
        <v>1052</v>
      </c>
      <c r="C36" s="48">
        <v>5166.63</v>
      </c>
      <c r="D36" s="48">
        <f t="shared" si="5"/>
        <v>4.9112452471482895</v>
      </c>
      <c r="E36" s="150">
        <v>341</v>
      </c>
      <c r="F36" s="48">
        <v>1706.68</v>
      </c>
      <c r="G36" s="48">
        <f t="shared" si="6"/>
        <v>5.0049266862170088</v>
      </c>
      <c r="H36" s="150">
        <v>38</v>
      </c>
      <c r="I36" s="48">
        <v>190.07</v>
      </c>
      <c r="J36" s="48">
        <f t="shared" si="7"/>
        <v>5.0018421052631581</v>
      </c>
      <c r="K36" s="48">
        <f t="shared" si="8"/>
        <v>7063.38</v>
      </c>
      <c r="L36" s="48"/>
    </row>
    <row r="37" spans="1:18">
      <c r="A37" s="1" t="s">
        <v>355</v>
      </c>
      <c r="B37" s="150">
        <v>1008</v>
      </c>
      <c r="C37" s="48">
        <v>5283.96</v>
      </c>
      <c r="D37" s="48">
        <f t="shared" si="5"/>
        <v>5.2420238095238094</v>
      </c>
      <c r="E37" s="150">
        <v>301</v>
      </c>
      <c r="F37" s="48">
        <v>1676.93</v>
      </c>
      <c r="G37" s="48">
        <f t="shared" si="6"/>
        <v>5.571196013289037</v>
      </c>
      <c r="H37" s="150">
        <v>41</v>
      </c>
      <c r="I37" s="48">
        <v>213.87</v>
      </c>
      <c r="J37" s="48">
        <f t="shared" si="7"/>
        <v>5.2163414634146346</v>
      </c>
      <c r="K37" s="48">
        <f t="shared" si="8"/>
        <v>7174.76</v>
      </c>
      <c r="L37" s="48"/>
    </row>
    <row r="38" spans="1:18">
      <c r="A38" s="1" t="s">
        <v>356</v>
      </c>
      <c r="B38" s="154">
        <v>951</v>
      </c>
      <c r="C38" s="148">
        <v>5305.41</v>
      </c>
      <c r="D38" s="48">
        <f t="shared" si="5"/>
        <v>5.5787697160883276</v>
      </c>
      <c r="E38" s="154">
        <v>196</v>
      </c>
      <c r="F38" s="148">
        <v>1108.49</v>
      </c>
      <c r="G38" s="48">
        <f t="shared" si="6"/>
        <v>5.6555612244897961</v>
      </c>
      <c r="H38" s="154">
        <v>78</v>
      </c>
      <c r="I38" s="148">
        <v>441.76</v>
      </c>
      <c r="J38" s="48">
        <f t="shared" si="7"/>
        <v>5.6635897435897435</v>
      </c>
      <c r="K38" s="48">
        <f t="shared" si="8"/>
        <v>6855.66</v>
      </c>
      <c r="L38" s="48"/>
      <c r="R38" s="530" t="s">
        <v>652</v>
      </c>
    </row>
    <row r="39" spans="1:18">
      <c r="A39" s="1" t="s">
        <v>357</v>
      </c>
      <c r="B39" s="154">
        <v>851</v>
      </c>
      <c r="C39" s="148">
        <v>4702.43</v>
      </c>
      <c r="D39" s="48">
        <f t="shared" si="5"/>
        <v>5.5257696827262048</v>
      </c>
      <c r="E39" s="154">
        <v>252</v>
      </c>
      <c r="F39" s="148">
        <v>1414.32</v>
      </c>
      <c r="G39" s="48">
        <f t="shared" si="6"/>
        <v>5.6123809523809518</v>
      </c>
      <c r="H39" s="154">
        <v>39</v>
      </c>
      <c r="I39" s="148">
        <v>216.34</v>
      </c>
      <c r="J39" s="48">
        <f t="shared" si="7"/>
        <v>5.5471794871794868</v>
      </c>
      <c r="K39" s="48">
        <f t="shared" si="8"/>
        <v>6333.09</v>
      </c>
      <c r="L39" s="48"/>
      <c r="P39" s="530" t="s">
        <v>652</v>
      </c>
      <c r="Q39" s="530" t="s">
        <v>652</v>
      </c>
      <c r="R39" t="s">
        <v>221</v>
      </c>
    </row>
    <row r="40" spans="1:18" ht="13.5" thickBot="1">
      <c r="A40" s="465" t="s">
        <v>334</v>
      </c>
      <c r="B40" s="150">
        <v>875</v>
      </c>
      <c r="C40" s="48">
        <v>4666.68</v>
      </c>
      <c r="D40" s="48">
        <f t="shared" si="5"/>
        <v>5.333348571428572</v>
      </c>
      <c r="E40" s="150">
        <v>182</v>
      </c>
      <c r="F40" s="48">
        <v>959.36</v>
      </c>
      <c r="G40" s="48">
        <f t="shared" si="6"/>
        <v>5.2712087912087915</v>
      </c>
      <c r="H40" s="150">
        <v>34</v>
      </c>
      <c r="I40" s="48">
        <v>175.87</v>
      </c>
      <c r="J40" s="48">
        <f t="shared" si="7"/>
        <v>5.1726470588235296</v>
      </c>
      <c r="K40" s="48">
        <f t="shared" si="8"/>
        <v>5801.91</v>
      </c>
      <c r="L40" s="48"/>
      <c r="P40" s="4"/>
      <c r="Q40" s="18" t="s">
        <v>361</v>
      </c>
      <c r="R40" s="18" t="s">
        <v>364</v>
      </c>
    </row>
    <row r="41" spans="1:18">
      <c r="A41" s="465" t="s">
        <v>335</v>
      </c>
      <c r="B41" s="150">
        <v>972</v>
      </c>
      <c r="C41" s="48">
        <v>4863.21</v>
      </c>
      <c r="D41" s="48">
        <f t="shared" si="5"/>
        <v>5.0033024691358028</v>
      </c>
      <c r="E41" s="150">
        <v>299</v>
      </c>
      <c r="F41" s="48">
        <v>1510.29</v>
      </c>
      <c r="G41" s="48">
        <f t="shared" si="6"/>
        <v>5.0511371237458196</v>
      </c>
      <c r="H41" s="150">
        <v>31</v>
      </c>
      <c r="I41" s="48">
        <v>154.44999999999999</v>
      </c>
      <c r="J41" s="48">
        <f t="shared" si="7"/>
        <v>4.9822580645161283</v>
      </c>
      <c r="K41" s="48">
        <f t="shared" si="8"/>
        <v>6527.95</v>
      </c>
      <c r="L41" s="48"/>
    </row>
    <row r="42" spans="1:18">
      <c r="A42" s="465" t="s">
        <v>336</v>
      </c>
      <c r="B42" s="150">
        <v>930</v>
      </c>
      <c r="C42" s="48">
        <v>4416.3999999999996</v>
      </c>
      <c r="D42" s="48">
        <f t="shared" si="5"/>
        <v>4.7488172043010746</v>
      </c>
      <c r="E42" s="150">
        <v>246</v>
      </c>
      <c r="F42" s="48">
        <v>1205.6099999999999</v>
      </c>
      <c r="G42" s="48">
        <f t="shared" si="6"/>
        <v>4.9008536585365849</v>
      </c>
      <c r="H42" s="150">
        <v>0</v>
      </c>
      <c r="I42" s="48">
        <v>0</v>
      </c>
      <c r="J42" s="48">
        <f t="shared" si="7"/>
        <v>0</v>
      </c>
      <c r="K42" s="48">
        <f t="shared" si="8"/>
        <v>5622.0099999999993</v>
      </c>
      <c r="L42" s="48"/>
      <c r="M42" t="s">
        <v>653</v>
      </c>
      <c r="P42" s="48">
        <f>+C24+I24+O24+C59</f>
        <v>96381.21</v>
      </c>
      <c r="Q42" s="48">
        <f>+F59</f>
        <v>27084.769999999997</v>
      </c>
      <c r="R42" s="48">
        <f>+I59</f>
        <v>4247.1899999999996</v>
      </c>
    </row>
    <row r="43" spans="1:18">
      <c r="A43" s="465" t="s">
        <v>337</v>
      </c>
      <c r="B43" s="150">
        <v>843</v>
      </c>
      <c r="C43" s="48">
        <v>3870.79</v>
      </c>
      <c r="D43" s="48">
        <f t="shared" si="5"/>
        <v>4.5916844602609723</v>
      </c>
      <c r="E43" s="150">
        <v>200</v>
      </c>
      <c r="F43" s="48">
        <v>937.64</v>
      </c>
      <c r="G43" s="48">
        <f t="shared" si="6"/>
        <v>4.6882000000000001</v>
      </c>
      <c r="H43" s="150">
        <v>39</v>
      </c>
      <c r="I43" s="48">
        <v>180.4</v>
      </c>
      <c r="J43" s="48">
        <f t="shared" si="7"/>
        <v>4.6256410256410261</v>
      </c>
      <c r="K43" s="48">
        <f t="shared" si="8"/>
        <v>4988.83</v>
      </c>
      <c r="L43" s="48"/>
    </row>
    <row r="44" spans="1:18">
      <c r="A44" s="465" t="s">
        <v>338</v>
      </c>
      <c r="B44" s="154">
        <v>736</v>
      </c>
      <c r="C44" s="148">
        <v>3538.56</v>
      </c>
      <c r="D44" s="148">
        <f t="shared" si="5"/>
        <v>4.8078260869565215</v>
      </c>
      <c r="E44" s="154">
        <v>225</v>
      </c>
      <c r="F44" s="148">
        <v>1027.04</v>
      </c>
      <c r="G44" s="148">
        <f t="shared" si="6"/>
        <v>4.5646222222222219</v>
      </c>
      <c r="H44" s="154">
        <v>0</v>
      </c>
      <c r="I44" s="148">
        <v>0</v>
      </c>
      <c r="J44" s="48">
        <f t="shared" si="7"/>
        <v>0</v>
      </c>
      <c r="K44" s="48">
        <f t="shared" si="8"/>
        <v>4565.6000000000004</v>
      </c>
      <c r="L44" s="48"/>
      <c r="M44" s="459"/>
      <c r="P44" s="48"/>
      <c r="Q44" s="48">
        <f>+G24</f>
        <v>0</v>
      </c>
      <c r="R44" s="48">
        <f>+H24</f>
        <v>0</v>
      </c>
    </row>
    <row r="45" spans="1:18">
      <c r="A45" s="465" t="s">
        <v>339</v>
      </c>
      <c r="B45" s="154">
        <v>759</v>
      </c>
      <c r="C45" s="148">
        <v>3357.75</v>
      </c>
      <c r="D45" s="148">
        <f t="shared" si="5"/>
        <v>4.4239130434782608</v>
      </c>
      <c r="E45" s="154">
        <v>197</v>
      </c>
      <c r="F45" s="148">
        <v>890.89</v>
      </c>
      <c r="G45" s="148">
        <f t="shared" si="6"/>
        <v>4.5222842639593912</v>
      </c>
      <c r="H45" s="154">
        <v>37</v>
      </c>
      <c r="I45" s="148">
        <v>167.95</v>
      </c>
      <c r="J45" s="48">
        <f t="shared" si="7"/>
        <v>4.5391891891891891</v>
      </c>
      <c r="K45" s="48">
        <f t="shared" si="8"/>
        <v>4416.59</v>
      </c>
      <c r="L45" s="48"/>
      <c r="M45" t="s">
        <v>1433</v>
      </c>
      <c r="P45" s="48">
        <v>949.45</v>
      </c>
      <c r="Q45" s="48">
        <v>0</v>
      </c>
      <c r="R45" s="48">
        <v>0</v>
      </c>
    </row>
    <row r="46" spans="1:18">
      <c r="A46" s="192" t="s">
        <v>340</v>
      </c>
      <c r="B46" s="150">
        <v>596</v>
      </c>
      <c r="C46" s="48">
        <v>2606.6999999999998</v>
      </c>
      <c r="D46" s="48">
        <f t="shared" si="5"/>
        <v>4.3736577181208052</v>
      </c>
      <c r="E46" s="150">
        <v>173</v>
      </c>
      <c r="F46" s="48">
        <v>779.3</v>
      </c>
      <c r="G46" s="48">
        <f t="shared" si="6"/>
        <v>4.5046242774566467</v>
      </c>
      <c r="H46" s="150">
        <v>33</v>
      </c>
      <c r="I46" s="48">
        <v>148.41</v>
      </c>
      <c r="J46" s="48">
        <f t="shared" si="7"/>
        <v>4.4972727272727271</v>
      </c>
      <c r="K46" s="48">
        <f t="shared" si="8"/>
        <v>3534.41</v>
      </c>
      <c r="L46" s="48"/>
      <c r="M46" t="s">
        <v>1152</v>
      </c>
      <c r="P46" s="48">
        <v>2688.47</v>
      </c>
      <c r="Q46" s="48">
        <v>0</v>
      </c>
      <c r="R46" s="48">
        <v>0</v>
      </c>
    </row>
    <row r="47" spans="1:18">
      <c r="A47" s="192" t="s">
        <v>341</v>
      </c>
      <c r="B47" s="150">
        <v>871</v>
      </c>
      <c r="C47" s="48">
        <v>3835.24</v>
      </c>
      <c r="D47" s="48">
        <f t="shared" si="5"/>
        <v>4.4032606199770372</v>
      </c>
      <c r="E47" s="150">
        <v>235</v>
      </c>
      <c r="F47" s="48">
        <v>1058.82</v>
      </c>
      <c r="G47" s="48">
        <f t="shared" si="6"/>
        <v>4.5056170212765956</v>
      </c>
      <c r="H47" s="150">
        <v>49</v>
      </c>
      <c r="I47" s="48">
        <v>224.23</v>
      </c>
      <c r="J47" s="48">
        <f t="shared" si="7"/>
        <v>4.576122448979592</v>
      </c>
      <c r="K47" s="48">
        <f t="shared" si="8"/>
        <v>5118.2899999999991</v>
      </c>
      <c r="L47" s="48"/>
      <c r="M47" s="459" t="s">
        <v>1407</v>
      </c>
      <c r="N47" s="459"/>
      <c r="P47" s="69">
        <v>2471.38</v>
      </c>
      <c r="Q47" s="48">
        <v>98.51</v>
      </c>
      <c r="R47" s="48">
        <v>0</v>
      </c>
    </row>
    <row r="48" spans="1:18">
      <c r="A48" s="1" t="s">
        <v>342</v>
      </c>
      <c r="B48" s="150">
        <v>842</v>
      </c>
      <c r="C48" s="48">
        <v>3513.46</v>
      </c>
      <c r="D48" s="48">
        <f t="shared" si="5"/>
        <v>4.1727553444180527</v>
      </c>
      <c r="E48" s="150">
        <v>148</v>
      </c>
      <c r="F48" s="48">
        <v>633.77</v>
      </c>
      <c r="G48" s="48">
        <f t="shared" si="6"/>
        <v>4.28222972972973</v>
      </c>
      <c r="H48" s="150">
        <v>60</v>
      </c>
      <c r="I48" s="48">
        <v>252.88</v>
      </c>
      <c r="J48" s="48">
        <f t="shared" si="7"/>
        <v>4.214666666666667</v>
      </c>
      <c r="K48" s="48">
        <f t="shared" si="8"/>
        <v>4400.1099999999997</v>
      </c>
      <c r="L48" s="48"/>
      <c r="M48" t="s">
        <v>1153</v>
      </c>
      <c r="P48" s="48">
        <v>8071.49</v>
      </c>
      <c r="Q48" s="48">
        <v>0</v>
      </c>
      <c r="R48" s="48">
        <v>0</v>
      </c>
    </row>
    <row r="49" spans="1:18">
      <c r="A49" s="1" t="s">
        <v>343</v>
      </c>
      <c r="B49" s="150">
        <v>673</v>
      </c>
      <c r="C49" s="48">
        <v>2744.33</v>
      </c>
      <c r="D49" s="48">
        <f t="shared" si="5"/>
        <v>4.077756315007429</v>
      </c>
      <c r="E49" s="150">
        <v>195</v>
      </c>
      <c r="F49" s="48">
        <v>808.69</v>
      </c>
      <c r="G49" s="48">
        <f t="shared" si="6"/>
        <v>4.1471282051282055</v>
      </c>
      <c r="H49" s="150">
        <v>39</v>
      </c>
      <c r="I49" s="48">
        <v>161.33000000000001</v>
      </c>
      <c r="J49" s="48">
        <f t="shared" si="7"/>
        <v>4.1366666666666667</v>
      </c>
      <c r="K49" s="48">
        <f t="shared" si="8"/>
        <v>3714.35</v>
      </c>
      <c r="L49" s="48"/>
      <c r="M49" t="s">
        <v>1154</v>
      </c>
      <c r="P49" s="48"/>
      <c r="Q49" s="48">
        <v>175</v>
      </c>
      <c r="R49" s="48">
        <v>0</v>
      </c>
    </row>
    <row r="50" spans="1:18" ht="13.5" thickBot="1">
      <c r="A50" s="1" t="s">
        <v>344</v>
      </c>
      <c r="B50" s="154">
        <v>774</v>
      </c>
      <c r="C50" s="148">
        <v>3175.17</v>
      </c>
      <c r="D50" s="148">
        <f t="shared" si="5"/>
        <v>4.1022868217054267</v>
      </c>
      <c r="E50" s="154">
        <v>237</v>
      </c>
      <c r="F50" s="148">
        <v>1003.01</v>
      </c>
      <c r="G50" s="148">
        <f t="shared" si="6"/>
        <v>4.2321097046413501</v>
      </c>
      <c r="H50" s="154">
        <v>36</v>
      </c>
      <c r="I50" s="148">
        <v>150.09</v>
      </c>
      <c r="J50" s="48">
        <f t="shared" si="7"/>
        <v>4.1691666666666665</v>
      </c>
      <c r="K50" s="48">
        <f t="shared" si="8"/>
        <v>4328.2700000000004</v>
      </c>
      <c r="L50" s="48"/>
      <c r="P50" s="171"/>
      <c r="Q50" s="171"/>
      <c r="R50" s="171"/>
    </row>
    <row r="51" spans="1:18">
      <c r="A51" s="1" t="s">
        <v>345</v>
      </c>
      <c r="B51" s="154">
        <v>788</v>
      </c>
      <c r="C51" s="148">
        <v>3200.17</v>
      </c>
      <c r="D51" s="148">
        <f t="shared" si="5"/>
        <v>4.0611294416243657</v>
      </c>
      <c r="E51" s="154">
        <v>263</v>
      </c>
      <c r="F51" s="148">
        <v>1147.17</v>
      </c>
      <c r="G51" s="148">
        <f t="shared" si="6"/>
        <v>4.3618631178707226</v>
      </c>
      <c r="H51" s="154">
        <v>68</v>
      </c>
      <c r="I51" s="148">
        <v>280.95999999999998</v>
      </c>
      <c r="J51" s="48">
        <f t="shared" si="7"/>
        <v>4.131764705882353</v>
      </c>
      <c r="K51" s="48">
        <f t="shared" si="8"/>
        <v>4628.3</v>
      </c>
      <c r="L51" s="48"/>
      <c r="M51" t="s">
        <v>27</v>
      </c>
      <c r="P51" s="48">
        <f>SUM(P42:P49)</f>
        <v>110562.00000000001</v>
      </c>
      <c r="Q51" s="48">
        <f>SUM(Q42:Q49)</f>
        <v>27358.279999999995</v>
      </c>
      <c r="R51" s="48">
        <f>SUM(R42:R49)</f>
        <v>4247.1899999999996</v>
      </c>
    </row>
    <row r="52" spans="1:18">
      <c r="A52" s="1" t="s">
        <v>346</v>
      </c>
      <c r="B52" s="150">
        <v>698</v>
      </c>
      <c r="C52" s="48">
        <v>2968.19</v>
      </c>
      <c r="D52" s="48">
        <f t="shared" si="5"/>
        <v>4.2524212034383959</v>
      </c>
      <c r="E52" s="150">
        <v>190</v>
      </c>
      <c r="F52" s="48">
        <v>868.76</v>
      </c>
      <c r="G52" s="48">
        <f t="shared" si="6"/>
        <v>4.5724210526315785</v>
      </c>
      <c r="H52" s="150">
        <v>29</v>
      </c>
      <c r="I52" s="48">
        <v>126.89</v>
      </c>
      <c r="J52" s="48">
        <f t="shared" si="7"/>
        <v>4.3755172413793106</v>
      </c>
      <c r="K52" s="48">
        <f t="shared" si="8"/>
        <v>3963.8399999999997</v>
      </c>
      <c r="L52" s="48"/>
      <c r="P52" s="48"/>
      <c r="Q52" s="48"/>
      <c r="R52" s="48"/>
    </row>
    <row r="53" spans="1:18" ht="13.5" thickBot="1">
      <c r="A53" s="1" t="s">
        <v>347</v>
      </c>
      <c r="B53" s="150">
        <v>859</v>
      </c>
      <c r="C53" s="48">
        <v>3657.03</v>
      </c>
      <c r="D53" s="48">
        <f t="shared" si="5"/>
        <v>4.2573108265424917</v>
      </c>
      <c r="E53" s="150">
        <v>199</v>
      </c>
      <c r="F53" s="48">
        <v>862.61</v>
      </c>
      <c r="G53" s="48">
        <f t="shared" si="6"/>
        <v>4.334723618090452</v>
      </c>
      <c r="H53" s="150">
        <v>38</v>
      </c>
      <c r="I53" s="48">
        <v>166.47</v>
      </c>
      <c r="J53" s="48">
        <f t="shared" si="7"/>
        <v>4.3807894736842101</v>
      </c>
      <c r="K53" s="48">
        <f t="shared" si="8"/>
        <v>4686.1100000000006</v>
      </c>
      <c r="L53" s="48"/>
      <c r="M53" t="s">
        <v>217</v>
      </c>
      <c r="P53" s="171">
        <f>'Results of Operations Co'!C45</f>
        <v>110562</v>
      </c>
      <c r="Q53" s="171">
        <f>'Results of Operations Co'!C46</f>
        <v>27358.28</v>
      </c>
      <c r="R53" s="171">
        <f>'Results of Operations Co'!C47</f>
        <v>4247.1930000000002</v>
      </c>
    </row>
    <row r="54" spans="1:18">
      <c r="A54" s="1" t="s">
        <v>348</v>
      </c>
      <c r="B54" s="150">
        <v>859</v>
      </c>
      <c r="C54" s="48">
        <v>3560.13</v>
      </c>
      <c r="D54" s="48">
        <f t="shared" si="5"/>
        <v>4.1445052386495931</v>
      </c>
      <c r="E54" s="150">
        <v>220</v>
      </c>
      <c r="F54" s="48">
        <v>947.71</v>
      </c>
      <c r="G54" s="48">
        <f t="shared" si="6"/>
        <v>4.3077727272727273</v>
      </c>
      <c r="H54" s="150">
        <v>34</v>
      </c>
      <c r="I54" s="48">
        <v>142.12</v>
      </c>
      <c r="J54" s="48">
        <f t="shared" si="7"/>
        <v>4.18</v>
      </c>
      <c r="K54" s="48">
        <f t="shared" si="8"/>
        <v>4649.96</v>
      </c>
      <c r="L54" s="48"/>
      <c r="P54" s="48"/>
      <c r="Q54" s="48"/>
      <c r="R54" s="48"/>
    </row>
    <row r="55" spans="1:18" ht="13.5" thickBot="1">
      <c r="A55" s="1" t="s">
        <v>349</v>
      </c>
      <c r="B55" s="150">
        <v>1009</v>
      </c>
      <c r="C55" s="48">
        <v>4047.07</v>
      </c>
      <c r="D55" s="48">
        <f t="shared" si="5"/>
        <v>4.0109712586719528</v>
      </c>
      <c r="E55" s="150">
        <v>319</v>
      </c>
      <c r="F55" s="48">
        <v>1337.61</v>
      </c>
      <c r="G55" s="48">
        <f t="shared" si="6"/>
        <v>4.1931347962382439</v>
      </c>
      <c r="H55" s="150">
        <v>40</v>
      </c>
      <c r="I55" s="48">
        <v>162.41</v>
      </c>
      <c r="J55" s="48">
        <f t="shared" si="7"/>
        <v>4.0602499999999999</v>
      </c>
      <c r="K55" s="48">
        <f t="shared" si="8"/>
        <v>5547.09</v>
      </c>
      <c r="L55" s="48"/>
      <c r="M55" t="s">
        <v>654</v>
      </c>
      <c r="P55" s="191">
        <f>ROUND(+P51-P53,2)</f>
        <v>0</v>
      </c>
      <c r="Q55" s="191">
        <f>ROUND(+Q51-Q53,2)</f>
        <v>0</v>
      </c>
      <c r="R55" s="191">
        <f>ROUND(+R51-R53,2)</f>
        <v>0</v>
      </c>
    </row>
    <row r="56" spans="1:18" ht="13.5" thickTop="1">
      <c r="A56" s="1" t="s">
        <v>350</v>
      </c>
      <c r="B56" s="154">
        <v>851</v>
      </c>
      <c r="C56" s="148">
        <v>3375.67</v>
      </c>
      <c r="D56" s="148">
        <f t="shared" si="5"/>
        <v>3.9667097532314926</v>
      </c>
      <c r="E56" s="154">
        <v>309</v>
      </c>
      <c r="F56" s="148">
        <v>1268.3900000000001</v>
      </c>
      <c r="G56" s="148">
        <f t="shared" si="6"/>
        <v>4.1048220064724923</v>
      </c>
      <c r="H56" s="154">
        <v>39</v>
      </c>
      <c r="I56" s="148">
        <v>155.81</v>
      </c>
      <c r="J56" s="48">
        <f t="shared" si="7"/>
        <v>3.9951282051282053</v>
      </c>
      <c r="K56" s="48">
        <f t="shared" si="8"/>
        <v>4799.8700000000008</v>
      </c>
      <c r="L56" s="48"/>
    </row>
    <row r="57" spans="1:18" ht="13.5" thickBot="1">
      <c r="A57" s="1" t="s">
        <v>351</v>
      </c>
      <c r="B57" s="190">
        <v>909</v>
      </c>
      <c r="C57" s="189">
        <v>3727.27</v>
      </c>
      <c r="D57" s="189">
        <f>IF(+B57=0,0,C57/B57)</f>
        <v>4.10040704070407</v>
      </c>
      <c r="E57" s="190">
        <v>318</v>
      </c>
      <c r="F57" s="189">
        <v>1351.83</v>
      </c>
      <c r="G57" s="189">
        <f>IF(+E57=0,0,F57/E57)</f>
        <v>4.2510377358490565</v>
      </c>
      <c r="H57" s="190">
        <v>43</v>
      </c>
      <c r="I57" s="189">
        <v>179.15</v>
      </c>
      <c r="J57" s="171">
        <f>IF(+H57=0,0,I57/H57)</f>
        <v>4.1662790697674419</v>
      </c>
      <c r="K57" s="48">
        <f>+C57+F57+I57</f>
        <v>5258.25</v>
      </c>
      <c r="L57" s="48"/>
      <c r="M57" t="s">
        <v>654</v>
      </c>
      <c r="P57">
        <f>IF(P55+Q55=0,Q55,"err")</f>
        <v>0</v>
      </c>
    </row>
    <row r="58" spans="1:18">
      <c r="B58" s="150"/>
      <c r="C58" s="48"/>
      <c r="E58" s="150"/>
      <c r="F58" s="48"/>
      <c r="H58" s="150"/>
      <c r="I58" s="48"/>
    </row>
    <row r="59" spans="1:18">
      <c r="A59" t="s">
        <v>647</v>
      </c>
      <c r="B59" s="150">
        <f>SUM(B34:B57)</f>
        <v>20575</v>
      </c>
      <c r="C59" s="48">
        <f>SUM(C34:C57)</f>
        <v>93951.07</v>
      </c>
      <c r="D59" s="48">
        <f>+C59/B59</f>
        <v>4.5662731470230868</v>
      </c>
      <c r="E59" s="150">
        <f>SUM(E34:E57)</f>
        <v>5812</v>
      </c>
      <c r="F59" s="48">
        <f>SUM(F34:F57)</f>
        <v>27084.769999999997</v>
      </c>
      <c r="G59" s="48">
        <f>+F59/E59</f>
        <v>4.6601462491397108</v>
      </c>
      <c r="H59" s="150">
        <f>SUM(H34:H57)</f>
        <v>924</v>
      </c>
      <c r="I59" s="48">
        <f>SUM(I34:I57)</f>
        <v>4247.1899999999996</v>
      </c>
      <c r="J59" s="48">
        <f>+I59/H59</f>
        <v>4.5965259740259734</v>
      </c>
    </row>
    <row r="60" spans="1:18">
      <c r="B60" s="150"/>
      <c r="C60" s="48"/>
      <c r="E60" s="150"/>
      <c r="F60" s="48"/>
      <c r="H60" s="150"/>
      <c r="I60" s="48"/>
    </row>
    <row r="61" spans="1:18">
      <c r="B61" s="150"/>
      <c r="C61" s="48"/>
      <c r="D61" s="48"/>
      <c r="E61" s="150"/>
      <c r="F61" s="48"/>
      <c r="G61" s="48"/>
      <c r="H61" s="150"/>
      <c r="I61" s="48"/>
      <c r="J61" s="48"/>
    </row>
    <row r="62" spans="1:18">
      <c r="B62" s="150"/>
      <c r="C62" s="48"/>
      <c r="D62" s="48"/>
      <c r="E62" s="150"/>
      <c r="F62" s="48"/>
      <c r="G62" s="48"/>
    </row>
    <row r="63" spans="1:18">
      <c r="A63" s="1"/>
      <c r="B63" s="150"/>
      <c r="C63" s="48"/>
      <c r="D63" s="48"/>
      <c r="E63" s="150"/>
      <c r="F63" s="48"/>
      <c r="G63" s="48"/>
      <c r="H63" s="150"/>
      <c r="I63" s="48"/>
      <c r="J63" s="48"/>
      <c r="K63" s="48"/>
    </row>
    <row r="64" spans="1:18">
      <c r="A64" s="1"/>
      <c r="B64" s="150"/>
      <c r="C64" s="48"/>
      <c r="D64" s="48"/>
      <c r="E64" s="150"/>
      <c r="F64" s="48"/>
      <c r="G64" s="48"/>
      <c r="H64" s="150"/>
      <c r="I64" s="48"/>
      <c r="J64" s="48"/>
      <c r="K64" s="48"/>
    </row>
    <row r="65" spans="1:11">
      <c r="A65" s="1"/>
      <c r="B65" s="150"/>
      <c r="C65" s="48"/>
      <c r="D65" s="48"/>
      <c r="E65" s="150"/>
      <c r="F65" s="48"/>
      <c r="G65" s="48"/>
      <c r="H65" s="150"/>
      <c r="I65" s="48"/>
      <c r="J65" s="48"/>
      <c r="K65" s="48"/>
    </row>
    <row r="66" spans="1:11">
      <c r="A66" s="1"/>
      <c r="B66" s="150"/>
      <c r="C66" s="48"/>
      <c r="D66" s="48"/>
      <c r="E66" s="150"/>
      <c r="F66" s="48"/>
      <c r="G66" s="48"/>
      <c r="H66" s="150"/>
      <c r="I66" s="48"/>
      <c r="J66" s="48"/>
      <c r="K66" s="48"/>
    </row>
    <row r="67" spans="1:11">
      <c r="A67" s="1"/>
      <c r="B67" s="154"/>
      <c r="C67" s="148"/>
      <c r="D67" s="148"/>
      <c r="E67" s="154"/>
      <c r="F67" s="148"/>
      <c r="G67" s="148"/>
      <c r="H67" s="154"/>
      <c r="I67" s="148"/>
      <c r="J67" s="48"/>
      <c r="K67" s="48"/>
    </row>
    <row r="68" spans="1:11">
      <c r="A68" s="1"/>
      <c r="B68" s="154"/>
      <c r="C68" s="148"/>
      <c r="D68" s="148"/>
      <c r="E68" s="154"/>
      <c r="F68" s="148"/>
      <c r="G68" s="148"/>
      <c r="H68" s="154"/>
      <c r="I68" s="148"/>
      <c r="J68" s="48"/>
      <c r="K68" s="48"/>
    </row>
  </sheetData>
  <mergeCells count="1">
    <mergeCell ref="H30:J30"/>
  </mergeCells>
  <pageMargins left="0.22" right="0.25" top="0.23" bottom="0.31" header="0.2" footer="0.28999999999999998"/>
  <pageSetup scale="6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C000"/>
  </sheetPr>
  <dimension ref="A1:N291"/>
  <sheetViews>
    <sheetView topLeftCell="A37" workbookViewId="0">
      <selection activeCell="L17" sqref="L17"/>
    </sheetView>
  </sheetViews>
  <sheetFormatPr defaultRowHeight="12.75"/>
  <cols>
    <col min="1" max="1" width="10.140625" bestFit="1" customWidth="1"/>
    <col min="4" max="4" width="24.5703125" customWidth="1"/>
  </cols>
  <sheetData>
    <row r="1" spans="1:9">
      <c r="A1" t="s">
        <v>4</v>
      </c>
    </row>
    <row r="2" spans="1:9">
      <c r="A2" t="s">
        <v>1170</v>
      </c>
      <c r="E2" t="s">
        <v>1171</v>
      </c>
      <c r="F2" s="185" t="s">
        <v>1172</v>
      </c>
    </row>
    <row r="3" spans="1:9">
      <c r="A3" s="501">
        <v>45473</v>
      </c>
      <c r="E3" t="s">
        <v>1173</v>
      </c>
      <c r="F3" s="205" t="s">
        <v>1174</v>
      </c>
    </row>
    <row r="4" spans="1:9">
      <c r="E4" t="s">
        <v>1175</v>
      </c>
      <c r="F4" s="204" t="s">
        <v>1176</v>
      </c>
    </row>
    <row r="5" spans="1:9">
      <c r="F5" s="203"/>
    </row>
    <row r="6" spans="1:9">
      <c r="F6" s="203"/>
    </row>
    <row r="7" spans="1:9">
      <c r="F7" s="203"/>
    </row>
    <row r="9" spans="1:9">
      <c r="A9" t="s">
        <v>1177</v>
      </c>
      <c r="I9" t="s">
        <v>910</v>
      </c>
    </row>
    <row r="10" spans="1:9">
      <c r="B10" t="s">
        <v>1178</v>
      </c>
      <c r="E10" s="459" t="str">
        <f>'General Data'!E3</f>
        <v>c</v>
      </c>
      <c r="F10" t="str">
        <f t="shared" ref="F10:F16" si="0">IF(E10="a",$F$2,IF(E10="p",$F$3,IF(E10="c",$F$4,"err")))</f>
        <v>Completed</v>
      </c>
    </row>
    <row r="11" spans="1:9">
      <c r="B11" s="459" t="s">
        <v>1179</v>
      </c>
      <c r="E11" s="459" t="str">
        <f>'Monthly Data-Hours &amp; Miles'!E3</f>
        <v>C</v>
      </c>
      <c r="F11" t="str">
        <f t="shared" si="0"/>
        <v>Completed</v>
      </c>
    </row>
    <row r="12" spans="1:9">
      <c r="B12" s="459" t="s">
        <v>1180</v>
      </c>
      <c r="E12" s="459" t="str">
        <f>'Monthly Data-Container Count'!E3</f>
        <v>C</v>
      </c>
      <c r="F12" t="str">
        <f t="shared" si="0"/>
        <v>Completed</v>
      </c>
    </row>
    <row r="13" spans="1:9">
      <c r="B13" s="459" t="s">
        <v>1181</v>
      </c>
      <c r="E13" s="459" t="str">
        <f>'Monthly Data-Disposal Fees'!E3</f>
        <v>C</v>
      </c>
      <c r="F13" t="str">
        <f t="shared" si="0"/>
        <v>Completed</v>
      </c>
    </row>
    <row r="14" spans="1:9">
      <c r="B14" t="s">
        <v>1182</v>
      </c>
      <c r="E14" s="459" t="str">
        <f>'Service Count Data'!E3</f>
        <v>C</v>
      </c>
      <c r="F14" t="str">
        <f t="shared" si="0"/>
        <v>Completed</v>
      </c>
    </row>
    <row r="15" spans="1:9">
      <c r="B15" t="s">
        <v>1183</v>
      </c>
      <c r="E15" s="459" t="str">
        <f>'Pateros Service Counts'!F3</f>
        <v>C</v>
      </c>
      <c r="F15" t="str">
        <f t="shared" si="0"/>
        <v>Completed</v>
      </c>
    </row>
    <row r="16" spans="1:9">
      <c r="B16" t="s">
        <v>1184</v>
      </c>
      <c r="E16" s="459" t="str">
        <f>'Bridgeport Service Counts'!G3</f>
        <v>C</v>
      </c>
      <c r="F16" t="str">
        <f t="shared" si="0"/>
        <v>Completed</v>
      </c>
    </row>
    <row r="19" spans="1:6">
      <c r="A19" t="s">
        <v>1185</v>
      </c>
    </row>
    <row r="20" spans="1:6">
      <c r="B20" t="s">
        <v>1186</v>
      </c>
      <c r="E20" s="459" t="e">
        <f>#REF!</f>
        <v>#REF!</v>
      </c>
      <c r="F20" t="e">
        <f t="shared" ref="F20:F34" si="1">IF(E20="a",$F$2,IF(E20="p",$F$3,IF(E20="c",$F$4,"err")))</f>
        <v>#REF!</v>
      </c>
    </row>
    <row r="21" spans="1:6">
      <c r="B21" s="459" t="s">
        <v>1466</v>
      </c>
      <c r="E21" s="459" t="str">
        <f>'Results of Operations Co'!D3</f>
        <v>C</v>
      </c>
      <c r="F21" t="str">
        <f t="shared" si="1"/>
        <v>Completed</v>
      </c>
    </row>
    <row r="22" spans="1:6">
      <c r="B22" s="459" t="s">
        <v>1187</v>
      </c>
      <c r="E22" s="459" t="str">
        <f>'Results of Operations Regulated'!D3</f>
        <v>C</v>
      </c>
      <c r="F22" t="str">
        <f>IF(E22="a",$F$2,IF(E22="p",$F$3,IF(E22="c",$F$4,"err")))</f>
        <v>Completed</v>
      </c>
    </row>
    <row r="23" spans="1:6">
      <c r="B23" t="s">
        <v>690</v>
      </c>
      <c r="E23" s="459" t="str">
        <f>'Restating AJEs'!E3</f>
        <v>C</v>
      </c>
      <c r="F23" t="str">
        <f>IF(E23="a",$F$2,IF(E23="p",$F$3,IF(E23="c",$F$4,"err")))</f>
        <v>Completed</v>
      </c>
    </row>
    <row r="24" spans="1:6">
      <c r="B24" t="s">
        <v>712</v>
      </c>
      <c r="E24" s="459" t="str">
        <f>'Proforma AJEs'!E3</f>
        <v>C</v>
      </c>
      <c r="F24" t="str">
        <f t="shared" si="1"/>
        <v>Completed</v>
      </c>
    </row>
    <row r="25" spans="1:6">
      <c r="B25" t="s">
        <v>1188</v>
      </c>
      <c r="E25" s="459" t="str">
        <f>'Cost Allocations'!G3</f>
        <v>C</v>
      </c>
      <c r="F25" t="str">
        <f t="shared" si="1"/>
        <v>Completed</v>
      </c>
    </row>
    <row r="26" spans="1:6">
      <c r="B26" s="459" t="s">
        <v>1189</v>
      </c>
      <c r="E26" s="459" t="str">
        <f>'Cost Allocations-Contracts'!G3</f>
        <v>C</v>
      </c>
      <c r="F26" t="str">
        <f>IF(E26="a",$F$2,IF(E26="p",$F$3,IF(E26="c",$F$4,"err")))</f>
        <v>Completed</v>
      </c>
    </row>
    <row r="27" spans="1:6">
      <c r="B27" s="459" t="s">
        <v>1190</v>
      </c>
      <c r="E27" s="459" t="str">
        <f>'Cost Allocations-Recycle'!E3</f>
        <v>C</v>
      </c>
      <c r="F27" t="str">
        <f>IF(E27="a",$F$2,IF(E27="p",$F$3,IF(E27="c",$F$4,"err")))</f>
        <v>Completed</v>
      </c>
    </row>
    <row r="28" spans="1:6">
      <c r="B28" s="459" t="s">
        <v>1191</v>
      </c>
      <c r="E28" s="459" t="str">
        <f>'Cost Allocations-Rolloff'!F3</f>
        <v>C</v>
      </c>
      <c r="F28" t="str">
        <f>IF(E28="a",$F$2,IF(E28="p",$F$3,IF(E28="c",$F$4,"err")))</f>
        <v>Completed</v>
      </c>
    </row>
    <row r="29" spans="1:6">
      <c r="B29" t="s">
        <v>1192</v>
      </c>
      <c r="E29" s="459" t="str">
        <f>'Depr Allocation'!E3</f>
        <v>C</v>
      </c>
      <c r="F29" t="str">
        <f t="shared" si="1"/>
        <v>Completed</v>
      </c>
    </row>
    <row r="30" spans="1:6">
      <c r="B30" t="s">
        <v>1193</v>
      </c>
      <c r="E30" s="459" t="str">
        <f>'Allocations-Hours &amp; Miles'!G3</f>
        <v>C</v>
      </c>
      <c r="F30" t="str">
        <f t="shared" si="1"/>
        <v>Completed</v>
      </c>
    </row>
    <row r="31" spans="1:6">
      <c r="B31" t="s">
        <v>1006</v>
      </c>
      <c r="E31" s="459" t="str">
        <f>'Container Count'!E3</f>
        <v>C</v>
      </c>
      <c r="F31" t="str">
        <f t="shared" si="1"/>
        <v>Completed</v>
      </c>
    </row>
    <row r="32" spans="1:6">
      <c r="B32" s="459" t="s">
        <v>773</v>
      </c>
      <c r="E32" s="459" t="str">
        <f>DEPN2K!D2</f>
        <v>C</v>
      </c>
      <c r="F32" t="str">
        <f t="shared" si="1"/>
        <v>Completed</v>
      </c>
    </row>
    <row r="33" spans="1:10">
      <c r="B33" t="s">
        <v>1194</v>
      </c>
      <c r="E33" s="459" t="str">
        <f>'Wutc Balance Sheet'!G2</f>
        <v>C</v>
      </c>
      <c r="F33" t="str">
        <f t="shared" si="1"/>
        <v>Completed</v>
      </c>
    </row>
    <row r="34" spans="1:10">
      <c r="B34" t="s">
        <v>1195</v>
      </c>
      <c r="E34" s="459" t="str">
        <f>'Monthy Income Statements'!E3</f>
        <v>C</v>
      </c>
      <c r="F34" t="str">
        <f t="shared" si="1"/>
        <v>Completed</v>
      </c>
    </row>
    <row r="37" spans="1:10">
      <c r="A37" t="s">
        <v>655</v>
      </c>
    </row>
    <row r="38" spans="1:10">
      <c r="B38" t="s">
        <v>1062</v>
      </c>
      <c r="E38" s="459" t="str">
        <f>'Wage Summary'!E3</f>
        <v>C</v>
      </c>
      <c r="F38" t="str">
        <f t="shared" ref="F38:F47" si="2">IF(E38="a",$F$2,IF(E38="p",$F$3,IF(E38="c",$F$4,"err")))</f>
        <v>Completed</v>
      </c>
    </row>
    <row r="39" spans="1:10">
      <c r="B39" t="s">
        <v>1196</v>
      </c>
      <c r="E39" s="459" t="str">
        <f>'L&amp;I'!E3</f>
        <v>C</v>
      </c>
      <c r="F39" t="str">
        <f t="shared" si="2"/>
        <v>Completed</v>
      </c>
      <c r="H39" s="60"/>
    </row>
    <row r="40" spans="1:10">
      <c r="B40" t="s">
        <v>1197</v>
      </c>
      <c r="E40" s="459" t="str">
        <f>'Health Insurance'!F3</f>
        <v>C</v>
      </c>
      <c r="F40" t="str">
        <f t="shared" si="2"/>
        <v>Completed</v>
      </c>
    </row>
    <row r="41" spans="1:10">
      <c r="B41" t="s">
        <v>1198</v>
      </c>
      <c r="E41" s="459" t="str">
        <f>'City Contracts'!E3</f>
        <v>C</v>
      </c>
      <c r="F41" t="str">
        <f t="shared" si="2"/>
        <v>Completed</v>
      </c>
    </row>
    <row r="42" spans="1:10">
      <c r="B42" t="s">
        <v>1124</v>
      </c>
      <c r="E42" s="459" t="str">
        <f>'Disposal Fees'!E3</f>
        <v>C</v>
      </c>
      <c r="F42" t="str">
        <f t="shared" si="2"/>
        <v>Completed</v>
      </c>
    </row>
    <row r="43" spans="1:10">
      <c r="B43" t="s">
        <v>1199</v>
      </c>
      <c r="E43" s="459" t="str">
        <f>'Previous rate increases NA'!G2</f>
        <v>a</v>
      </c>
      <c r="F43" t="str">
        <f t="shared" si="2"/>
        <v>Awaiting Data</v>
      </c>
      <c r="H43" t="s">
        <v>1469</v>
      </c>
    </row>
    <row r="44" spans="1:10">
      <c r="B44" t="s">
        <v>1150</v>
      </c>
      <c r="E44" s="459" t="str">
        <f>'Fuel Summary'!E3</f>
        <v>C</v>
      </c>
      <c r="F44" t="str">
        <f t="shared" si="2"/>
        <v>Completed</v>
      </c>
    </row>
    <row r="45" spans="1:10">
      <c r="B45" t="s">
        <v>1200</v>
      </c>
      <c r="E45" s="459" t="str">
        <f>'Fuel Proforma'!E3</f>
        <v>C</v>
      </c>
      <c r="F45" t="str">
        <f t="shared" si="2"/>
        <v>Completed</v>
      </c>
    </row>
    <row r="46" spans="1:10">
      <c r="B46" t="s">
        <v>1201</v>
      </c>
      <c r="E46" s="459" t="str">
        <f>'Employment Security'!E3</f>
        <v>C</v>
      </c>
      <c r="F46" t="str">
        <f t="shared" si="2"/>
        <v>Completed</v>
      </c>
      <c r="H46" s="459"/>
      <c r="J46" t="s">
        <v>14</v>
      </c>
    </row>
    <row r="47" spans="1:10">
      <c r="B47" s="459" t="s">
        <v>332</v>
      </c>
      <c r="E47" t="str">
        <f>Rent!F3</f>
        <v>C</v>
      </c>
      <c r="F47" t="str">
        <f t="shared" si="2"/>
        <v>Completed</v>
      </c>
    </row>
    <row r="49" spans="1:6">
      <c r="A49" t="s">
        <v>735</v>
      </c>
    </row>
    <row r="50" spans="1:6">
      <c r="B50" t="s">
        <v>1202</v>
      </c>
      <c r="E50" s="459" t="e">
        <f>#REF!</f>
        <v>#REF!</v>
      </c>
      <c r="F50" t="e">
        <f t="shared" ref="F50:F64" si="3">IF(E50="a",$F$2,IF(E50="p",$F$3,IF(E50="c",$F$4,"err")))</f>
        <v>#REF!</v>
      </c>
    </row>
    <row r="51" spans="1:6">
      <c r="B51" t="s">
        <v>1203</v>
      </c>
      <c r="E51" s="459" t="str">
        <f>'Priceout-Douglas'!F4</f>
        <v>C</v>
      </c>
      <c r="F51" t="str">
        <f t="shared" si="3"/>
        <v>Completed</v>
      </c>
    </row>
    <row r="52" spans="1:6">
      <c r="B52" t="s">
        <v>1204</v>
      </c>
      <c r="E52" s="459" t="str">
        <f>'Priceout-Okanogan'!F4</f>
        <v>C</v>
      </c>
      <c r="F52" t="str">
        <f t="shared" si="3"/>
        <v>Completed</v>
      </c>
    </row>
    <row r="53" spans="1:6">
      <c r="B53" t="s">
        <v>1205</v>
      </c>
      <c r="E53" s="459" t="str">
        <f>'Lurito Old-Chelan'!E3</f>
        <v>C</v>
      </c>
      <c r="F53" t="str">
        <f t="shared" si="3"/>
        <v>Completed</v>
      </c>
    </row>
    <row r="54" spans="1:6">
      <c r="B54" t="s">
        <v>1206</v>
      </c>
      <c r="E54" s="459" t="str">
        <f>'Lurito Old-Douglas'!E3</f>
        <v>C</v>
      </c>
      <c r="F54" t="str">
        <f t="shared" si="3"/>
        <v>Completed</v>
      </c>
    </row>
    <row r="55" spans="1:6">
      <c r="B55" t="s">
        <v>1207</v>
      </c>
      <c r="E55" s="459" t="str">
        <f>'Lurito Old-Okanogan'!E3</f>
        <v>C</v>
      </c>
      <c r="F55" t="str">
        <f t="shared" si="3"/>
        <v>Completed</v>
      </c>
    </row>
    <row r="56" spans="1:6">
      <c r="B56" t="s">
        <v>679</v>
      </c>
      <c r="E56" s="459" t="str">
        <f>'Results of Operations Co'!D3</f>
        <v>C</v>
      </c>
      <c r="F56" t="str">
        <f t="shared" si="3"/>
        <v>Completed</v>
      </c>
    </row>
    <row r="57" spans="1:6">
      <c r="B57" t="s">
        <v>1188</v>
      </c>
      <c r="E57" s="459" t="str">
        <f>'Cost Allocations'!G3</f>
        <v>C</v>
      </c>
      <c r="F57" t="str">
        <f t="shared" si="3"/>
        <v>Completed</v>
      </c>
    </row>
    <row r="58" spans="1:6">
      <c r="B58" t="s">
        <v>1208</v>
      </c>
      <c r="E58" s="459" t="str">
        <f>'Overhead Allocation'!F3</f>
        <v>C</v>
      </c>
      <c r="F58" t="str">
        <f t="shared" si="3"/>
        <v>Completed</v>
      </c>
    </row>
    <row r="59" spans="1:6">
      <c r="B59" t="s">
        <v>1192</v>
      </c>
      <c r="E59" s="459" t="str">
        <f>'Depr Allocation by County'!E3</f>
        <v>C</v>
      </c>
      <c r="F59" t="str">
        <f t="shared" si="3"/>
        <v>Completed</v>
      </c>
    </row>
    <row r="60" spans="1:6">
      <c r="B60" t="s">
        <v>1193</v>
      </c>
      <c r="E60" s="459" t="str">
        <f>'Hours &amp; Miles by County'!G3</f>
        <v>C</v>
      </c>
      <c r="F60" t="str">
        <f t="shared" si="3"/>
        <v>Completed</v>
      </c>
    </row>
    <row r="61" spans="1:6">
      <c r="B61" t="s">
        <v>1006</v>
      </c>
      <c r="E61" s="459" t="str">
        <f>'Container Count by County'!E3</f>
        <v>C</v>
      </c>
      <c r="F61" t="str">
        <f t="shared" si="3"/>
        <v>Completed</v>
      </c>
    </row>
    <row r="62" spans="1:6">
      <c r="B62" t="s">
        <v>1209</v>
      </c>
      <c r="E62" s="459" t="str">
        <f>'Drop Box Allocation'!E3</f>
        <v>C</v>
      </c>
      <c r="F62" t="str">
        <f t="shared" si="3"/>
        <v>Completed</v>
      </c>
    </row>
    <row r="63" spans="1:6">
      <c r="B63" t="s">
        <v>1029</v>
      </c>
      <c r="E63" s="459" t="str">
        <f>'Disposal Fee Breakdown'!E3</f>
        <v>C</v>
      </c>
      <c r="F63" t="str">
        <f t="shared" si="3"/>
        <v>Completed</v>
      </c>
    </row>
    <row r="64" spans="1:6">
      <c r="B64" t="s">
        <v>1210</v>
      </c>
      <c r="E64" s="459" t="str">
        <f>'Service Counts'!E2</f>
        <v>C</v>
      </c>
      <c r="F64" t="str">
        <f t="shared" si="3"/>
        <v>Completed</v>
      </c>
    </row>
    <row r="70" spans="1:6">
      <c r="A70" t="s">
        <v>1211</v>
      </c>
    </row>
    <row r="71" spans="1:6">
      <c r="B71" t="s">
        <v>1212</v>
      </c>
      <c r="E71" t="s">
        <v>1213</v>
      </c>
      <c r="F71" t="str">
        <f>IF(E71="a",$F$2,IF(E71="p",$F$3,IF(E71="c",$F$4,"err")))</f>
        <v>Awaiting Data</v>
      </c>
    </row>
    <row r="72" spans="1:6">
      <c r="B72" t="s">
        <v>1214</v>
      </c>
      <c r="E72" t="s">
        <v>1213</v>
      </c>
      <c r="F72" t="str">
        <f>IF(E72="a",$F$2,IF(E72="p",$F$3,IF(E72="c",$F$4,"err")))</f>
        <v>Awaiting Data</v>
      </c>
    </row>
    <row r="73" spans="1:6">
      <c r="B73" s="93" t="s">
        <v>1215</v>
      </c>
    </row>
    <row r="74" spans="1:6">
      <c r="B74" s="459" t="s">
        <v>1216</v>
      </c>
    </row>
    <row r="75" spans="1:6">
      <c r="B75" t="s">
        <v>1217</v>
      </c>
      <c r="E75" t="s">
        <v>1213</v>
      </c>
      <c r="F75" t="str">
        <f t="shared" ref="F75:F80" si="4">IF(E75="a",$F$2,IF(E75="p",$F$3,IF(E75="c",$F$4,"err")))</f>
        <v>Awaiting Data</v>
      </c>
    </row>
    <row r="76" spans="1:6">
      <c r="B76" t="s">
        <v>1218</v>
      </c>
      <c r="E76" t="s">
        <v>1213</v>
      </c>
      <c r="F76" t="str">
        <f t="shared" si="4"/>
        <v>Awaiting Data</v>
      </c>
    </row>
    <row r="77" spans="1:6">
      <c r="B77" t="s">
        <v>1219</v>
      </c>
      <c r="E77" t="s">
        <v>1213</v>
      </c>
      <c r="F77" t="str">
        <f t="shared" si="4"/>
        <v>Awaiting Data</v>
      </c>
    </row>
    <row r="78" spans="1:6">
      <c r="B78" t="s">
        <v>1220</v>
      </c>
      <c r="E78" t="s">
        <v>1213</v>
      </c>
      <c r="F78" t="str">
        <f t="shared" si="4"/>
        <v>Awaiting Data</v>
      </c>
    </row>
    <row r="79" spans="1:6">
      <c r="B79" t="s">
        <v>1221</v>
      </c>
      <c r="E79" t="s">
        <v>1213</v>
      </c>
      <c r="F79" t="str">
        <f t="shared" si="4"/>
        <v>Awaiting Data</v>
      </c>
    </row>
    <row r="80" spans="1:6">
      <c r="B80" t="s">
        <v>1222</v>
      </c>
      <c r="E80" t="s">
        <v>1213</v>
      </c>
      <c r="F80" t="str">
        <f t="shared" si="4"/>
        <v>Awaiting Data</v>
      </c>
    </row>
    <row r="291" spans="14:14">
      <c r="N291" s="459" t="s">
        <v>990</v>
      </c>
    </row>
  </sheetData>
  <conditionalFormatting sqref="F10:F16">
    <cfRule type="cellIs" dxfId="11" priority="10" stopIfTrue="1" operator="equal">
      <formula>$F$2</formula>
    </cfRule>
    <cfRule type="cellIs" dxfId="10" priority="11" stopIfTrue="1" operator="equal">
      <formula>$F$3</formula>
    </cfRule>
    <cfRule type="cellIs" dxfId="9" priority="12" stopIfTrue="1" operator="equal">
      <formula>$F$4</formula>
    </cfRule>
  </conditionalFormatting>
  <conditionalFormatting sqref="F20:F34">
    <cfRule type="cellIs" dxfId="8" priority="1" stopIfTrue="1" operator="equal">
      <formula>$F$2</formula>
    </cfRule>
    <cfRule type="cellIs" dxfId="7" priority="2" stopIfTrue="1" operator="equal">
      <formula>$F$3</formula>
    </cfRule>
    <cfRule type="cellIs" dxfId="6" priority="3" stopIfTrue="1" operator="equal">
      <formula>$F$4</formula>
    </cfRule>
  </conditionalFormatting>
  <conditionalFormatting sqref="F38:F47">
    <cfRule type="cellIs" dxfId="5" priority="7" stopIfTrue="1" operator="equal">
      <formula>$F$2</formula>
    </cfRule>
    <cfRule type="cellIs" dxfId="4" priority="8" stopIfTrue="1" operator="equal">
      <formula>$F$3</formula>
    </cfRule>
    <cfRule type="cellIs" dxfId="3" priority="9" stopIfTrue="1" operator="equal">
      <formula>$F$4</formula>
    </cfRule>
  </conditionalFormatting>
  <conditionalFormatting sqref="F50:F64 F71:F80">
    <cfRule type="cellIs" dxfId="2" priority="13" stopIfTrue="1" operator="equal">
      <formula>$F$2</formula>
    </cfRule>
    <cfRule type="cellIs" dxfId="1" priority="14" stopIfTrue="1" operator="equal">
      <formula>$F$3</formula>
    </cfRule>
    <cfRule type="cellIs" dxfId="0" priority="15" stopIfTrue="1" operator="equal">
      <formula>$F$4</formula>
    </cfRule>
  </conditionalFormatting>
  <pageMargins left="0.24" right="0.23" top="0.45" bottom="0.48" header="0.45" footer="0.5"/>
  <pageSetup orientation="portrait" horizontalDpi="4294967293" vertic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59999389629810485"/>
    <pageSetUpPr fitToPage="1"/>
  </sheetPr>
  <dimension ref="A1:O50"/>
  <sheetViews>
    <sheetView workbookViewId="0">
      <selection activeCell="E4" sqref="E4"/>
    </sheetView>
  </sheetViews>
  <sheetFormatPr defaultRowHeight="12.75"/>
  <cols>
    <col min="1" max="1" width="10.140625" bestFit="1" customWidth="1"/>
    <col min="3" max="3" width="10.42578125" customWidth="1"/>
    <col min="4" max="4" width="10.7109375" customWidth="1"/>
    <col min="5" max="5" width="11.28515625" customWidth="1"/>
    <col min="6" max="6" width="9.85546875" customWidth="1"/>
    <col min="7" max="7" width="11.28515625" customWidth="1"/>
    <col min="8" max="8" width="10" customWidth="1"/>
    <col min="9" max="12" width="10.85546875" customWidth="1"/>
    <col min="13" max="13" width="12.5703125" customWidth="1"/>
    <col min="14" max="14" width="11.28515625" customWidth="1"/>
  </cols>
  <sheetData>
    <row r="1" spans="1:5">
      <c r="A1" t="s">
        <v>4</v>
      </c>
    </row>
    <row r="3" spans="1:5">
      <c r="A3" t="s">
        <v>1223</v>
      </c>
      <c r="D3" s="459" t="s">
        <v>11</v>
      </c>
      <c r="E3" s="462" t="s">
        <v>990</v>
      </c>
    </row>
    <row r="5" spans="1:5">
      <c r="A5" s="582">
        <v>45473</v>
      </c>
    </row>
    <row r="8" spans="1:5">
      <c r="A8" s="93" t="s">
        <v>1224</v>
      </c>
    </row>
    <row r="10" spans="1:5">
      <c r="A10" t="s">
        <v>1225</v>
      </c>
      <c r="E10" s="185">
        <v>1.7500000000000002E-2</v>
      </c>
    </row>
    <row r="11" spans="1:5">
      <c r="A11" t="s">
        <v>1226</v>
      </c>
      <c r="E11" s="185">
        <v>4.7100000000000003E-2</v>
      </c>
    </row>
    <row r="12" spans="1:5">
      <c r="E12" s="185"/>
    </row>
    <row r="13" spans="1:5">
      <c r="A13" t="s">
        <v>1227</v>
      </c>
      <c r="E13" s="36">
        <v>3.5999999999999997E-2</v>
      </c>
    </row>
    <row r="17" spans="1:15">
      <c r="A17" s="93" t="s">
        <v>1228</v>
      </c>
      <c r="B17" s="93"/>
      <c r="C17" s="93"/>
      <c r="D17" s="93"/>
    </row>
    <row r="20" spans="1:15">
      <c r="C20" s="530" t="s">
        <v>360</v>
      </c>
      <c r="D20" s="530" t="s">
        <v>361</v>
      </c>
      <c r="E20" s="530"/>
      <c r="F20" s="530"/>
      <c r="G20" s="530" t="s">
        <v>361</v>
      </c>
      <c r="H20" s="530" t="s">
        <v>362</v>
      </c>
      <c r="I20" s="530" t="s">
        <v>363</v>
      </c>
      <c r="J20" s="212" t="s">
        <v>1229</v>
      </c>
      <c r="K20" s="212" t="s">
        <v>1229</v>
      </c>
      <c r="L20" s="462" t="s">
        <v>1230</v>
      </c>
      <c r="M20" s="530"/>
    </row>
    <row r="21" spans="1:15" ht="13.5" thickBot="1">
      <c r="C21" s="18" t="s">
        <v>366</v>
      </c>
      <c r="D21" s="18" t="s">
        <v>366</v>
      </c>
      <c r="E21" s="18" t="s">
        <v>367</v>
      </c>
      <c r="F21" s="18" t="s">
        <v>368</v>
      </c>
      <c r="G21" s="18" t="s">
        <v>367</v>
      </c>
      <c r="H21" s="18" t="s">
        <v>366</v>
      </c>
      <c r="I21" s="18" t="s">
        <v>366</v>
      </c>
      <c r="J21" s="211" t="s">
        <v>368</v>
      </c>
      <c r="K21" s="211" t="s">
        <v>366</v>
      </c>
      <c r="L21" s="534" t="s">
        <v>1231</v>
      </c>
      <c r="M21" s="18" t="s">
        <v>27</v>
      </c>
    </row>
    <row r="22" spans="1:15">
      <c r="O22" s="210"/>
    </row>
    <row r="23" spans="1:15" ht="13.5" thickBot="1">
      <c r="A23" t="s">
        <v>1232</v>
      </c>
      <c r="C23" s="583">
        <f>+DEPN2K!$T$38+DEPN2K!$T$63</f>
        <v>217381.38095238133</v>
      </c>
      <c r="D23" s="583">
        <f>+DEPN2K!$T$73</f>
        <v>753.85714285714289</v>
      </c>
      <c r="E23" s="583">
        <f>+DEPN2K!$T$214</f>
        <v>30551.231666666659</v>
      </c>
      <c r="F23" s="583">
        <f>+DEPN2K!$T$244</f>
        <v>18148.524666666697</v>
      </c>
      <c r="G23" s="583">
        <f>+DEPN2K!$T$283</f>
        <v>11384.266666666674</v>
      </c>
      <c r="H23" s="583">
        <f>+DEPN2K!$T$329</f>
        <v>4661.2999999999993</v>
      </c>
      <c r="I23" s="583">
        <f>+DEPN2K!$T$354</f>
        <v>647</v>
      </c>
      <c r="J23" s="583">
        <f>+DEPN2K!$T$290</f>
        <v>2969.2999999999997</v>
      </c>
      <c r="K23" s="583">
        <f>+DEPN2K!$T$298</f>
        <v>670.28571428571422</v>
      </c>
      <c r="L23" s="583">
        <f>+DEPN2K!$T$337</f>
        <v>0</v>
      </c>
      <c r="M23" s="125">
        <f>ROUND(SUM(C23:L23),0)</f>
        <v>287167</v>
      </c>
      <c r="N23" s="209" t="str">
        <f>+IF(M23=DEPN2K!$T$357,"OK","ERROR")</f>
        <v>OK</v>
      </c>
    </row>
    <row r="24" spans="1:15" ht="13.5" thickTop="1">
      <c r="B24" s="208" t="s">
        <v>1233</v>
      </c>
      <c r="C24" s="208"/>
      <c r="D24" s="208"/>
      <c r="E24" s="208"/>
      <c r="F24" s="208"/>
    </row>
    <row r="26" spans="1:15">
      <c r="A26" t="s">
        <v>1234</v>
      </c>
      <c r="D26" s="584">
        <f>DEPN2K!AB357</f>
        <v>1583082.1705238093</v>
      </c>
    </row>
    <row r="27" spans="1:15">
      <c r="D27" s="207"/>
    </row>
    <row r="30" spans="1:15">
      <c r="A30" s="93" t="s">
        <v>1235</v>
      </c>
      <c r="B30" s="93"/>
      <c r="C30" s="93"/>
    </row>
    <row r="31" spans="1:15">
      <c r="A31" s="459" t="s">
        <v>1409</v>
      </c>
    </row>
    <row r="33" spans="1:14">
      <c r="A33" t="s">
        <v>1013</v>
      </c>
      <c r="D33" s="503">
        <f>SUM(G43:G47)</f>
        <v>3074</v>
      </c>
      <c r="E33" s="10">
        <f>+D33/D37</f>
        <v>0.87404037531987488</v>
      </c>
      <c r="G33" s="206"/>
    </row>
    <row r="34" spans="1:14">
      <c r="A34" t="s">
        <v>223</v>
      </c>
      <c r="D34" s="503">
        <f>+SUM(H43:H45)</f>
        <v>220</v>
      </c>
      <c r="E34" s="10">
        <f>+D34/D37</f>
        <v>6.2553312482229173E-2</v>
      </c>
      <c r="G34" s="206"/>
    </row>
    <row r="35" spans="1:14">
      <c r="A35" t="s">
        <v>224</v>
      </c>
      <c r="D35" s="504">
        <f>SUM(I43:I45)</f>
        <v>223</v>
      </c>
      <c r="E35" s="123">
        <f>+D35/D37</f>
        <v>6.3406312197895928E-2</v>
      </c>
      <c r="G35" s="206"/>
      <c r="N35" s="185"/>
    </row>
    <row r="36" spans="1:14">
      <c r="D36" s="74"/>
      <c r="E36" s="10"/>
      <c r="G36" s="74"/>
    </row>
    <row r="37" spans="1:14" ht="13.5" thickBot="1">
      <c r="D37" s="124">
        <f>SUM(D33:D35)</f>
        <v>3517</v>
      </c>
      <c r="E37" s="13">
        <f>SUM(E33:E35)</f>
        <v>1</v>
      </c>
      <c r="G37" s="74"/>
    </row>
    <row r="38" spans="1:14" ht="13.5" thickTop="1"/>
    <row r="40" spans="1:14">
      <c r="A40" s="93" t="s">
        <v>1236</v>
      </c>
      <c r="B40" s="93"/>
      <c r="C40" s="93"/>
      <c r="D40" s="93"/>
      <c r="G40" s="93"/>
    </row>
    <row r="41" spans="1:14">
      <c r="A41" s="459" t="s">
        <v>1409</v>
      </c>
      <c r="F41" s="462"/>
    </row>
    <row r="42" spans="1:14">
      <c r="F42" s="462"/>
      <c r="G42" s="530" t="s">
        <v>222</v>
      </c>
      <c r="H42" s="530" t="s">
        <v>1237</v>
      </c>
      <c r="I42" s="530" t="s">
        <v>224</v>
      </c>
    </row>
    <row r="43" spans="1:14">
      <c r="A43" t="s">
        <v>1238</v>
      </c>
      <c r="D43" s="503">
        <f>+G43+H43+I43</f>
        <v>2706</v>
      </c>
      <c r="E43" s="9">
        <f>+D43/D49</f>
        <v>0.76940574353141877</v>
      </c>
      <c r="G43" s="206">
        <v>2362</v>
      </c>
      <c r="H43" s="206">
        <v>187</v>
      </c>
      <c r="I43" s="206">
        <v>157</v>
      </c>
    </row>
    <row r="44" spans="1:14">
      <c r="A44" t="s">
        <v>220</v>
      </c>
      <c r="D44" s="503">
        <f>+G44+H44+I44</f>
        <v>449</v>
      </c>
      <c r="E44" s="9">
        <f>+D44/D49</f>
        <v>0.12766562411145863</v>
      </c>
      <c r="G44" s="206">
        <v>361</v>
      </c>
      <c r="H44" s="206">
        <v>30</v>
      </c>
      <c r="I44" s="206">
        <v>58</v>
      </c>
    </row>
    <row r="45" spans="1:14">
      <c r="A45" s="459" t="s">
        <v>373</v>
      </c>
      <c r="D45" s="503">
        <f>+G45+H45+I45</f>
        <v>41</v>
      </c>
      <c r="E45" s="9">
        <f>+D45/D49</f>
        <v>1.1657662780779073E-2</v>
      </c>
      <c r="G45" s="206">
        <v>30</v>
      </c>
      <c r="H45" s="206">
        <v>3</v>
      </c>
      <c r="I45" s="206">
        <v>8</v>
      </c>
    </row>
    <row r="46" spans="1:14">
      <c r="A46" s="459" t="s">
        <v>236</v>
      </c>
      <c r="D46" s="503">
        <f>+G46+H46+I46</f>
        <v>293</v>
      </c>
      <c r="E46" s="9">
        <f>+D46/D49</f>
        <v>8.3309638896787039E-2</v>
      </c>
      <c r="G46" s="206">
        <v>293</v>
      </c>
      <c r="H46" s="9"/>
    </row>
    <row r="47" spans="1:14">
      <c r="A47" s="459" t="s">
        <v>379</v>
      </c>
      <c r="D47" s="504">
        <f>+G47+H47+I47</f>
        <v>28</v>
      </c>
      <c r="E47" s="37">
        <f>+D47/D49</f>
        <v>7.9613306795564397E-3</v>
      </c>
      <c r="G47" s="206">
        <v>28</v>
      </c>
      <c r="H47" s="9"/>
    </row>
    <row r="48" spans="1:14">
      <c r="D48" s="74"/>
      <c r="E48" s="10"/>
      <c r="G48" s="74"/>
      <c r="H48" s="10"/>
    </row>
    <row r="49" spans="4:8" ht="13.5" thickBot="1">
      <c r="D49" s="124">
        <f>SUM(D43:D47)</f>
        <v>3517</v>
      </c>
      <c r="E49" s="13">
        <f>SUM(E43:E47)</f>
        <v>0.99999999999999989</v>
      </c>
      <c r="G49" s="74"/>
      <c r="H49" s="10"/>
    </row>
    <row r="50" spans="4:8" ht="13.5" thickTop="1"/>
  </sheetData>
  <pageMargins left="0.75" right="0.75" top="1" bottom="1" header="0.5" footer="0.5"/>
  <pageSetup scale="60" orientation="portrait" horizontalDpi="300" verticalDpi="3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  <pageSetUpPr fitToPage="1"/>
  </sheetPr>
  <dimension ref="A1:BF173"/>
  <sheetViews>
    <sheetView topLeftCell="A28" workbookViewId="0">
      <selection activeCell="E4" sqref="E4"/>
    </sheetView>
  </sheetViews>
  <sheetFormatPr defaultRowHeight="12.75"/>
  <cols>
    <col min="1" max="1" width="12.140625" customWidth="1"/>
    <col min="2" max="3" width="10.42578125" customWidth="1"/>
    <col min="4" max="4" width="10" customWidth="1"/>
    <col min="5" max="5" width="10.42578125" customWidth="1"/>
    <col min="6" max="6" width="10" customWidth="1"/>
    <col min="7" max="7" width="9.85546875" customWidth="1"/>
    <col min="8" max="9" width="10.140625" customWidth="1"/>
    <col min="10" max="13" width="10.42578125" customWidth="1"/>
    <col min="14" max="14" width="10.5703125" customWidth="1"/>
    <col min="15" max="15" width="10.140625" customWidth="1"/>
    <col min="16" max="16" width="10.85546875" customWidth="1"/>
    <col min="17" max="17" width="10.7109375" customWidth="1"/>
  </cols>
  <sheetData>
    <row r="1" spans="1:58">
      <c r="A1" t="s">
        <v>4</v>
      </c>
    </row>
    <row r="3" spans="1:58">
      <c r="A3" s="458" t="s">
        <v>1418</v>
      </c>
      <c r="C3" s="476"/>
      <c r="D3" s="459" t="s">
        <v>691</v>
      </c>
      <c r="E3" s="500" t="s">
        <v>12</v>
      </c>
      <c r="F3" s="468"/>
      <c r="G3" s="487"/>
      <c r="H3" s="147"/>
    </row>
    <row r="5" spans="1:58">
      <c r="C5" s="93" t="s">
        <v>1239</v>
      </c>
    </row>
    <row r="6" spans="1:58">
      <c r="A6" s="93" t="s">
        <v>1240</v>
      </c>
    </row>
    <row r="7" spans="1:58">
      <c r="C7" s="530" t="s">
        <v>1119</v>
      </c>
      <c r="D7" s="530" t="s">
        <v>1120</v>
      </c>
      <c r="E7" s="530" t="s">
        <v>1121</v>
      </c>
      <c r="F7" s="530" t="s">
        <v>1113</v>
      </c>
      <c r="G7" s="530" t="s">
        <v>1114</v>
      </c>
      <c r="H7" s="530" t="s">
        <v>1115</v>
      </c>
      <c r="I7" s="462" t="s">
        <v>648</v>
      </c>
      <c r="J7" s="462" t="s">
        <v>649</v>
      </c>
      <c r="K7" s="462" t="s">
        <v>650</v>
      </c>
      <c r="L7" s="530" t="s">
        <v>1116</v>
      </c>
      <c r="M7" s="530" t="s">
        <v>1117</v>
      </c>
      <c r="N7" s="530" t="s">
        <v>1118</v>
      </c>
      <c r="O7" s="530" t="s">
        <v>27</v>
      </c>
      <c r="P7" s="530" t="s">
        <v>392</v>
      </c>
      <c r="Q7" s="462"/>
      <c r="R7" s="462"/>
      <c r="S7" s="462"/>
      <c r="T7" s="530"/>
      <c r="U7" s="530"/>
      <c r="V7" s="530"/>
      <c r="W7" s="530"/>
    </row>
    <row r="9" spans="1:58">
      <c r="A9" s="15" t="s">
        <v>751</v>
      </c>
      <c r="C9" s="229">
        <v>222</v>
      </c>
      <c r="D9" s="229">
        <v>244</v>
      </c>
      <c r="E9" s="229">
        <v>231</v>
      </c>
      <c r="F9" s="229">
        <v>272</v>
      </c>
      <c r="G9" s="229">
        <v>221</v>
      </c>
      <c r="H9" s="229">
        <v>185</v>
      </c>
      <c r="I9" s="229">
        <v>219</v>
      </c>
      <c r="J9" s="229">
        <v>174</v>
      </c>
      <c r="K9" s="229">
        <v>211</v>
      </c>
      <c r="L9" s="229">
        <v>260</v>
      </c>
      <c r="M9" s="229">
        <v>239</v>
      </c>
      <c r="N9" s="229">
        <v>240</v>
      </c>
      <c r="O9" s="226">
        <f>SUM(C9:N9)</f>
        <v>2718</v>
      </c>
      <c r="P9" s="222">
        <f>+O9/O15</f>
        <v>0.14113615120988679</v>
      </c>
      <c r="Q9" s="213"/>
      <c r="R9" s="229"/>
      <c r="S9" s="229"/>
      <c r="T9" s="229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16"/>
      <c r="BA9" s="16"/>
      <c r="BB9" s="16"/>
      <c r="BC9" s="16"/>
      <c r="BD9" s="16"/>
      <c r="BE9" s="16"/>
      <c r="BF9" s="16"/>
    </row>
    <row r="10" spans="1:58">
      <c r="A10" s="15" t="s">
        <v>378</v>
      </c>
      <c r="C10" s="229">
        <v>95</v>
      </c>
      <c r="D10" s="229">
        <v>125</v>
      </c>
      <c r="E10" s="229">
        <v>87</v>
      </c>
      <c r="F10" s="229">
        <v>98</v>
      </c>
      <c r="G10" s="229">
        <v>80</v>
      </c>
      <c r="H10" s="229">
        <v>70</v>
      </c>
      <c r="I10" s="229">
        <v>87</v>
      </c>
      <c r="J10" s="229">
        <v>65</v>
      </c>
      <c r="K10" s="229">
        <v>69</v>
      </c>
      <c r="L10" s="229">
        <v>96</v>
      </c>
      <c r="M10" s="229">
        <v>80</v>
      </c>
      <c r="N10" s="229">
        <v>80</v>
      </c>
      <c r="O10" s="226">
        <f>SUM(C10:N10)</f>
        <v>1032</v>
      </c>
      <c r="P10" s="222">
        <f>+O10/O15</f>
        <v>5.3588119223179978E-2</v>
      </c>
      <c r="Q10" s="213"/>
      <c r="R10" s="229"/>
      <c r="S10" s="229"/>
      <c r="T10" s="229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16"/>
      <c r="BA10" s="16"/>
      <c r="BB10" s="16"/>
      <c r="BC10" s="16"/>
      <c r="BD10" s="16"/>
      <c r="BE10" s="16"/>
      <c r="BF10" s="16"/>
    </row>
    <row r="11" spans="1:58">
      <c r="A11" s="15" t="s">
        <v>222</v>
      </c>
      <c r="C11" s="229">
        <v>1385</v>
      </c>
      <c r="D11" s="229">
        <v>1409</v>
      </c>
      <c r="E11" s="229">
        <v>1081</v>
      </c>
      <c r="F11" s="229">
        <v>986</v>
      </c>
      <c r="G11" s="229">
        <v>885</v>
      </c>
      <c r="H11" s="229">
        <v>641</v>
      </c>
      <c r="I11" s="229">
        <v>774</v>
      </c>
      <c r="J11" s="229">
        <v>730</v>
      </c>
      <c r="K11" s="229">
        <v>751</v>
      </c>
      <c r="L11" s="229">
        <v>921</v>
      </c>
      <c r="M11" s="229">
        <v>1135</v>
      </c>
      <c r="N11" s="229">
        <v>1116</v>
      </c>
      <c r="O11" s="226">
        <f>SUM(C11:N11)</f>
        <v>11814</v>
      </c>
      <c r="P11" s="222">
        <f>+O11/O15</f>
        <v>0.61345934157233362</v>
      </c>
      <c r="Q11" s="213"/>
      <c r="R11" s="229"/>
      <c r="S11" s="229"/>
      <c r="T11" s="229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16"/>
      <c r="BA11" s="16"/>
      <c r="BB11" s="16"/>
      <c r="BC11" s="16"/>
      <c r="BD11" s="16"/>
      <c r="BE11" s="16"/>
      <c r="BF11" s="16"/>
    </row>
    <row r="12" spans="1:58">
      <c r="A12" s="15" t="s">
        <v>223</v>
      </c>
      <c r="C12" s="229">
        <v>90</v>
      </c>
      <c r="D12" s="229">
        <v>116</v>
      </c>
      <c r="E12" s="229">
        <v>105</v>
      </c>
      <c r="F12" s="229">
        <v>110</v>
      </c>
      <c r="G12" s="229">
        <v>78</v>
      </c>
      <c r="H12" s="229">
        <v>67</v>
      </c>
      <c r="I12" s="229">
        <v>69</v>
      </c>
      <c r="J12" s="229">
        <v>62</v>
      </c>
      <c r="K12" s="229">
        <v>66</v>
      </c>
      <c r="L12" s="229">
        <v>82</v>
      </c>
      <c r="M12" s="229">
        <v>75</v>
      </c>
      <c r="N12" s="229">
        <v>77</v>
      </c>
      <c r="O12" s="226">
        <f>SUM(C12:N12)</f>
        <v>997</v>
      </c>
      <c r="P12" s="222">
        <f>+O12/O15</f>
        <v>5.1770692699138018E-2</v>
      </c>
      <c r="Q12" s="213"/>
      <c r="R12" s="229"/>
      <c r="S12" s="229"/>
      <c r="T12" s="229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16"/>
      <c r="BA12" s="16"/>
      <c r="BB12" s="16"/>
      <c r="BC12" s="16"/>
      <c r="BD12" s="16"/>
      <c r="BE12" s="16"/>
      <c r="BF12" s="16"/>
    </row>
    <row r="13" spans="1:58" ht="13.5" thickBot="1">
      <c r="A13" s="15" t="s">
        <v>224</v>
      </c>
      <c r="C13" s="228">
        <v>344</v>
      </c>
      <c r="D13" s="228">
        <v>397</v>
      </c>
      <c r="E13" s="228">
        <v>336</v>
      </c>
      <c r="F13" s="228">
        <v>406</v>
      </c>
      <c r="G13" s="228">
        <v>226</v>
      </c>
      <c r="H13" s="228">
        <v>87</v>
      </c>
      <c r="I13" s="228">
        <v>115</v>
      </c>
      <c r="J13" s="228">
        <v>109</v>
      </c>
      <c r="K13" s="228">
        <v>112</v>
      </c>
      <c r="L13" s="228">
        <v>172</v>
      </c>
      <c r="M13" s="228">
        <v>168</v>
      </c>
      <c r="N13" s="228">
        <v>225</v>
      </c>
      <c r="O13" s="224">
        <f>SUM(C13:N13)</f>
        <v>2697</v>
      </c>
      <c r="P13" s="220">
        <f>+O13/O15</f>
        <v>0.14004569529546163</v>
      </c>
      <c r="Q13" s="213"/>
      <c r="R13" s="229"/>
      <c r="S13" s="229"/>
      <c r="T13" s="229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16"/>
      <c r="BA13" s="16"/>
      <c r="BB13" s="16"/>
      <c r="BC13" s="16"/>
      <c r="BD13" s="16"/>
      <c r="BE13" s="16"/>
      <c r="BF13" s="16"/>
    </row>
    <row r="14" spans="1:58">
      <c r="A14" s="15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16"/>
      <c r="BA14" s="16"/>
      <c r="BB14" s="16"/>
      <c r="BC14" s="16"/>
      <c r="BD14" s="16"/>
      <c r="BE14" s="16"/>
      <c r="BF14" s="16"/>
    </row>
    <row r="15" spans="1:58" ht="13.5" thickBot="1">
      <c r="A15" s="15" t="s">
        <v>27</v>
      </c>
      <c r="C15" s="224">
        <f t="shared" ref="C15:H15" si="0">SUM(C9:C13)</f>
        <v>2136</v>
      </c>
      <c r="D15" s="224">
        <f t="shared" si="0"/>
        <v>2291</v>
      </c>
      <c r="E15" s="224">
        <f t="shared" si="0"/>
        <v>1840</v>
      </c>
      <c r="F15" s="224">
        <f t="shared" si="0"/>
        <v>1872</v>
      </c>
      <c r="G15" s="224">
        <f t="shared" si="0"/>
        <v>1490</v>
      </c>
      <c r="H15" s="224">
        <f t="shared" si="0"/>
        <v>1050</v>
      </c>
      <c r="I15" s="224">
        <f t="shared" ref="I15:P15" si="1">SUM(I9:I13)</f>
        <v>1264</v>
      </c>
      <c r="J15" s="224">
        <f t="shared" si="1"/>
        <v>1140</v>
      </c>
      <c r="K15" s="224">
        <f t="shared" si="1"/>
        <v>1209</v>
      </c>
      <c r="L15" s="224">
        <f t="shared" si="1"/>
        <v>1531</v>
      </c>
      <c r="M15" s="224">
        <f t="shared" si="1"/>
        <v>1697</v>
      </c>
      <c r="N15" s="224">
        <f t="shared" si="1"/>
        <v>1738</v>
      </c>
      <c r="O15" s="224">
        <f t="shared" si="1"/>
        <v>19258</v>
      </c>
      <c r="P15" s="220">
        <f t="shared" si="1"/>
        <v>1</v>
      </c>
      <c r="Q15" s="213"/>
      <c r="R15" s="226"/>
      <c r="S15" s="226"/>
      <c r="T15" s="226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16"/>
      <c r="BA15" s="16"/>
      <c r="BB15" s="16"/>
      <c r="BC15" s="16"/>
      <c r="BD15" s="16"/>
      <c r="BE15" s="16"/>
      <c r="BF15" s="16"/>
    </row>
    <row r="16" spans="1:58">
      <c r="A16" s="1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</row>
    <row r="17" spans="1:51">
      <c r="A17" s="15" t="s">
        <v>222</v>
      </c>
      <c r="C17" s="226">
        <f t="shared" ref="C17:H17" si="2">C11</f>
        <v>1385</v>
      </c>
      <c r="D17" s="226">
        <f t="shared" si="2"/>
        <v>1409</v>
      </c>
      <c r="E17" s="226">
        <f t="shared" si="2"/>
        <v>1081</v>
      </c>
      <c r="F17" s="226">
        <f t="shared" si="2"/>
        <v>986</v>
      </c>
      <c r="G17" s="226">
        <f t="shared" si="2"/>
        <v>885</v>
      </c>
      <c r="H17" s="226">
        <f t="shared" si="2"/>
        <v>641</v>
      </c>
      <c r="I17" s="226">
        <f t="shared" ref="I17:N17" si="3">I11</f>
        <v>774</v>
      </c>
      <c r="J17" s="226">
        <f t="shared" si="3"/>
        <v>730</v>
      </c>
      <c r="K17" s="226">
        <f t="shared" si="3"/>
        <v>751</v>
      </c>
      <c r="L17" s="226">
        <f t="shared" si="3"/>
        <v>921</v>
      </c>
      <c r="M17" s="226">
        <f t="shared" si="3"/>
        <v>1135</v>
      </c>
      <c r="N17" s="226">
        <f t="shared" si="3"/>
        <v>1116</v>
      </c>
      <c r="O17" s="226">
        <f>SUM(C17:N17)</f>
        <v>11814</v>
      </c>
      <c r="P17" s="29"/>
      <c r="Q17" s="29"/>
      <c r="R17" s="226"/>
      <c r="S17" s="226"/>
      <c r="T17" s="226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1:51">
      <c r="A18" s="458" t="s">
        <v>236</v>
      </c>
      <c r="C18" s="227">
        <v>50</v>
      </c>
      <c r="D18" s="227">
        <v>60</v>
      </c>
      <c r="E18" s="227">
        <v>39</v>
      </c>
      <c r="F18" s="227">
        <v>30</v>
      </c>
      <c r="G18" s="227">
        <v>30</v>
      </c>
      <c r="H18" s="227">
        <v>25</v>
      </c>
      <c r="I18" s="227">
        <v>33</v>
      </c>
      <c r="J18" s="227">
        <v>28</v>
      </c>
      <c r="K18" s="227">
        <v>25</v>
      </c>
      <c r="L18" s="227">
        <v>27</v>
      </c>
      <c r="M18" s="227">
        <v>27</v>
      </c>
      <c r="N18" s="227">
        <v>26</v>
      </c>
      <c r="O18" s="226">
        <f>SUM(C18:N18)</f>
        <v>400</v>
      </c>
      <c r="P18" s="217">
        <f>O18/O17</f>
        <v>3.3858134416793632E-2</v>
      </c>
      <c r="Q18" s="29"/>
      <c r="R18" s="227"/>
      <c r="S18" s="227"/>
      <c r="T18" s="227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ht="13.5" thickBot="1">
      <c r="A19" s="458" t="s">
        <v>1242</v>
      </c>
      <c r="C19" s="225">
        <v>61</v>
      </c>
      <c r="D19" s="225">
        <v>38</v>
      </c>
      <c r="E19" s="225">
        <v>48</v>
      </c>
      <c r="F19" s="225">
        <v>31</v>
      </c>
      <c r="G19" s="225">
        <v>30</v>
      </c>
      <c r="H19" s="225">
        <v>22</v>
      </c>
      <c r="I19" s="225">
        <v>23</v>
      </c>
      <c r="J19" s="225">
        <v>26</v>
      </c>
      <c r="K19" s="225">
        <v>42</v>
      </c>
      <c r="L19" s="225">
        <v>24</v>
      </c>
      <c r="M19" s="225">
        <v>75</v>
      </c>
      <c r="N19" s="225">
        <v>57</v>
      </c>
      <c r="O19" s="224">
        <f>SUM(C19:N19)</f>
        <v>477</v>
      </c>
      <c r="P19" s="215">
        <f>O19/O17</f>
        <v>4.0375825292026407E-2</v>
      </c>
      <c r="Q19" s="29"/>
      <c r="R19" s="227"/>
      <c r="S19" s="227"/>
      <c r="T19" s="22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>
      <c r="A20" s="458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0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1:51" ht="13.5" thickBot="1">
      <c r="A21" s="458" t="s">
        <v>1243</v>
      </c>
      <c r="C21" s="224">
        <f t="shared" ref="C21:H21" si="4">C11-C18-C19</f>
        <v>1274</v>
      </c>
      <c r="D21" s="224">
        <f t="shared" si="4"/>
        <v>1311</v>
      </c>
      <c r="E21" s="224">
        <f t="shared" si="4"/>
        <v>994</v>
      </c>
      <c r="F21" s="224">
        <f t="shared" si="4"/>
        <v>925</v>
      </c>
      <c r="G21" s="224">
        <f t="shared" si="4"/>
        <v>825</v>
      </c>
      <c r="H21" s="224">
        <f t="shared" si="4"/>
        <v>594</v>
      </c>
      <c r="I21" s="224">
        <f t="shared" ref="I21:O21" si="5">I11-I18-I19</f>
        <v>718</v>
      </c>
      <c r="J21" s="224">
        <f t="shared" si="5"/>
        <v>676</v>
      </c>
      <c r="K21" s="224">
        <f t="shared" si="5"/>
        <v>684</v>
      </c>
      <c r="L21" s="224">
        <f t="shared" si="5"/>
        <v>870</v>
      </c>
      <c r="M21" s="224">
        <f t="shared" si="5"/>
        <v>1033</v>
      </c>
      <c r="N21" s="224">
        <f t="shared" si="5"/>
        <v>1033</v>
      </c>
      <c r="O21" s="224">
        <f t="shared" si="5"/>
        <v>10937</v>
      </c>
      <c r="P21" s="215">
        <f>O21/O17</f>
        <v>0.92576604029117993</v>
      </c>
      <c r="Q21" s="29"/>
      <c r="R21" s="226"/>
      <c r="S21" s="226"/>
      <c r="T21" s="226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1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1:51">
      <c r="A23" s="93" t="s">
        <v>244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</row>
    <row r="24" spans="1:51">
      <c r="C24" s="530" t="str">
        <f t="shared" ref="C24:H24" si="6">+C7</f>
        <v>July</v>
      </c>
      <c r="D24" s="530" t="str">
        <f t="shared" si="6"/>
        <v>August</v>
      </c>
      <c r="E24" s="530" t="str">
        <f t="shared" si="6"/>
        <v>September</v>
      </c>
      <c r="F24" s="530" t="str">
        <f t="shared" si="6"/>
        <v>October</v>
      </c>
      <c r="G24" s="530" t="str">
        <f t="shared" si="6"/>
        <v>November</v>
      </c>
      <c r="H24" s="530" t="str">
        <f t="shared" si="6"/>
        <v>December</v>
      </c>
      <c r="I24" s="530" t="str">
        <f t="shared" ref="I24:N24" si="7">+I7</f>
        <v>January</v>
      </c>
      <c r="J24" s="530" t="str">
        <f t="shared" si="7"/>
        <v>February</v>
      </c>
      <c r="K24" s="530" t="str">
        <f t="shared" si="7"/>
        <v>March</v>
      </c>
      <c r="L24" s="530" t="str">
        <f t="shared" si="7"/>
        <v>April</v>
      </c>
      <c r="M24" s="530" t="str">
        <f t="shared" si="7"/>
        <v>May</v>
      </c>
      <c r="N24" s="530" t="str">
        <f t="shared" si="7"/>
        <v>June</v>
      </c>
      <c r="O24" s="530" t="s">
        <v>27</v>
      </c>
      <c r="P24" s="530" t="s">
        <v>392</v>
      </c>
      <c r="R24" s="530"/>
      <c r="S24" s="530"/>
      <c r="T24" s="530"/>
    </row>
    <row r="25" spans="1:51">
      <c r="C25" s="530"/>
      <c r="D25" s="530"/>
      <c r="I25" s="530"/>
      <c r="J25" s="530"/>
    </row>
    <row r="26" spans="1:51">
      <c r="A26" s="15" t="s">
        <v>751</v>
      </c>
      <c r="C26" s="223">
        <v>51.2</v>
      </c>
      <c r="D26" s="223">
        <v>59.92</v>
      </c>
      <c r="E26" s="223">
        <v>53.24</v>
      </c>
      <c r="F26" s="223">
        <v>61.02</v>
      </c>
      <c r="G26" s="223">
        <v>47.36</v>
      </c>
      <c r="H26" s="223">
        <v>50.95</v>
      </c>
      <c r="I26" s="223">
        <v>54.2</v>
      </c>
      <c r="J26" s="223">
        <v>46.87</v>
      </c>
      <c r="K26" s="223">
        <v>51.97</v>
      </c>
      <c r="L26" s="223">
        <v>63.16</v>
      </c>
      <c r="M26" s="223">
        <v>59.59</v>
      </c>
      <c r="N26" s="223">
        <v>53.84</v>
      </c>
      <c r="O26" s="213">
        <f>SUM(C26:N26)</f>
        <v>653.32000000000005</v>
      </c>
      <c r="P26" s="222">
        <f>+O26/O32</f>
        <v>9.2241138316527235E-2</v>
      </c>
      <c r="Q26" s="213"/>
      <c r="R26" s="223"/>
      <c r="S26" s="223"/>
      <c r="T26" s="223"/>
    </row>
    <row r="27" spans="1:51">
      <c r="A27" s="15" t="s">
        <v>378</v>
      </c>
      <c r="C27" s="223">
        <v>18.649999999999999</v>
      </c>
      <c r="D27" s="223">
        <v>23.17</v>
      </c>
      <c r="E27" s="223">
        <v>23.69</v>
      </c>
      <c r="F27" s="223">
        <v>24.22</v>
      </c>
      <c r="G27" s="223">
        <v>19.68</v>
      </c>
      <c r="H27" s="223">
        <v>20.58</v>
      </c>
      <c r="I27" s="223">
        <v>22.08</v>
      </c>
      <c r="J27" s="223">
        <v>18.52</v>
      </c>
      <c r="K27" s="223">
        <v>19.440000000000001</v>
      </c>
      <c r="L27" s="223">
        <v>20.66</v>
      </c>
      <c r="M27" s="223">
        <v>19.18</v>
      </c>
      <c r="N27" s="223">
        <v>18.53</v>
      </c>
      <c r="O27" s="213">
        <f>SUM(C27:N27)</f>
        <v>248.4</v>
      </c>
      <c r="P27" s="222">
        <f>+O27/O32</f>
        <v>3.507117302061067E-2</v>
      </c>
      <c r="Q27" s="213"/>
      <c r="R27" s="223"/>
      <c r="S27" s="223"/>
      <c r="T27" s="223"/>
    </row>
    <row r="28" spans="1:51">
      <c r="A28" s="15" t="s">
        <v>222</v>
      </c>
      <c r="C28" s="223">
        <v>486.45</v>
      </c>
      <c r="D28" s="223">
        <v>488.33</v>
      </c>
      <c r="E28" s="223">
        <v>409.67</v>
      </c>
      <c r="F28" s="223">
        <v>407.59</v>
      </c>
      <c r="G28" s="223">
        <v>384.25</v>
      </c>
      <c r="H28" s="223">
        <v>319.75</v>
      </c>
      <c r="I28" s="223">
        <v>393.5</v>
      </c>
      <c r="J28" s="223">
        <v>346.75</v>
      </c>
      <c r="K28" s="223">
        <v>343.5</v>
      </c>
      <c r="L28" s="223">
        <v>377.08</v>
      </c>
      <c r="M28" s="223">
        <v>453.5</v>
      </c>
      <c r="N28" s="223">
        <v>397.52</v>
      </c>
      <c r="O28" s="213">
        <f>SUM(C28:N28)</f>
        <v>4807.8899999999994</v>
      </c>
      <c r="P28" s="222">
        <f>+O28/O32</f>
        <v>0.6788178021500153</v>
      </c>
      <c r="Q28" s="213"/>
      <c r="R28" s="223"/>
      <c r="S28" s="223"/>
      <c r="T28" s="223"/>
    </row>
    <row r="29" spans="1:51">
      <c r="A29" s="15" t="s">
        <v>223</v>
      </c>
      <c r="C29" s="223">
        <v>35</v>
      </c>
      <c r="D29" s="223">
        <v>40.61</v>
      </c>
      <c r="E29" s="223">
        <v>37.11</v>
      </c>
      <c r="F29" s="223">
        <v>40.74</v>
      </c>
      <c r="G29" s="223">
        <v>34.49</v>
      </c>
      <c r="H29" s="223">
        <v>33.549999999999997</v>
      </c>
      <c r="I29" s="223">
        <v>38.770000000000003</v>
      </c>
      <c r="J29" s="223">
        <v>32.229999999999997</v>
      </c>
      <c r="K29" s="223">
        <v>34.82</v>
      </c>
      <c r="L29" s="223">
        <v>41.22</v>
      </c>
      <c r="M29" s="223">
        <v>37.54</v>
      </c>
      <c r="N29" s="223">
        <v>37.28</v>
      </c>
      <c r="O29" s="213">
        <f>SUM(C29:N29)</f>
        <v>443.36</v>
      </c>
      <c r="P29" s="222">
        <f>+O29/O32</f>
        <v>6.2597243439685771E-2</v>
      </c>
      <c r="Q29" s="213"/>
      <c r="R29" s="223"/>
      <c r="S29" s="223"/>
      <c r="T29" s="223"/>
    </row>
    <row r="30" spans="1:51" ht="13.5" thickBot="1">
      <c r="A30" s="15" t="s">
        <v>224</v>
      </c>
      <c r="C30" s="221">
        <v>99.26</v>
      </c>
      <c r="D30" s="221">
        <v>109.74</v>
      </c>
      <c r="E30" s="221">
        <v>97.79</v>
      </c>
      <c r="F30" s="221">
        <v>109.69</v>
      </c>
      <c r="G30" s="221">
        <v>77.38</v>
      </c>
      <c r="H30" s="221">
        <v>58.66</v>
      </c>
      <c r="I30" s="221">
        <v>55.12</v>
      </c>
      <c r="J30" s="221">
        <v>53.13</v>
      </c>
      <c r="K30" s="221">
        <v>55.01</v>
      </c>
      <c r="L30" s="221">
        <v>70.97</v>
      </c>
      <c r="M30" s="221">
        <v>62.69</v>
      </c>
      <c r="N30" s="221">
        <v>80.33</v>
      </c>
      <c r="O30" s="216">
        <f>SUM(C30:N30)</f>
        <v>929.7700000000001</v>
      </c>
      <c r="P30" s="220">
        <f>+O30/O32</f>
        <v>0.13127264307316097</v>
      </c>
      <c r="Q30" s="213"/>
      <c r="R30" s="223"/>
      <c r="S30" s="223"/>
      <c r="T30" s="223"/>
    </row>
    <row r="31" spans="1:51">
      <c r="A31" s="15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</row>
    <row r="32" spans="1:51" ht="13.5" thickBot="1">
      <c r="A32" s="15" t="s">
        <v>27</v>
      </c>
      <c r="C32" s="216">
        <f t="shared" ref="C32:H32" si="8">SUM(C26:C30)</f>
        <v>690.56</v>
      </c>
      <c r="D32" s="216">
        <f t="shared" si="8"/>
        <v>721.77</v>
      </c>
      <c r="E32" s="216">
        <f t="shared" si="8"/>
        <v>621.5</v>
      </c>
      <c r="F32" s="216">
        <f t="shared" si="8"/>
        <v>643.26</v>
      </c>
      <c r="G32" s="216">
        <f t="shared" si="8"/>
        <v>563.16</v>
      </c>
      <c r="H32" s="216">
        <f t="shared" si="8"/>
        <v>483.49</v>
      </c>
      <c r="I32" s="216">
        <f t="shared" ref="I32:P32" si="9">SUM(I26:I30)</f>
        <v>563.66999999999996</v>
      </c>
      <c r="J32" s="216">
        <f t="shared" si="9"/>
        <v>497.5</v>
      </c>
      <c r="K32" s="216">
        <f t="shared" si="9"/>
        <v>504.73999999999995</v>
      </c>
      <c r="L32" s="216">
        <f t="shared" si="9"/>
        <v>573.09</v>
      </c>
      <c r="M32" s="216">
        <f t="shared" si="9"/>
        <v>632.5</v>
      </c>
      <c r="N32" s="216">
        <f t="shared" si="9"/>
        <v>587.5</v>
      </c>
      <c r="O32" s="216">
        <f t="shared" si="9"/>
        <v>7082.74</v>
      </c>
      <c r="P32" s="220">
        <f t="shared" si="9"/>
        <v>1</v>
      </c>
      <c r="Q32" s="213"/>
      <c r="R32" s="213"/>
      <c r="S32" s="213"/>
      <c r="T32" s="213"/>
    </row>
    <row r="33" spans="1:20">
      <c r="A33" s="1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>
      <c r="A34" s="458" t="s">
        <v>222</v>
      </c>
      <c r="C34" s="213">
        <f t="shared" ref="C34:H34" si="10">C28</f>
        <v>486.45</v>
      </c>
      <c r="D34" s="213">
        <f t="shared" si="10"/>
        <v>488.33</v>
      </c>
      <c r="E34" s="213">
        <f t="shared" si="10"/>
        <v>409.67</v>
      </c>
      <c r="F34" s="213">
        <f t="shared" si="10"/>
        <v>407.59</v>
      </c>
      <c r="G34" s="213">
        <f t="shared" si="10"/>
        <v>384.25</v>
      </c>
      <c r="H34" s="213">
        <f t="shared" si="10"/>
        <v>319.75</v>
      </c>
      <c r="I34" s="213">
        <f t="shared" ref="I34:N34" si="11">I28</f>
        <v>393.5</v>
      </c>
      <c r="J34" s="213">
        <f t="shared" si="11"/>
        <v>346.75</v>
      </c>
      <c r="K34" s="213">
        <f t="shared" si="11"/>
        <v>343.5</v>
      </c>
      <c r="L34" s="213">
        <f t="shared" si="11"/>
        <v>377.08</v>
      </c>
      <c r="M34" s="213">
        <f t="shared" si="11"/>
        <v>453.5</v>
      </c>
      <c r="N34" s="213">
        <f t="shared" si="11"/>
        <v>397.52</v>
      </c>
      <c r="O34" s="213">
        <f>SUM(C34:N34)</f>
        <v>4807.8899999999994</v>
      </c>
      <c r="P34" s="29"/>
      <c r="Q34" s="29"/>
      <c r="R34" s="213"/>
      <c r="S34" s="213"/>
      <c r="T34" s="213"/>
    </row>
    <row r="35" spans="1:20">
      <c r="A35" s="458" t="s">
        <v>236</v>
      </c>
      <c r="C35" s="219">
        <v>41.96</v>
      </c>
      <c r="D35" s="219">
        <v>47.75</v>
      </c>
      <c r="E35" s="219">
        <v>33</v>
      </c>
      <c r="F35" s="219">
        <v>32</v>
      </c>
      <c r="G35" s="219">
        <v>29.75</v>
      </c>
      <c r="H35" s="219">
        <v>29</v>
      </c>
      <c r="I35" s="219">
        <v>40.25</v>
      </c>
      <c r="J35" s="219">
        <v>33.75</v>
      </c>
      <c r="K35" s="219">
        <v>32</v>
      </c>
      <c r="L35" s="219">
        <v>31</v>
      </c>
      <c r="M35" s="219">
        <v>30.5</v>
      </c>
      <c r="N35" s="219">
        <v>28</v>
      </c>
      <c r="O35" s="213">
        <f>SUM(C35:N35)</f>
        <v>408.96000000000004</v>
      </c>
      <c r="P35" s="217">
        <f>O35/O34</f>
        <v>8.5060182325302797E-2</v>
      </c>
      <c r="Q35" s="29"/>
      <c r="R35" s="219"/>
      <c r="S35" s="219"/>
      <c r="T35" s="219"/>
    </row>
    <row r="36" spans="1:20" ht="13.5" thickBot="1">
      <c r="A36" s="458" t="s">
        <v>1242</v>
      </c>
      <c r="C36" s="218">
        <v>18.5</v>
      </c>
      <c r="D36" s="218">
        <v>19.25</v>
      </c>
      <c r="E36" s="218">
        <v>23.25</v>
      </c>
      <c r="F36" s="218">
        <v>17.5</v>
      </c>
      <c r="G36" s="218">
        <v>15.75</v>
      </c>
      <c r="H36" s="218">
        <v>19.5</v>
      </c>
      <c r="I36" s="218">
        <v>15.5</v>
      </c>
      <c r="J36" s="218">
        <v>12</v>
      </c>
      <c r="K36" s="218">
        <v>18.25</v>
      </c>
      <c r="L36" s="218">
        <v>17</v>
      </c>
      <c r="M36" s="218">
        <v>22</v>
      </c>
      <c r="N36" s="218">
        <v>17.25</v>
      </c>
      <c r="O36" s="216">
        <f>SUM(C36:N36)</f>
        <v>215.75</v>
      </c>
      <c r="P36" s="215">
        <f>O36/O34</f>
        <v>4.4874154774755669E-2</v>
      </c>
      <c r="Q36" s="29"/>
      <c r="R36" s="219"/>
      <c r="S36" s="219"/>
      <c r="T36" s="219"/>
    </row>
    <row r="37" spans="1:20">
      <c r="A37" s="45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17"/>
      <c r="Q37" s="29"/>
      <c r="R37" s="29"/>
      <c r="S37" s="29"/>
      <c r="T37" s="29"/>
    </row>
    <row r="38" spans="1:20" ht="13.5" thickBot="1">
      <c r="A38" s="458" t="s">
        <v>1243</v>
      </c>
      <c r="C38" s="216">
        <f t="shared" ref="C38:H38" si="12">C28-C35-C36</f>
        <v>425.99</v>
      </c>
      <c r="D38" s="216">
        <f t="shared" si="12"/>
        <v>421.33</v>
      </c>
      <c r="E38" s="216">
        <f t="shared" si="12"/>
        <v>353.42</v>
      </c>
      <c r="F38" s="216">
        <f t="shared" si="12"/>
        <v>358.09</v>
      </c>
      <c r="G38" s="216">
        <f t="shared" si="12"/>
        <v>338.75</v>
      </c>
      <c r="H38" s="216">
        <f t="shared" si="12"/>
        <v>271.25</v>
      </c>
      <c r="I38" s="216">
        <f t="shared" ref="I38:O38" si="13">I28-I35-I36</f>
        <v>337.75</v>
      </c>
      <c r="J38" s="216">
        <f t="shared" si="13"/>
        <v>301</v>
      </c>
      <c r="K38" s="216">
        <f t="shared" si="13"/>
        <v>293.25</v>
      </c>
      <c r="L38" s="216">
        <f t="shared" si="13"/>
        <v>329.08</v>
      </c>
      <c r="M38" s="216">
        <f t="shared" si="13"/>
        <v>401</v>
      </c>
      <c r="N38" s="216">
        <f t="shared" si="13"/>
        <v>352.27</v>
      </c>
      <c r="O38" s="216">
        <f t="shared" si="13"/>
        <v>4183.1799999999994</v>
      </c>
      <c r="P38" s="215">
        <f>O38/O34</f>
        <v>0.87006566289994158</v>
      </c>
      <c r="R38" s="213"/>
      <c r="S38" s="213"/>
      <c r="T38" s="213"/>
    </row>
    <row r="40" spans="1:20">
      <c r="A40" s="93" t="s">
        <v>255</v>
      </c>
    </row>
    <row r="41" spans="1:20">
      <c r="C41" s="530" t="str">
        <f t="shared" ref="C41:H41" si="14">+C24</f>
        <v>July</v>
      </c>
      <c r="D41" s="530" t="str">
        <f t="shared" si="14"/>
        <v>August</v>
      </c>
      <c r="E41" s="530" t="str">
        <f t="shared" si="14"/>
        <v>September</v>
      </c>
      <c r="F41" s="530" t="str">
        <f t="shared" si="14"/>
        <v>October</v>
      </c>
      <c r="G41" s="530" t="str">
        <f t="shared" si="14"/>
        <v>November</v>
      </c>
      <c r="H41" s="530" t="str">
        <f t="shared" si="14"/>
        <v>December</v>
      </c>
      <c r="I41" s="530" t="str">
        <f t="shared" ref="I41:N41" si="15">+I24</f>
        <v>January</v>
      </c>
      <c r="J41" s="530" t="str">
        <f t="shared" si="15"/>
        <v>February</v>
      </c>
      <c r="K41" s="530" t="str">
        <f t="shared" si="15"/>
        <v>March</v>
      </c>
      <c r="L41" s="530" t="str">
        <f t="shared" si="15"/>
        <v>April</v>
      </c>
      <c r="M41" s="530" t="str">
        <f t="shared" si="15"/>
        <v>May</v>
      </c>
      <c r="N41" s="530" t="str">
        <f t="shared" si="15"/>
        <v>June</v>
      </c>
      <c r="O41" s="530" t="s">
        <v>27</v>
      </c>
      <c r="P41" s="530" t="s">
        <v>392</v>
      </c>
      <c r="R41" s="530"/>
      <c r="S41" s="530"/>
      <c r="T41" s="530"/>
    </row>
    <row r="42" spans="1:20">
      <c r="C42" s="530"/>
      <c r="D42" s="530"/>
      <c r="I42" s="530"/>
      <c r="J42" s="530"/>
    </row>
    <row r="43" spans="1:20">
      <c r="A43" s="15" t="s">
        <v>751</v>
      </c>
      <c r="C43" s="229">
        <v>503</v>
      </c>
      <c r="D43" s="229">
        <v>696</v>
      </c>
      <c r="E43" s="229">
        <v>583</v>
      </c>
      <c r="F43" s="229">
        <v>616</v>
      </c>
      <c r="G43" s="229">
        <v>535</v>
      </c>
      <c r="H43" s="229">
        <v>595</v>
      </c>
      <c r="I43" s="229">
        <v>657</v>
      </c>
      <c r="J43" s="229">
        <v>534</v>
      </c>
      <c r="K43" s="229">
        <v>550</v>
      </c>
      <c r="L43" s="229">
        <v>664</v>
      </c>
      <c r="M43" s="229">
        <v>603</v>
      </c>
      <c r="N43" s="229">
        <v>535</v>
      </c>
      <c r="O43" s="226">
        <f>SUM(C43:N43)</f>
        <v>7071</v>
      </c>
      <c r="P43" s="222">
        <f>+O43/O49</f>
        <v>8.6641670342596677E-2</v>
      </c>
      <c r="Q43" s="213"/>
      <c r="R43" s="229"/>
      <c r="S43" s="229"/>
      <c r="T43" s="229"/>
    </row>
    <row r="44" spans="1:20">
      <c r="A44" s="15" t="s">
        <v>378</v>
      </c>
      <c r="C44" s="229">
        <v>275</v>
      </c>
      <c r="D44" s="229">
        <v>330</v>
      </c>
      <c r="E44" s="229">
        <v>322</v>
      </c>
      <c r="F44" s="229">
        <v>325</v>
      </c>
      <c r="G44" s="229">
        <v>282</v>
      </c>
      <c r="H44" s="229">
        <v>303</v>
      </c>
      <c r="I44" s="229">
        <v>312</v>
      </c>
      <c r="J44" s="229">
        <v>276</v>
      </c>
      <c r="K44" s="229">
        <v>303</v>
      </c>
      <c r="L44" s="229">
        <v>313</v>
      </c>
      <c r="M44" s="229">
        <v>302</v>
      </c>
      <c r="N44" s="229">
        <v>263</v>
      </c>
      <c r="O44" s="226">
        <f>SUM(C44:N44)</f>
        <v>3606</v>
      </c>
      <c r="P44" s="222">
        <f>+O44/O49</f>
        <v>4.4184678723717098E-2</v>
      </c>
      <c r="Q44" s="213"/>
      <c r="R44" s="229"/>
      <c r="S44" s="229"/>
      <c r="T44" s="229"/>
    </row>
    <row r="45" spans="1:20">
      <c r="A45" s="15" t="s">
        <v>222</v>
      </c>
      <c r="C45" s="229">
        <v>4808</v>
      </c>
      <c r="D45" s="229">
        <v>4887</v>
      </c>
      <c r="E45" s="229">
        <v>4048</v>
      </c>
      <c r="F45" s="229">
        <v>4099</v>
      </c>
      <c r="G45" s="229">
        <v>3987</v>
      </c>
      <c r="H45" s="229">
        <v>3452</v>
      </c>
      <c r="I45" s="229">
        <v>4080</v>
      </c>
      <c r="J45" s="229">
        <v>3817</v>
      </c>
      <c r="K45" s="229">
        <v>3488</v>
      </c>
      <c r="L45" s="229">
        <v>3866</v>
      </c>
      <c r="M45" s="229">
        <v>4351</v>
      </c>
      <c r="N45" s="229">
        <v>4005</v>
      </c>
      <c r="O45" s="226">
        <f>SUM(C45:N45)</f>
        <v>48888</v>
      </c>
      <c r="P45" s="222">
        <f>+O45/O49</f>
        <v>0.59902955447728279</v>
      </c>
      <c r="Q45" s="213"/>
      <c r="R45" s="229"/>
      <c r="S45" s="229"/>
      <c r="T45" s="229"/>
    </row>
    <row r="46" spans="1:20">
      <c r="A46" s="15" t="s">
        <v>223</v>
      </c>
      <c r="C46" s="229">
        <v>471</v>
      </c>
      <c r="D46" s="229">
        <v>572</v>
      </c>
      <c r="E46" s="229">
        <v>487</v>
      </c>
      <c r="F46" s="229">
        <v>551</v>
      </c>
      <c r="G46" s="229">
        <v>461</v>
      </c>
      <c r="H46" s="229">
        <v>454</v>
      </c>
      <c r="I46" s="229">
        <v>836</v>
      </c>
      <c r="J46" s="229">
        <v>461</v>
      </c>
      <c r="K46" s="229">
        <v>481</v>
      </c>
      <c r="L46" s="229">
        <v>528</v>
      </c>
      <c r="M46" s="229">
        <v>484</v>
      </c>
      <c r="N46" s="229">
        <v>467</v>
      </c>
      <c r="O46" s="226">
        <f>SUM(C46:N46)</f>
        <v>6253</v>
      </c>
      <c r="P46" s="222">
        <f>+O46/O49</f>
        <v>7.6618634514532172E-2</v>
      </c>
      <c r="Q46" s="213"/>
      <c r="R46" s="229"/>
      <c r="S46" s="229"/>
      <c r="T46" s="229"/>
    </row>
    <row r="47" spans="1:20" ht="13.5" thickBot="1">
      <c r="A47" s="15" t="s">
        <v>224</v>
      </c>
      <c r="C47" s="228">
        <v>1634</v>
      </c>
      <c r="D47" s="228">
        <v>1841</v>
      </c>
      <c r="E47" s="228">
        <v>1738</v>
      </c>
      <c r="F47" s="228">
        <v>2054</v>
      </c>
      <c r="G47" s="228">
        <v>1368</v>
      </c>
      <c r="H47" s="228">
        <v>932</v>
      </c>
      <c r="I47" s="228">
        <v>791</v>
      </c>
      <c r="J47" s="228">
        <v>932</v>
      </c>
      <c r="K47" s="228">
        <v>964</v>
      </c>
      <c r="L47" s="228">
        <v>1199</v>
      </c>
      <c r="M47" s="228">
        <v>994</v>
      </c>
      <c r="N47" s="228">
        <v>1347</v>
      </c>
      <c r="O47" s="224">
        <f>SUM(C47:N47)</f>
        <v>15794</v>
      </c>
      <c r="P47" s="220">
        <f>+O47/O49</f>
        <v>0.19352546194187129</v>
      </c>
      <c r="Q47" s="213"/>
      <c r="R47" s="229"/>
      <c r="S47" s="229"/>
      <c r="T47" s="229"/>
    </row>
    <row r="48" spans="1:20">
      <c r="A48" s="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</row>
    <row r="49" spans="1:20" ht="13.5" thickBot="1">
      <c r="A49" s="15" t="s">
        <v>27</v>
      </c>
      <c r="C49" s="216">
        <f t="shared" ref="C49:H49" si="16">SUM(C43:C47)</f>
        <v>7691</v>
      </c>
      <c r="D49" s="216">
        <f t="shared" si="16"/>
        <v>8326</v>
      </c>
      <c r="E49" s="216">
        <f t="shared" si="16"/>
        <v>7178</v>
      </c>
      <c r="F49" s="216">
        <f t="shared" si="16"/>
        <v>7645</v>
      </c>
      <c r="G49" s="216">
        <f t="shared" si="16"/>
        <v>6633</v>
      </c>
      <c r="H49" s="216">
        <f t="shared" si="16"/>
        <v>5736</v>
      </c>
      <c r="I49" s="216">
        <f t="shared" ref="I49:P49" si="17">SUM(I43:I47)</f>
        <v>6676</v>
      </c>
      <c r="J49" s="216">
        <f t="shared" si="17"/>
        <v>6020</v>
      </c>
      <c r="K49" s="216">
        <f t="shared" si="17"/>
        <v>5786</v>
      </c>
      <c r="L49" s="216">
        <f t="shared" si="17"/>
        <v>6570</v>
      </c>
      <c r="M49" s="216">
        <f t="shared" si="17"/>
        <v>6734</v>
      </c>
      <c r="N49" s="216">
        <f t="shared" si="17"/>
        <v>6617</v>
      </c>
      <c r="O49" s="216">
        <f t="shared" si="17"/>
        <v>81612</v>
      </c>
      <c r="P49" s="220">
        <f t="shared" si="17"/>
        <v>1</v>
      </c>
      <c r="Q49" s="213"/>
      <c r="R49" s="213"/>
      <c r="S49" s="213"/>
      <c r="T49" s="213"/>
    </row>
    <row r="50" spans="1:20">
      <c r="A50" s="15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>
      <c r="A51" s="458" t="s">
        <v>222</v>
      </c>
      <c r="C51" s="226">
        <f t="shared" ref="C51:H51" si="18">C45</f>
        <v>4808</v>
      </c>
      <c r="D51" s="226">
        <f t="shared" si="18"/>
        <v>4887</v>
      </c>
      <c r="E51" s="226">
        <f t="shared" si="18"/>
        <v>4048</v>
      </c>
      <c r="F51" s="226">
        <f t="shared" si="18"/>
        <v>4099</v>
      </c>
      <c r="G51" s="226">
        <f t="shared" si="18"/>
        <v>3987</v>
      </c>
      <c r="H51" s="226">
        <f t="shared" si="18"/>
        <v>3452</v>
      </c>
      <c r="I51" s="226">
        <f t="shared" ref="I51:N51" si="19">I45</f>
        <v>4080</v>
      </c>
      <c r="J51" s="226">
        <f t="shared" si="19"/>
        <v>3817</v>
      </c>
      <c r="K51" s="226">
        <f t="shared" si="19"/>
        <v>3488</v>
      </c>
      <c r="L51" s="226">
        <f t="shared" si="19"/>
        <v>3866</v>
      </c>
      <c r="M51" s="226">
        <f t="shared" si="19"/>
        <v>4351</v>
      </c>
      <c r="N51" s="226">
        <f t="shared" si="19"/>
        <v>4005</v>
      </c>
      <c r="O51" s="226">
        <f>SUM(C51:N51)</f>
        <v>48888</v>
      </c>
      <c r="P51" s="29"/>
      <c r="Q51" s="29"/>
      <c r="R51" s="226"/>
      <c r="S51" s="226"/>
      <c r="T51" s="226"/>
    </row>
    <row r="52" spans="1:20">
      <c r="A52" s="458" t="s">
        <v>236</v>
      </c>
      <c r="C52" s="227">
        <v>565</v>
      </c>
      <c r="D52" s="227">
        <v>612</v>
      </c>
      <c r="E52" s="227">
        <v>483</v>
      </c>
      <c r="F52" s="227">
        <v>476</v>
      </c>
      <c r="G52" s="227">
        <v>466</v>
      </c>
      <c r="H52" s="227">
        <v>457</v>
      </c>
      <c r="I52" s="227">
        <v>630</v>
      </c>
      <c r="J52" s="227">
        <v>534</v>
      </c>
      <c r="K52" s="227">
        <v>446</v>
      </c>
      <c r="L52" s="227">
        <v>477</v>
      </c>
      <c r="M52" s="227">
        <v>467</v>
      </c>
      <c r="N52" s="227">
        <v>393</v>
      </c>
      <c r="O52" s="226">
        <f>SUM(C52:N52)</f>
        <v>6006</v>
      </c>
      <c r="P52" s="217">
        <f>O52/O51</f>
        <v>0.12285223367697594</v>
      </c>
      <c r="Q52" s="29"/>
      <c r="R52" s="227"/>
      <c r="S52" s="227"/>
      <c r="T52" s="227"/>
    </row>
    <row r="53" spans="1:20" ht="13.5" thickBot="1">
      <c r="A53" s="458" t="s">
        <v>1242</v>
      </c>
      <c r="C53" s="225">
        <v>189</v>
      </c>
      <c r="D53" s="225">
        <v>195</v>
      </c>
      <c r="E53" s="225">
        <v>290</v>
      </c>
      <c r="F53" s="225">
        <v>189</v>
      </c>
      <c r="G53" s="225">
        <v>179</v>
      </c>
      <c r="H53" s="225">
        <v>235</v>
      </c>
      <c r="I53" s="225">
        <v>184</v>
      </c>
      <c r="J53" s="225">
        <v>181</v>
      </c>
      <c r="K53" s="225">
        <v>249</v>
      </c>
      <c r="L53" s="225">
        <v>233</v>
      </c>
      <c r="M53" s="225">
        <v>230</v>
      </c>
      <c r="N53" s="225">
        <v>191</v>
      </c>
      <c r="O53" s="224">
        <f>SUM(C53:N53)</f>
        <v>2545</v>
      </c>
      <c r="P53" s="215">
        <f>O53/O51</f>
        <v>5.2057764686630668E-2</v>
      </c>
      <c r="Q53" s="29"/>
      <c r="R53" s="227"/>
      <c r="S53" s="227"/>
      <c r="T53" s="227"/>
    </row>
    <row r="54" spans="1:20">
      <c r="A54" s="45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17"/>
      <c r="Q54" s="29"/>
      <c r="R54" s="29"/>
      <c r="S54" s="29"/>
      <c r="T54" s="29"/>
    </row>
    <row r="55" spans="1:20" ht="13.5" thickBot="1">
      <c r="A55" s="458" t="s">
        <v>1243</v>
      </c>
      <c r="C55" s="224">
        <f t="shared" ref="C55:H55" si="20">C45-C52-C53</f>
        <v>4054</v>
      </c>
      <c r="D55" s="224">
        <f t="shared" si="20"/>
        <v>4080</v>
      </c>
      <c r="E55" s="224">
        <f t="shared" si="20"/>
        <v>3275</v>
      </c>
      <c r="F55" s="224">
        <f t="shared" si="20"/>
        <v>3434</v>
      </c>
      <c r="G55" s="224">
        <f t="shared" si="20"/>
        <v>3342</v>
      </c>
      <c r="H55" s="224">
        <f t="shared" si="20"/>
        <v>2760</v>
      </c>
      <c r="I55" s="224">
        <f t="shared" ref="I55:O55" si="21">I45-I52-I53</f>
        <v>3266</v>
      </c>
      <c r="J55" s="224">
        <f t="shared" si="21"/>
        <v>3102</v>
      </c>
      <c r="K55" s="224">
        <f t="shared" si="21"/>
        <v>2793</v>
      </c>
      <c r="L55" s="224">
        <f t="shared" si="21"/>
        <v>3156</v>
      </c>
      <c r="M55" s="224">
        <f t="shared" si="21"/>
        <v>3654</v>
      </c>
      <c r="N55" s="224">
        <f t="shared" si="21"/>
        <v>3421</v>
      </c>
      <c r="O55" s="224">
        <f t="shared" si="21"/>
        <v>40337</v>
      </c>
      <c r="P55" s="215">
        <f>O55/O51</f>
        <v>0.82509000163639334</v>
      </c>
      <c r="Q55" s="29"/>
      <c r="R55" s="226"/>
      <c r="S55" s="226"/>
      <c r="T55" s="226"/>
    </row>
    <row r="58" spans="1:20">
      <c r="A58" s="93" t="s">
        <v>1007</v>
      </c>
    </row>
    <row r="59" spans="1:20">
      <c r="C59" s="530" t="str">
        <f t="shared" ref="C59:H59" si="22">+C41</f>
        <v>July</v>
      </c>
      <c r="D59" s="530" t="str">
        <f t="shared" si="22"/>
        <v>August</v>
      </c>
      <c r="E59" s="530" t="str">
        <f t="shared" si="22"/>
        <v>September</v>
      </c>
      <c r="F59" s="530" t="str">
        <f t="shared" si="22"/>
        <v>October</v>
      </c>
      <c r="G59" s="530" t="str">
        <f t="shared" si="22"/>
        <v>November</v>
      </c>
      <c r="H59" s="530" t="str">
        <f t="shared" si="22"/>
        <v>December</v>
      </c>
      <c r="I59" s="530" t="str">
        <f t="shared" ref="I59:N59" si="23">+I41</f>
        <v>January</v>
      </c>
      <c r="J59" s="530" t="str">
        <f t="shared" si="23"/>
        <v>February</v>
      </c>
      <c r="K59" s="530" t="str">
        <f t="shared" si="23"/>
        <v>March</v>
      </c>
      <c r="L59" s="530" t="str">
        <f t="shared" si="23"/>
        <v>April</v>
      </c>
      <c r="M59" s="530" t="str">
        <f t="shared" si="23"/>
        <v>May</v>
      </c>
      <c r="N59" s="530" t="str">
        <f t="shared" si="23"/>
        <v>June</v>
      </c>
      <c r="O59" s="530" t="s">
        <v>27</v>
      </c>
      <c r="P59" s="530" t="s">
        <v>392</v>
      </c>
      <c r="R59" s="530"/>
      <c r="S59" s="530"/>
      <c r="T59" s="530"/>
    </row>
    <row r="60" spans="1:20">
      <c r="C60" s="530"/>
      <c r="D60" s="530"/>
      <c r="I60" s="530"/>
      <c r="J60" s="530"/>
    </row>
    <row r="61" spans="1:20">
      <c r="A61" s="15" t="s">
        <v>751</v>
      </c>
      <c r="C61" s="223">
        <v>69.650000000000006</v>
      </c>
      <c r="D61" s="223">
        <v>89.92</v>
      </c>
      <c r="E61" s="223">
        <v>83.98</v>
      </c>
      <c r="F61" s="223">
        <v>94.64</v>
      </c>
      <c r="G61" s="223">
        <v>64.48</v>
      </c>
      <c r="H61" s="223">
        <v>65.31</v>
      </c>
      <c r="I61" s="223">
        <v>78.98</v>
      </c>
      <c r="J61" s="223">
        <v>62.1</v>
      </c>
      <c r="K61" s="223">
        <v>67.709999999999994</v>
      </c>
      <c r="L61" s="223">
        <v>86.36</v>
      </c>
      <c r="M61" s="223">
        <v>79.900000000000006</v>
      </c>
      <c r="N61" s="223">
        <v>72.459999999999994</v>
      </c>
      <c r="O61" s="213">
        <f>SUM(C61:N61)</f>
        <v>915.49000000000012</v>
      </c>
      <c r="P61" s="222">
        <f>+O61/O67</f>
        <v>8.7150015802360065E-2</v>
      </c>
      <c r="Q61" s="213"/>
      <c r="R61" s="223"/>
      <c r="S61" s="223"/>
      <c r="T61" s="223"/>
    </row>
    <row r="62" spans="1:20">
      <c r="A62" s="15" t="s">
        <v>378</v>
      </c>
      <c r="C62" s="223">
        <v>27.8</v>
      </c>
      <c r="D62" s="223">
        <v>35.76</v>
      </c>
      <c r="E62" s="223">
        <v>37.880000000000003</v>
      </c>
      <c r="F62" s="223">
        <v>39.090000000000003</v>
      </c>
      <c r="G62" s="223">
        <v>27.6</v>
      </c>
      <c r="H62" s="223">
        <v>26.69</v>
      </c>
      <c r="I62" s="223">
        <v>33.33</v>
      </c>
      <c r="J62" s="223">
        <v>23.68</v>
      </c>
      <c r="K62" s="223">
        <v>25.59</v>
      </c>
      <c r="L62" s="223">
        <v>27.97</v>
      </c>
      <c r="M62" s="223">
        <v>25.55</v>
      </c>
      <c r="N62" s="223">
        <v>25.07</v>
      </c>
      <c r="O62" s="213">
        <f>SUM(C62:N62)</f>
        <v>356.01</v>
      </c>
      <c r="P62" s="222">
        <f>+O62/O67</f>
        <v>3.3890350660081711E-2</v>
      </c>
      <c r="Q62" s="213"/>
      <c r="R62" s="223"/>
      <c r="S62" s="223"/>
      <c r="T62" s="223"/>
    </row>
    <row r="63" spans="1:20">
      <c r="A63" s="15" t="s">
        <v>222</v>
      </c>
      <c r="C63" s="223">
        <v>788.75</v>
      </c>
      <c r="D63" s="223">
        <v>816.58</v>
      </c>
      <c r="E63" s="223">
        <v>651.41999999999996</v>
      </c>
      <c r="F63" s="223">
        <v>602.84</v>
      </c>
      <c r="G63" s="223">
        <v>532</v>
      </c>
      <c r="H63" s="223">
        <v>470</v>
      </c>
      <c r="I63" s="223">
        <v>584.25</v>
      </c>
      <c r="J63" s="223">
        <v>482.25</v>
      </c>
      <c r="K63" s="223">
        <v>471.5</v>
      </c>
      <c r="L63" s="223">
        <v>513.61</v>
      </c>
      <c r="M63" s="223">
        <v>627.75</v>
      </c>
      <c r="N63" s="223">
        <v>536.80999999999995</v>
      </c>
      <c r="O63" s="213">
        <f>SUM(C63:N63)</f>
        <v>7077.76</v>
      </c>
      <c r="P63" s="222">
        <f>+O63/O67</f>
        <v>0.67376693993960823</v>
      </c>
      <c r="Q63" s="213"/>
      <c r="R63" s="223"/>
      <c r="S63" s="223"/>
      <c r="T63" s="223"/>
    </row>
    <row r="64" spans="1:20">
      <c r="A64" s="15" t="s">
        <v>223</v>
      </c>
      <c r="C64" s="223">
        <v>61</v>
      </c>
      <c r="D64" s="223">
        <v>78.97</v>
      </c>
      <c r="E64" s="223">
        <v>71.72</v>
      </c>
      <c r="F64" s="223">
        <v>78.989999999999995</v>
      </c>
      <c r="G64" s="223">
        <v>57.99</v>
      </c>
      <c r="H64" s="223">
        <v>55.23</v>
      </c>
      <c r="I64" s="223">
        <v>67.040000000000006</v>
      </c>
      <c r="J64" s="223">
        <v>50.98</v>
      </c>
      <c r="K64" s="223">
        <v>54.73</v>
      </c>
      <c r="L64" s="223">
        <v>66.94</v>
      </c>
      <c r="M64" s="223">
        <v>59.04</v>
      </c>
      <c r="N64" s="223">
        <v>58.08</v>
      </c>
      <c r="O64" s="213">
        <f>SUM(C64:N64)</f>
        <v>760.71000000000015</v>
      </c>
      <c r="P64" s="222">
        <f>+O64/O67</f>
        <v>7.2415742958430271E-2</v>
      </c>
      <c r="Q64" s="213"/>
      <c r="R64" s="223"/>
      <c r="S64" s="223"/>
      <c r="T64" s="223"/>
    </row>
    <row r="65" spans="1:20" ht="13.5" thickBot="1">
      <c r="A65" s="15" t="s">
        <v>224</v>
      </c>
      <c r="C65" s="221">
        <v>142.34</v>
      </c>
      <c r="D65" s="221">
        <v>186.31</v>
      </c>
      <c r="E65" s="221">
        <v>151.75</v>
      </c>
      <c r="F65" s="221">
        <v>174.96</v>
      </c>
      <c r="G65" s="221">
        <v>109.84</v>
      </c>
      <c r="H65" s="221">
        <v>84.51</v>
      </c>
      <c r="I65" s="221">
        <v>92.49</v>
      </c>
      <c r="J65" s="221">
        <v>75.739999999999995</v>
      </c>
      <c r="K65" s="221">
        <v>77.72</v>
      </c>
      <c r="L65" s="221">
        <v>103.99</v>
      </c>
      <c r="M65" s="221">
        <v>89.26</v>
      </c>
      <c r="N65" s="221">
        <v>105.88</v>
      </c>
      <c r="O65" s="216">
        <f>SUM(C65:N65)</f>
        <v>1394.79</v>
      </c>
      <c r="P65" s="220">
        <f>+O65/O67</f>
        <v>0.13277695063951958</v>
      </c>
      <c r="Q65" s="213"/>
      <c r="R65" s="223"/>
      <c r="S65" s="223"/>
      <c r="T65" s="223"/>
    </row>
    <row r="66" spans="1:20">
      <c r="A66" s="15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</row>
    <row r="67" spans="1:20" ht="13.5" thickBot="1">
      <c r="A67" s="15" t="s">
        <v>27</v>
      </c>
      <c r="C67" s="216">
        <f t="shared" ref="C67:H67" si="24">SUM(C61:C65)</f>
        <v>1089.54</v>
      </c>
      <c r="D67" s="216">
        <f t="shared" si="24"/>
        <v>1207.54</v>
      </c>
      <c r="E67" s="216">
        <f t="shared" si="24"/>
        <v>996.75</v>
      </c>
      <c r="F67" s="216">
        <f t="shared" si="24"/>
        <v>990.5200000000001</v>
      </c>
      <c r="G67" s="216">
        <f t="shared" si="24"/>
        <v>791.91000000000008</v>
      </c>
      <c r="H67" s="216">
        <f t="shared" si="24"/>
        <v>701.74</v>
      </c>
      <c r="I67" s="216">
        <f t="shared" ref="I67:P67" si="25">SUM(I61:I65)</f>
        <v>856.08999999999992</v>
      </c>
      <c r="J67" s="216">
        <f t="shared" si="25"/>
        <v>694.75</v>
      </c>
      <c r="K67" s="216">
        <f t="shared" si="25"/>
        <v>697.25</v>
      </c>
      <c r="L67" s="216">
        <f t="shared" si="25"/>
        <v>798.87000000000012</v>
      </c>
      <c r="M67" s="216">
        <f t="shared" si="25"/>
        <v>881.5</v>
      </c>
      <c r="N67" s="216">
        <f t="shared" si="25"/>
        <v>798.3</v>
      </c>
      <c r="O67" s="216">
        <f t="shared" si="25"/>
        <v>10504.760000000002</v>
      </c>
      <c r="P67" s="220">
        <f t="shared" si="25"/>
        <v>0.99999999999999978</v>
      </c>
      <c r="Q67" s="213"/>
      <c r="R67" s="213"/>
      <c r="S67" s="213"/>
      <c r="T67" s="213"/>
    </row>
    <row r="68" spans="1:20">
      <c r="A68" s="15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>
      <c r="A69" s="458" t="s">
        <v>222</v>
      </c>
      <c r="C69" s="213">
        <f t="shared" ref="C69:H69" si="26">C63</f>
        <v>788.75</v>
      </c>
      <c r="D69" s="213">
        <f t="shared" si="26"/>
        <v>816.58</v>
      </c>
      <c r="E69" s="213">
        <f t="shared" si="26"/>
        <v>651.41999999999996</v>
      </c>
      <c r="F69" s="213">
        <f t="shared" si="26"/>
        <v>602.84</v>
      </c>
      <c r="G69" s="213">
        <f t="shared" si="26"/>
        <v>532</v>
      </c>
      <c r="H69" s="213">
        <f t="shared" si="26"/>
        <v>470</v>
      </c>
      <c r="I69" s="213">
        <f t="shared" ref="I69:N69" si="27">I63</f>
        <v>584.25</v>
      </c>
      <c r="J69" s="213">
        <f t="shared" si="27"/>
        <v>482.25</v>
      </c>
      <c r="K69" s="213">
        <f t="shared" si="27"/>
        <v>471.5</v>
      </c>
      <c r="L69" s="213">
        <f t="shared" si="27"/>
        <v>513.61</v>
      </c>
      <c r="M69" s="213">
        <f t="shared" si="27"/>
        <v>627.75</v>
      </c>
      <c r="N69" s="213">
        <f t="shared" si="27"/>
        <v>536.80999999999995</v>
      </c>
      <c r="O69" s="213">
        <f>SUM(C69:N69)</f>
        <v>7077.76</v>
      </c>
      <c r="P69" s="29"/>
      <c r="Q69" s="29"/>
      <c r="R69" s="213"/>
      <c r="S69" s="213"/>
      <c r="T69" s="213"/>
    </row>
    <row r="70" spans="1:20">
      <c r="A70" s="458" t="s">
        <v>236</v>
      </c>
      <c r="C70" s="219">
        <v>83.92</v>
      </c>
      <c r="D70" s="219">
        <v>95.5</v>
      </c>
      <c r="E70" s="219">
        <v>66</v>
      </c>
      <c r="F70" s="219">
        <v>64</v>
      </c>
      <c r="G70" s="219">
        <v>37.5</v>
      </c>
      <c r="H70" s="219">
        <v>43</v>
      </c>
      <c r="I70" s="219">
        <v>62.5</v>
      </c>
      <c r="J70" s="219">
        <v>33.75</v>
      </c>
      <c r="K70" s="219">
        <v>35.5</v>
      </c>
      <c r="L70" s="219">
        <v>31</v>
      </c>
      <c r="M70" s="219">
        <v>30.5</v>
      </c>
      <c r="N70" s="219">
        <v>28</v>
      </c>
      <c r="O70" s="213">
        <f>SUM(C70:N70)</f>
        <v>611.17000000000007</v>
      </c>
      <c r="P70" s="217">
        <f>O70/O69</f>
        <v>8.635076634415409E-2</v>
      </c>
      <c r="Q70" s="29"/>
      <c r="R70" s="219"/>
      <c r="S70" s="219"/>
      <c r="T70" s="219"/>
    </row>
    <row r="71" spans="1:20" ht="13.5" thickBot="1">
      <c r="A71" s="458" t="s">
        <v>1242</v>
      </c>
      <c r="C71" s="218">
        <v>18.5</v>
      </c>
      <c r="D71" s="218">
        <v>19.25</v>
      </c>
      <c r="E71" s="218">
        <v>23.25</v>
      </c>
      <c r="F71" s="218">
        <v>17.5</v>
      </c>
      <c r="G71" s="218">
        <v>15.75</v>
      </c>
      <c r="H71" s="218">
        <v>19.5</v>
      </c>
      <c r="I71" s="218">
        <v>15.5</v>
      </c>
      <c r="J71" s="218">
        <v>12</v>
      </c>
      <c r="K71" s="218">
        <v>18.25</v>
      </c>
      <c r="L71" s="218">
        <v>17</v>
      </c>
      <c r="M71" s="218">
        <v>22</v>
      </c>
      <c r="N71" s="218">
        <v>17.25</v>
      </c>
      <c r="O71" s="216">
        <f>SUM(C71:N71)</f>
        <v>215.75</v>
      </c>
      <c r="P71" s="215">
        <f>O71/O69</f>
        <v>3.048280812008319E-2</v>
      </c>
      <c r="Q71" s="29"/>
      <c r="R71" s="219"/>
      <c r="S71" s="219"/>
      <c r="T71" s="219"/>
    </row>
    <row r="72" spans="1:20">
      <c r="A72" s="15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17"/>
      <c r="Q72" s="29"/>
      <c r="R72" s="29"/>
      <c r="S72" s="29"/>
      <c r="T72" s="29"/>
    </row>
    <row r="73" spans="1:20" ht="13.5" thickBot="1">
      <c r="A73" s="458" t="s">
        <v>1243</v>
      </c>
      <c r="C73" s="216">
        <f t="shared" ref="C73:H73" si="28">C63-C70-C71</f>
        <v>686.33</v>
      </c>
      <c r="D73" s="216">
        <f t="shared" si="28"/>
        <v>701.83</v>
      </c>
      <c r="E73" s="216">
        <f t="shared" si="28"/>
        <v>562.16999999999996</v>
      </c>
      <c r="F73" s="216">
        <f t="shared" si="28"/>
        <v>521.34</v>
      </c>
      <c r="G73" s="216">
        <f t="shared" si="28"/>
        <v>478.75</v>
      </c>
      <c r="H73" s="216">
        <f t="shared" si="28"/>
        <v>407.5</v>
      </c>
      <c r="I73" s="216">
        <f t="shared" ref="I73:O73" si="29">I63-I70-I71</f>
        <v>506.25</v>
      </c>
      <c r="J73" s="216">
        <f t="shared" si="29"/>
        <v>436.5</v>
      </c>
      <c r="K73" s="216">
        <f t="shared" si="29"/>
        <v>417.75</v>
      </c>
      <c r="L73" s="216">
        <f t="shared" si="29"/>
        <v>465.61</v>
      </c>
      <c r="M73" s="216">
        <f t="shared" si="29"/>
        <v>575.25</v>
      </c>
      <c r="N73" s="216">
        <f t="shared" si="29"/>
        <v>491.55999999999995</v>
      </c>
      <c r="O73" s="216">
        <f t="shared" si="29"/>
        <v>6250.84</v>
      </c>
      <c r="P73" s="215">
        <f>O73/O69</f>
        <v>0.88316642553576274</v>
      </c>
      <c r="Q73" s="29"/>
      <c r="R73" s="213"/>
      <c r="S73" s="213"/>
      <c r="T73" s="213"/>
    </row>
    <row r="74" spans="1:20">
      <c r="A74" s="15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>
      <c r="A75" s="15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20">
      <c r="A76" s="15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20">
      <c r="C77" s="29"/>
      <c r="D77" s="29"/>
      <c r="E77" s="29"/>
      <c r="F77" s="29"/>
      <c r="G77" s="29"/>
    </row>
    <row r="78" spans="1:20">
      <c r="A78" s="93" t="s">
        <v>1244</v>
      </c>
      <c r="C78" s="29"/>
      <c r="D78" s="29"/>
      <c r="E78" s="29"/>
      <c r="F78" s="29"/>
      <c r="G78" s="29"/>
      <c r="J78" t="s">
        <v>1245</v>
      </c>
      <c r="O78" s="747">
        <v>1538</v>
      </c>
    </row>
    <row r="79" spans="1:20">
      <c r="B79" s="459"/>
      <c r="C79" s="29"/>
      <c r="D79" s="29"/>
      <c r="E79" s="29"/>
      <c r="F79" s="29"/>
      <c r="G79" s="29"/>
    </row>
    <row r="80" spans="1:20">
      <c r="E80" s="147"/>
      <c r="F80" s="147"/>
      <c r="G80" s="741">
        <v>45473</v>
      </c>
      <c r="H80" s="742">
        <v>45108</v>
      </c>
      <c r="I80" s="147"/>
    </row>
    <row r="81" spans="1:16">
      <c r="A81" s="93" t="s">
        <v>1246</v>
      </c>
      <c r="E81" s="468" t="s">
        <v>1247</v>
      </c>
      <c r="F81" s="147"/>
      <c r="G81" s="748">
        <v>303590</v>
      </c>
      <c r="H81" s="748">
        <v>268485</v>
      </c>
      <c r="I81" s="147">
        <f>+G81-H81</f>
        <v>35105</v>
      </c>
      <c r="O81" s="214">
        <f>+I83</f>
        <v>37012</v>
      </c>
      <c r="P81" s="459" t="s">
        <v>1248</v>
      </c>
    </row>
    <row r="82" spans="1:16">
      <c r="E82" s="459" t="s">
        <v>1249</v>
      </c>
      <c r="G82" s="748">
        <v>184831</v>
      </c>
      <c r="H82" s="748">
        <v>182924</v>
      </c>
      <c r="I82" s="65">
        <f>+G82-H82</f>
        <v>1907</v>
      </c>
    </row>
    <row r="83" spans="1:16">
      <c r="I83">
        <f>+I81+I82</f>
        <v>37012</v>
      </c>
    </row>
    <row r="86" spans="1:16">
      <c r="J86" t="s">
        <v>14</v>
      </c>
    </row>
    <row r="150" spans="18:18">
      <c r="R150" s="213"/>
    </row>
    <row r="151" spans="18:18">
      <c r="R151" s="213"/>
    </row>
    <row r="152" spans="18:18">
      <c r="R152" s="213"/>
    </row>
    <row r="153" spans="18:18">
      <c r="R153" s="213"/>
    </row>
    <row r="154" spans="18:18">
      <c r="R154" s="213"/>
    </row>
    <row r="155" spans="18:18">
      <c r="R155" s="213"/>
    </row>
    <row r="156" spans="18:18">
      <c r="R156" s="213"/>
    </row>
    <row r="157" spans="18:18">
      <c r="R157" s="29"/>
    </row>
    <row r="166" spans="18:18">
      <c r="R166" s="213"/>
    </row>
    <row r="167" spans="18:18">
      <c r="R167" s="213"/>
    </row>
    <row r="168" spans="18:18">
      <c r="R168" s="213"/>
    </row>
    <row r="169" spans="18:18">
      <c r="R169" s="213"/>
    </row>
    <row r="170" spans="18:18">
      <c r="R170" s="213"/>
    </row>
    <row r="171" spans="18:18">
      <c r="R171" s="213"/>
    </row>
    <row r="172" spans="18:18">
      <c r="R172" s="213"/>
    </row>
    <row r="173" spans="18:18">
      <c r="R173" s="29"/>
    </row>
  </sheetData>
  <pageMargins left="0.25" right="0.25" top="0.25" bottom="0.25" header="0.5" footer="0.5"/>
  <pageSetup scale="76" fitToHeight="2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  <pageSetUpPr fitToPage="1"/>
  </sheetPr>
  <dimension ref="A1:X21"/>
  <sheetViews>
    <sheetView workbookViewId="0">
      <selection activeCell="A10" sqref="A10"/>
    </sheetView>
  </sheetViews>
  <sheetFormatPr defaultRowHeight="12.75"/>
  <sheetData>
    <row r="1" spans="1:24">
      <c r="A1" t="s">
        <v>4</v>
      </c>
    </row>
    <row r="2" spans="1:24">
      <c r="D2" s="459"/>
    </row>
    <row r="3" spans="1:24">
      <c r="A3" s="458" t="s">
        <v>1418</v>
      </c>
      <c r="D3" s="477" t="s">
        <v>11</v>
      </c>
      <c r="E3" s="462" t="s">
        <v>12</v>
      </c>
    </row>
    <row r="9" spans="1:24">
      <c r="A9" s="93" t="s">
        <v>1419</v>
      </c>
    </row>
    <row r="10" spans="1:24">
      <c r="A10" s="93"/>
    </row>
    <row r="11" spans="1:24" ht="13.5" thickBot="1">
      <c r="C11" s="4"/>
      <c r="D11" s="4"/>
      <c r="E11" s="4"/>
      <c r="F11" s="4"/>
      <c r="G11" s="4"/>
      <c r="H11" s="534"/>
      <c r="I11" s="53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4">
      <c r="C12" s="530" t="s">
        <v>880</v>
      </c>
      <c r="D12" s="530" t="s">
        <v>881</v>
      </c>
      <c r="E12" s="530" t="s">
        <v>882</v>
      </c>
      <c r="F12" s="530" t="s">
        <v>27</v>
      </c>
      <c r="G12" s="530" t="s">
        <v>392</v>
      </c>
      <c r="H12" s="98" t="s">
        <v>882</v>
      </c>
      <c r="I12" s="530" t="s">
        <v>392</v>
      </c>
      <c r="J12" s="98" t="s">
        <v>1250</v>
      </c>
      <c r="K12" s="530" t="s">
        <v>1251</v>
      </c>
      <c r="L12" s="530" t="s">
        <v>1252</v>
      </c>
      <c r="M12" s="530" t="s">
        <v>1253</v>
      </c>
      <c r="N12" s="530" t="s">
        <v>1254</v>
      </c>
      <c r="O12" s="530" t="s">
        <v>1255</v>
      </c>
      <c r="P12" s="530" t="s">
        <v>1256</v>
      </c>
      <c r="Q12" s="530" t="s">
        <v>1257</v>
      </c>
      <c r="R12" s="530" t="s">
        <v>1258</v>
      </c>
      <c r="S12" s="530" t="s">
        <v>1259</v>
      </c>
      <c r="T12" s="530" t="s">
        <v>27</v>
      </c>
      <c r="U12" s="530" t="s">
        <v>392</v>
      </c>
    </row>
    <row r="13" spans="1:24" ht="13.5" thickBot="1">
      <c r="C13" s="18"/>
      <c r="D13" s="18"/>
      <c r="E13" s="18"/>
      <c r="F13" s="4"/>
      <c r="G13" s="4"/>
      <c r="H13" s="585" t="s">
        <v>364</v>
      </c>
      <c r="I13" s="4"/>
      <c r="J13" s="95"/>
      <c r="K13" s="18"/>
      <c r="L13" s="18"/>
      <c r="M13" s="18"/>
      <c r="N13" s="18"/>
      <c r="O13" s="18"/>
      <c r="P13" s="18"/>
      <c r="Q13" s="4"/>
      <c r="R13" s="4"/>
      <c r="S13" s="4"/>
      <c r="T13" s="4"/>
      <c r="U13" s="4"/>
    </row>
    <row r="14" spans="1:24">
      <c r="A14" s="15" t="s">
        <v>751</v>
      </c>
      <c r="C14" s="229">
        <v>0</v>
      </c>
      <c r="D14" s="229">
        <v>591</v>
      </c>
      <c r="E14" s="229">
        <v>66</v>
      </c>
      <c r="F14" s="226">
        <f>SUM(C14:E14)</f>
        <v>657</v>
      </c>
      <c r="G14" s="222">
        <f>+F14/F20</f>
        <v>0.14104765993988835</v>
      </c>
      <c r="H14" s="239"/>
      <c r="I14" s="222">
        <f>+H14/H20</f>
        <v>0</v>
      </c>
      <c r="J14" s="238"/>
      <c r="K14" s="229"/>
      <c r="L14" s="229"/>
      <c r="M14" s="229">
        <v>34</v>
      </c>
      <c r="N14" s="229"/>
      <c r="O14" s="229">
        <v>21</v>
      </c>
      <c r="P14" s="229"/>
      <c r="Q14" s="229">
        <v>9</v>
      </c>
      <c r="R14" s="229">
        <v>4</v>
      </c>
      <c r="S14" s="229"/>
      <c r="T14" s="226">
        <f>SUM(J14:S14)</f>
        <v>68</v>
      </c>
      <c r="U14" s="222">
        <f>+T14/T20</f>
        <v>5.4269752593774943E-2</v>
      </c>
      <c r="W14" s="20">
        <f>F14+H14+T14</f>
        <v>725</v>
      </c>
      <c r="X14" s="53">
        <f>W14/$W$20</f>
        <v>0.11572226656025539</v>
      </c>
    </row>
    <row r="15" spans="1:24">
      <c r="A15" s="15" t="s">
        <v>378</v>
      </c>
      <c r="C15" s="229">
        <v>0</v>
      </c>
      <c r="D15" s="229">
        <v>214</v>
      </c>
      <c r="E15" s="229">
        <v>33</v>
      </c>
      <c r="F15" s="226">
        <f>SUM(C15:E15)</f>
        <v>247</v>
      </c>
      <c r="G15" s="222">
        <f>+F15/F20</f>
        <v>5.3027050236152853E-2</v>
      </c>
      <c r="H15" s="239"/>
      <c r="I15" s="222">
        <f>+H15/H20</f>
        <v>0</v>
      </c>
      <c r="J15" s="238"/>
      <c r="K15" s="229"/>
      <c r="L15" s="229"/>
      <c r="M15" s="229">
        <v>12</v>
      </c>
      <c r="N15" s="229"/>
      <c r="O15" s="229">
        <v>16</v>
      </c>
      <c r="P15" s="229"/>
      <c r="Q15" s="229">
        <v>1</v>
      </c>
      <c r="R15" s="229">
        <v>0</v>
      </c>
      <c r="S15" s="229"/>
      <c r="T15" s="226">
        <f>SUM(J15:S15)</f>
        <v>29</v>
      </c>
      <c r="U15" s="222">
        <f>+T15/T20</f>
        <v>2.3144453312051078E-2</v>
      </c>
      <c r="W15" s="20">
        <f>F15+H15+T15</f>
        <v>276</v>
      </c>
      <c r="X15" s="53">
        <f>W15/$W$20</f>
        <v>4.4054269752593772E-2</v>
      </c>
    </row>
    <row r="16" spans="1:24">
      <c r="A16" s="15" t="s">
        <v>222</v>
      </c>
      <c r="C16" s="229">
        <v>764</v>
      </c>
      <c r="D16" s="229">
        <v>1365</v>
      </c>
      <c r="E16" s="229">
        <v>1625</v>
      </c>
      <c r="F16" s="226">
        <f>SUM(C16:E16)</f>
        <v>3754</v>
      </c>
      <c r="G16" s="222">
        <f>+F16/F20</f>
        <v>0.80592528982395883</v>
      </c>
      <c r="H16" s="240">
        <v>354</v>
      </c>
      <c r="I16" s="222">
        <f>+H16/H20</f>
        <v>1</v>
      </c>
      <c r="J16" s="238">
        <v>6</v>
      </c>
      <c r="K16" s="229">
        <v>14</v>
      </c>
      <c r="L16" s="229">
        <v>13</v>
      </c>
      <c r="M16" s="229">
        <v>387</v>
      </c>
      <c r="N16" s="229">
        <v>73</v>
      </c>
      <c r="O16" s="229">
        <v>335</v>
      </c>
      <c r="P16" s="229">
        <v>6</v>
      </c>
      <c r="Q16" s="229">
        <v>51</v>
      </c>
      <c r="R16" s="229">
        <v>54</v>
      </c>
      <c r="S16" s="229">
        <v>0</v>
      </c>
      <c r="T16" s="226">
        <f>SUM(J16:S16)</f>
        <v>939</v>
      </c>
      <c r="U16" s="222">
        <f>+T16/T20</f>
        <v>0.74940143655227454</v>
      </c>
      <c r="W16" s="20">
        <f>F16+H16+T16</f>
        <v>5047</v>
      </c>
      <c r="X16" s="53">
        <f>W16/$W$20</f>
        <v>0.80558659217877093</v>
      </c>
    </row>
    <row r="17" spans="1:24">
      <c r="A17" s="15" t="s">
        <v>223</v>
      </c>
      <c r="C17" s="229"/>
      <c r="D17" s="229"/>
      <c r="E17" s="229"/>
      <c r="F17" s="226">
        <f>SUM(D17:E17)</f>
        <v>0</v>
      </c>
      <c r="G17" s="222">
        <f>+F17/F20</f>
        <v>0</v>
      </c>
      <c r="H17" s="239"/>
      <c r="I17" s="222">
        <f>+H17/H20</f>
        <v>0</v>
      </c>
      <c r="J17" s="238"/>
      <c r="K17" s="229">
        <v>2</v>
      </c>
      <c r="L17" s="229">
        <v>4</v>
      </c>
      <c r="M17" s="229">
        <v>20</v>
      </c>
      <c r="N17" s="229"/>
      <c r="O17" s="229">
        <v>20</v>
      </c>
      <c r="P17" s="229">
        <v>1</v>
      </c>
      <c r="Q17" s="229">
        <v>7</v>
      </c>
      <c r="R17" s="229">
        <v>4</v>
      </c>
      <c r="S17" s="229"/>
      <c r="T17" s="226">
        <f>SUM(J17:S17)</f>
        <v>58</v>
      </c>
      <c r="U17" s="222">
        <f>+T17/T20</f>
        <v>4.6288906624102157E-2</v>
      </c>
      <c r="W17" s="20">
        <f>F17+H17+T17</f>
        <v>58</v>
      </c>
      <c r="X17" s="53">
        <f>W17/$W$20</f>
        <v>9.2577813248204306E-3</v>
      </c>
    </row>
    <row r="18" spans="1:24" ht="13.5" thickBot="1">
      <c r="A18" s="15" t="s">
        <v>224</v>
      </c>
      <c r="C18" s="228"/>
      <c r="D18" s="228"/>
      <c r="E18" s="228"/>
      <c r="F18" s="224">
        <f>SUM(D18:E18)</f>
        <v>0</v>
      </c>
      <c r="G18" s="220">
        <f>+F18/F20</f>
        <v>0</v>
      </c>
      <c r="H18" s="237"/>
      <c r="I18" s="220">
        <f>+H18/H20</f>
        <v>0</v>
      </c>
      <c r="J18" s="236"/>
      <c r="K18" s="228">
        <v>2</v>
      </c>
      <c r="L18" s="228">
        <v>10</v>
      </c>
      <c r="M18" s="228">
        <v>30</v>
      </c>
      <c r="N18" s="228"/>
      <c r="O18" s="228">
        <v>56</v>
      </c>
      <c r="P18" s="228"/>
      <c r="Q18" s="228">
        <v>16</v>
      </c>
      <c r="R18" s="228">
        <v>45</v>
      </c>
      <c r="S18" s="228"/>
      <c r="T18" s="224">
        <f>SUM(J18:S18)</f>
        <v>159</v>
      </c>
      <c r="U18" s="220">
        <f>+T18/T20</f>
        <v>0.12689545091779728</v>
      </c>
      <c r="W18" s="20">
        <f>F18+H18+T18</f>
        <v>159</v>
      </c>
      <c r="X18" s="53">
        <f>W18/$W$20</f>
        <v>2.5379090183559456E-2</v>
      </c>
    </row>
    <row r="19" spans="1:24">
      <c r="A19" s="15"/>
      <c r="C19" s="213"/>
      <c r="D19" s="213"/>
      <c r="E19" s="213"/>
      <c r="F19" s="213"/>
      <c r="G19" s="213"/>
      <c r="H19" s="235"/>
      <c r="I19" s="213"/>
      <c r="J19" s="235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</row>
    <row r="20" spans="1:24" ht="13.5" thickBot="1">
      <c r="A20" s="15" t="s">
        <v>27</v>
      </c>
      <c r="C20" s="233">
        <f t="shared" ref="C20:U20" si="0">SUM(C14:C18)</f>
        <v>764</v>
      </c>
      <c r="D20" s="233">
        <f t="shared" si="0"/>
        <v>2170</v>
      </c>
      <c r="E20" s="233">
        <f t="shared" si="0"/>
        <v>1724</v>
      </c>
      <c r="F20" s="233">
        <f t="shared" si="0"/>
        <v>4658</v>
      </c>
      <c r="G20" s="232">
        <f t="shared" si="0"/>
        <v>1</v>
      </c>
      <c r="H20" s="234">
        <f t="shared" si="0"/>
        <v>354</v>
      </c>
      <c r="I20" s="232">
        <f t="shared" si="0"/>
        <v>1</v>
      </c>
      <c r="J20" s="234">
        <f t="shared" si="0"/>
        <v>6</v>
      </c>
      <c r="K20" s="233">
        <f t="shared" si="0"/>
        <v>18</v>
      </c>
      <c r="L20" s="233">
        <f t="shared" si="0"/>
        <v>27</v>
      </c>
      <c r="M20" s="233">
        <f t="shared" si="0"/>
        <v>483</v>
      </c>
      <c r="N20" s="233">
        <f t="shared" si="0"/>
        <v>73</v>
      </c>
      <c r="O20" s="233">
        <f t="shared" si="0"/>
        <v>448</v>
      </c>
      <c r="P20" s="233">
        <f t="shared" si="0"/>
        <v>7</v>
      </c>
      <c r="Q20" s="233">
        <f t="shared" si="0"/>
        <v>84</v>
      </c>
      <c r="R20" s="233">
        <f t="shared" si="0"/>
        <v>107</v>
      </c>
      <c r="S20" s="233">
        <f t="shared" si="0"/>
        <v>0</v>
      </c>
      <c r="T20" s="233">
        <f t="shared" si="0"/>
        <v>1253</v>
      </c>
      <c r="U20" s="232">
        <f t="shared" si="0"/>
        <v>1</v>
      </c>
      <c r="W20" s="20">
        <f>SUM(W14:W18)</f>
        <v>6265</v>
      </c>
    </row>
    <row r="21" spans="1:24" ht="13.5" thickTop="1">
      <c r="A21" s="1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  <pageSetUpPr fitToPage="1"/>
  </sheetPr>
  <dimension ref="A1:T100"/>
  <sheetViews>
    <sheetView workbookViewId="0">
      <selection activeCell="E4" sqref="E4"/>
    </sheetView>
  </sheetViews>
  <sheetFormatPr defaultRowHeight="12.75"/>
  <cols>
    <col min="12" max="12" width="11.5703125" customWidth="1"/>
    <col min="13" max="13" width="9.85546875" customWidth="1"/>
    <col min="14" max="14" width="10.42578125" customWidth="1"/>
    <col min="15" max="15" width="10.28515625" customWidth="1"/>
    <col min="16" max="16" width="10.140625" customWidth="1"/>
    <col min="17" max="17" width="11.140625" customWidth="1"/>
    <col min="20" max="20" width="10.7109375" bestFit="1" customWidth="1"/>
  </cols>
  <sheetData>
    <row r="1" spans="1:17">
      <c r="A1" t="s">
        <v>4</v>
      </c>
    </row>
    <row r="3" spans="1:17">
      <c r="A3" s="458" t="s">
        <v>1421</v>
      </c>
      <c r="D3" s="477" t="s">
        <v>11</v>
      </c>
      <c r="E3" s="462" t="s">
        <v>12</v>
      </c>
    </row>
    <row r="6" spans="1:17">
      <c r="A6" s="93" t="s">
        <v>1030</v>
      </c>
      <c r="G6" s="147"/>
      <c r="H6" s="147"/>
      <c r="I6" s="147"/>
      <c r="J6" s="147"/>
    </row>
    <row r="7" spans="1:17">
      <c r="A7" t="s">
        <v>14</v>
      </c>
    </row>
    <row r="8" spans="1:17">
      <c r="A8" s="93" t="s">
        <v>1031</v>
      </c>
      <c r="J8" s="93" t="s">
        <v>1032</v>
      </c>
    </row>
    <row r="9" spans="1:17">
      <c r="A9" s="93"/>
      <c r="J9" s="93"/>
    </row>
    <row r="10" spans="1:17" ht="13.5" thickBot="1">
      <c r="C10" s="3" t="s">
        <v>222</v>
      </c>
      <c r="D10" s="3" t="s">
        <v>224</v>
      </c>
      <c r="E10" s="3" t="s">
        <v>223</v>
      </c>
      <c r="F10" s="3" t="s">
        <v>378</v>
      </c>
      <c r="G10" s="3" t="s">
        <v>377</v>
      </c>
      <c r="H10" s="3" t="s">
        <v>27</v>
      </c>
      <c r="L10" s="3" t="s">
        <v>222</v>
      </c>
      <c r="M10" s="3" t="s">
        <v>224</v>
      </c>
      <c r="N10" s="3" t="s">
        <v>223</v>
      </c>
      <c r="O10" s="3" t="s">
        <v>378</v>
      </c>
      <c r="P10" s="3" t="s">
        <v>377</v>
      </c>
      <c r="Q10" s="3" t="s">
        <v>27</v>
      </c>
    </row>
    <row r="11" spans="1:17" ht="13.5" thickTop="1">
      <c r="C11" s="530"/>
      <c r="D11" s="530"/>
      <c r="E11" s="530"/>
      <c r="F11" s="530"/>
      <c r="G11" s="530"/>
      <c r="H11" s="530"/>
      <c r="L11" s="530"/>
      <c r="M11" s="530"/>
      <c r="N11" s="530"/>
      <c r="O11" s="530"/>
      <c r="P11" s="530"/>
      <c r="Q11" s="530"/>
    </row>
    <row r="12" spans="1:17">
      <c r="A12" t="s">
        <v>1119</v>
      </c>
      <c r="C12" s="178">
        <v>0</v>
      </c>
      <c r="D12" s="178">
        <v>319</v>
      </c>
      <c r="E12" s="178">
        <v>87</v>
      </c>
      <c r="F12" s="178">
        <v>95</v>
      </c>
      <c r="G12" s="178">
        <v>222</v>
      </c>
      <c r="H12" s="574">
        <f t="shared" ref="H12:H23" si="0">SUM(C12:G12)</f>
        <v>723</v>
      </c>
      <c r="J12" t="str">
        <f t="shared" ref="J12:J23" si="1">+A12</f>
        <v>July</v>
      </c>
      <c r="L12" s="242">
        <v>0</v>
      </c>
      <c r="M12" s="242">
        <v>9875.9500000000007</v>
      </c>
      <c r="N12" s="242">
        <v>2794.78</v>
      </c>
      <c r="O12" s="242">
        <v>3203.99</v>
      </c>
      <c r="P12" s="242">
        <v>7543.06</v>
      </c>
      <c r="Q12" s="5">
        <f t="shared" ref="Q12:Q23" si="2">SUM(L12:P12)</f>
        <v>23417.780000000002</v>
      </c>
    </row>
    <row r="13" spans="1:17">
      <c r="A13" t="s">
        <v>1120</v>
      </c>
      <c r="C13" s="178">
        <v>0</v>
      </c>
      <c r="D13" s="178">
        <v>384</v>
      </c>
      <c r="E13" s="178">
        <v>116</v>
      </c>
      <c r="F13" s="178">
        <v>125</v>
      </c>
      <c r="G13" s="178">
        <v>244</v>
      </c>
      <c r="H13" s="574">
        <f t="shared" si="0"/>
        <v>869</v>
      </c>
      <c r="J13" t="str">
        <f t="shared" si="1"/>
        <v>August</v>
      </c>
      <c r="L13" s="242">
        <v>0</v>
      </c>
      <c r="M13" s="242">
        <v>12865.73</v>
      </c>
      <c r="N13" s="242">
        <v>3703.99</v>
      </c>
      <c r="O13" s="242">
        <v>4543.8900000000003</v>
      </c>
      <c r="P13" s="242">
        <v>8240.32</v>
      </c>
      <c r="Q13" s="5">
        <f t="shared" si="2"/>
        <v>29353.93</v>
      </c>
    </row>
    <row r="14" spans="1:17">
      <c r="A14" t="s">
        <v>1121</v>
      </c>
      <c r="C14" s="178">
        <v>0</v>
      </c>
      <c r="D14" s="178">
        <v>321</v>
      </c>
      <c r="E14" s="178">
        <v>105</v>
      </c>
      <c r="F14" s="178">
        <v>87</v>
      </c>
      <c r="G14" s="178">
        <v>231</v>
      </c>
      <c r="H14" s="574">
        <f t="shared" si="0"/>
        <v>744</v>
      </c>
      <c r="J14" t="str">
        <f t="shared" si="1"/>
        <v>September</v>
      </c>
      <c r="L14" s="242">
        <v>0</v>
      </c>
      <c r="M14" s="242">
        <v>10607.85</v>
      </c>
      <c r="N14" s="242">
        <v>3627.38</v>
      </c>
      <c r="O14" s="242">
        <v>3201.64</v>
      </c>
      <c r="P14" s="242">
        <v>7766.49</v>
      </c>
      <c r="Q14" s="5">
        <f t="shared" si="2"/>
        <v>25203.360000000001</v>
      </c>
    </row>
    <row r="15" spans="1:17">
      <c r="A15" t="s">
        <v>1113</v>
      </c>
      <c r="C15" s="178">
        <v>0</v>
      </c>
      <c r="D15" s="178">
        <v>391</v>
      </c>
      <c r="E15" s="178">
        <v>110</v>
      </c>
      <c r="F15" s="178">
        <v>98</v>
      </c>
      <c r="G15" s="178">
        <v>272</v>
      </c>
      <c r="H15" s="574">
        <f t="shared" si="0"/>
        <v>871</v>
      </c>
      <c r="J15" t="str">
        <f t="shared" si="1"/>
        <v>October</v>
      </c>
      <c r="L15" s="242">
        <v>0</v>
      </c>
      <c r="M15" s="242">
        <v>13073.72</v>
      </c>
      <c r="N15" s="242">
        <v>3495.72</v>
      </c>
      <c r="O15" s="242">
        <v>3868.75</v>
      </c>
      <c r="P15" s="242">
        <v>8764.4699999999993</v>
      </c>
      <c r="Q15" s="5">
        <f t="shared" si="2"/>
        <v>29202.659999999996</v>
      </c>
    </row>
    <row r="16" spans="1:17">
      <c r="A16" t="s">
        <v>1385</v>
      </c>
      <c r="C16" s="178">
        <v>0</v>
      </c>
      <c r="D16" s="178">
        <v>216</v>
      </c>
      <c r="E16" s="178">
        <v>78</v>
      </c>
      <c r="F16" s="178">
        <v>80</v>
      </c>
      <c r="G16" s="178">
        <v>221</v>
      </c>
      <c r="H16" s="574">
        <f t="shared" si="0"/>
        <v>595</v>
      </c>
      <c r="J16" t="str">
        <f t="shared" si="1"/>
        <v xml:space="preserve">November </v>
      </c>
      <c r="L16" s="242">
        <v>0</v>
      </c>
      <c r="M16" s="242">
        <v>7844.71</v>
      </c>
      <c r="N16" s="242">
        <v>2682.78</v>
      </c>
      <c r="O16" s="242">
        <v>2858.69</v>
      </c>
      <c r="P16" s="242">
        <v>7620.42</v>
      </c>
      <c r="Q16" s="5">
        <f t="shared" si="2"/>
        <v>21006.6</v>
      </c>
    </row>
    <row r="17" spans="1:20" ht="13.5" thickBot="1">
      <c r="A17" t="s">
        <v>1115</v>
      </c>
      <c r="C17" s="241">
        <v>0</v>
      </c>
      <c r="D17" s="241">
        <v>79</v>
      </c>
      <c r="E17" s="241">
        <v>67</v>
      </c>
      <c r="F17" s="241">
        <v>70</v>
      </c>
      <c r="G17" s="241">
        <v>185</v>
      </c>
      <c r="H17" s="574">
        <f t="shared" si="0"/>
        <v>401</v>
      </c>
      <c r="J17" t="str">
        <f t="shared" si="1"/>
        <v>December</v>
      </c>
      <c r="L17" s="43">
        <v>0</v>
      </c>
      <c r="M17" s="43">
        <v>2664.94</v>
      </c>
      <c r="N17" s="43">
        <v>2195.83</v>
      </c>
      <c r="O17" s="43">
        <v>2415.54</v>
      </c>
      <c r="P17" s="43">
        <v>6391.62</v>
      </c>
      <c r="Q17" s="5">
        <f t="shared" si="2"/>
        <v>13667.93</v>
      </c>
    </row>
    <row r="18" spans="1:20">
      <c r="A18" t="s">
        <v>648</v>
      </c>
      <c r="C18" s="178">
        <v>0</v>
      </c>
      <c r="D18" s="178">
        <v>104</v>
      </c>
      <c r="E18" s="178">
        <v>69</v>
      </c>
      <c r="F18" s="178">
        <v>87</v>
      </c>
      <c r="G18" s="178">
        <v>219</v>
      </c>
      <c r="H18" s="574">
        <f t="shared" si="0"/>
        <v>479</v>
      </c>
      <c r="J18" t="str">
        <f t="shared" si="1"/>
        <v>January</v>
      </c>
      <c r="L18" s="242">
        <v>0</v>
      </c>
      <c r="M18" s="242">
        <v>3458.22</v>
      </c>
      <c r="N18" s="242">
        <v>2364.4699999999998</v>
      </c>
      <c r="O18" s="242">
        <v>3042.38</v>
      </c>
      <c r="P18" s="242">
        <v>7598.73</v>
      </c>
      <c r="Q18" s="5">
        <f t="shared" si="2"/>
        <v>16463.8</v>
      </c>
    </row>
    <row r="19" spans="1:20">
      <c r="A19" t="s">
        <v>649</v>
      </c>
      <c r="C19" s="178">
        <v>0</v>
      </c>
      <c r="D19" s="178">
        <v>101</v>
      </c>
      <c r="E19" s="178">
        <v>62</v>
      </c>
      <c r="F19" s="178">
        <v>65</v>
      </c>
      <c r="G19" s="178">
        <v>174</v>
      </c>
      <c r="H19" s="574">
        <f t="shared" si="0"/>
        <v>402</v>
      </c>
      <c r="J19" t="str">
        <f t="shared" si="1"/>
        <v>February</v>
      </c>
      <c r="L19" s="242">
        <v>0</v>
      </c>
      <c r="M19" s="242">
        <v>3309.92</v>
      </c>
      <c r="N19" s="242">
        <v>2071.63</v>
      </c>
      <c r="O19" s="242">
        <v>2362.96</v>
      </c>
      <c r="P19" s="242">
        <v>6249.42</v>
      </c>
      <c r="Q19" s="5">
        <f t="shared" si="2"/>
        <v>13993.93</v>
      </c>
    </row>
    <row r="20" spans="1:20">
      <c r="A20" t="s">
        <v>650</v>
      </c>
      <c r="C20" s="178">
        <v>0</v>
      </c>
      <c r="D20" s="178">
        <v>104</v>
      </c>
      <c r="E20" s="178">
        <v>66</v>
      </c>
      <c r="F20" s="178">
        <v>69</v>
      </c>
      <c r="G20" s="178">
        <v>211</v>
      </c>
      <c r="H20" s="574">
        <f t="shared" si="0"/>
        <v>450</v>
      </c>
      <c r="J20" t="str">
        <f t="shared" si="1"/>
        <v>March</v>
      </c>
      <c r="L20" s="242">
        <v>0</v>
      </c>
      <c r="M20" s="242">
        <v>3357</v>
      </c>
      <c r="N20" s="242">
        <v>2184.12</v>
      </c>
      <c r="O20" s="242">
        <v>2405.17</v>
      </c>
      <c r="P20" s="242">
        <v>7341.05</v>
      </c>
      <c r="Q20" s="5">
        <f t="shared" si="2"/>
        <v>15287.34</v>
      </c>
    </row>
    <row r="21" spans="1:20">
      <c r="A21" t="s">
        <v>1116</v>
      </c>
      <c r="C21" s="178">
        <v>0</v>
      </c>
      <c r="D21" s="178">
        <v>162</v>
      </c>
      <c r="E21" s="178">
        <v>82</v>
      </c>
      <c r="F21" s="178">
        <v>96</v>
      </c>
      <c r="G21" s="178">
        <v>260</v>
      </c>
      <c r="H21" s="574">
        <f t="shared" si="0"/>
        <v>600</v>
      </c>
      <c r="J21" t="str">
        <f t="shared" si="1"/>
        <v>April</v>
      </c>
      <c r="L21" s="242">
        <v>0</v>
      </c>
      <c r="M21" s="242">
        <v>5178.03</v>
      </c>
      <c r="N21" s="242">
        <v>2517.14</v>
      </c>
      <c r="O21" s="242">
        <v>3339</v>
      </c>
      <c r="P21" s="242">
        <v>9085.7099999999991</v>
      </c>
      <c r="Q21" s="5">
        <f t="shared" si="2"/>
        <v>20119.879999999997</v>
      </c>
    </row>
    <row r="22" spans="1:20">
      <c r="A22" t="s">
        <v>1117</v>
      </c>
      <c r="C22" s="178">
        <v>0</v>
      </c>
      <c r="D22" s="178">
        <v>158</v>
      </c>
      <c r="E22" s="178">
        <v>72</v>
      </c>
      <c r="F22" s="178">
        <v>80</v>
      </c>
      <c r="G22" s="178">
        <v>239</v>
      </c>
      <c r="H22" s="574">
        <f t="shared" si="0"/>
        <v>549</v>
      </c>
      <c r="J22" t="str">
        <f t="shared" si="1"/>
        <v>May</v>
      </c>
      <c r="L22" s="242">
        <v>0</v>
      </c>
      <c r="M22" s="242">
        <v>4849.96</v>
      </c>
      <c r="N22" s="242">
        <v>2431.7800000000002</v>
      </c>
      <c r="O22" s="242">
        <v>2793.5</v>
      </c>
      <c r="P22" s="242">
        <v>8304.6200000000008</v>
      </c>
      <c r="Q22" s="5">
        <f t="shared" si="2"/>
        <v>18379.86</v>
      </c>
    </row>
    <row r="23" spans="1:20" ht="13.5" thickBot="1">
      <c r="A23" t="s">
        <v>1118</v>
      </c>
      <c r="C23" s="241">
        <v>0</v>
      </c>
      <c r="D23" s="241">
        <v>215</v>
      </c>
      <c r="E23" s="241">
        <v>77</v>
      </c>
      <c r="F23" s="241">
        <v>70</v>
      </c>
      <c r="G23" s="241">
        <v>240</v>
      </c>
      <c r="H23" s="575">
        <f t="shared" si="0"/>
        <v>602</v>
      </c>
      <c r="J23" t="str">
        <f t="shared" si="1"/>
        <v>June</v>
      </c>
      <c r="L23" s="43">
        <v>0</v>
      </c>
      <c r="M23" s="43">
        <v>6815.63</v>
      </c>
      <c r="N23" s="43">
        <v>2481.98</v>
      </c>
      <c r="O23" s="43">
        <v>2415.15</v>
      </c>
      <c r="P23" s="43">
        <v>8160.18</v>
      </c>
      <c r="Q23" s="6">
        <f t="shared" si="2"/>
        <v>19872.940000000002</v>
      </c>
    </row>
    <row r="24" spans="1:20">
      <c r="C24" s="26"/>
      <c r="D24" s="26"/>
      <c r="E24" s="26"/>
      <c r="F24" s="26"/>
      <c r="G24" s="26"/>
      <c r="H24" s="26"/>
      <c r="L24" s="5"/>
      <c r="M24" s="5"/>
      <c r="N24" s="5"/>
      <c r="O24" s="5"/>
      <c r="P24" s="5"/>
      <c r="Q24" s="5"/>
    </row>
    <row r="25" spans="1:20" ht="13.5" thickBot="1">
      <c r="B25" t="s">
        <v>27</v>
      </c>
      <c r="C25" s="125">
        <f t="shared" ref="C25:H25" si="3">SUM(C12:C23)</f>
        <v>0</v>
      </c>
      <c r="D25" s="125">
        <f t="shared" si="3"/>
        <v>2554</v>
      </c>
      <c r="E25" s="125">
        <f t="shared" si="3"/>
        <v>991</v>
      </c>
      <c r="F25" s="125">
        <f t="shared" si="3"/>
        <v>1022</v>
      </c>
      <c r="G25" s="125">
        <f t="shared" si="3"/>
        <v>2718</v>
      </c>
      <c r="H25" s="125">
        <f t="shared" si="3"/>
        <v>7285</v>
      </c>
      <c r="K25" t="s">
        <v>27</v>
      </c>
      <c r="L25" s="7">
        <f t="shared" ref="L25:Q25" si="4">SUM(L12:L23)</f>
        <v>0</v>
      </c>
      <c r="M25" s="7">
        <f t="shared" si="4"/>
        <v>83901.660000000018</v>
      </c>
      <c r="N25" s="7">
        <f t="shared" si="4"/>
        <v>32551.600000000002</v>
      </c>
      <c r="O25" s="7">
        <f t="shared" si="4"/>
        <v>36450.660000000003</v>
      </c>
      <c r="P25" s="7">
        <f t="shared" si="4"/>
        <v>93066.09</v>
      </c>
      <c r="Q25" s="7">
        <f t="shared" si="4"/>
        <v>245970.01</v>
      </c>
      <c r="T25" s="5"/>
    </row>
    <row r="26" spans="1:20" ht="13.5" thickTop="1"/>
    <row r="27" spans="1:20" ht="13.5" thickBot="1">
      <c r="C27" s="13">
        <f>+C25/H25</f>
        <v>0</v>
      </c>
      <c r="D27" s="13">
        <f>+D25/H25</f>
        <v>0.3505833905284832</v>
      </c>
      <c r="E27" s="13">
        <f>+E25/H25</f>
        <v>0.13603294440631433</v>
      </c>
      <c r="F27" s="13">
        <f>+F25/H25</f>
        <v>0.14028826355525051</v>
      </c>
      <c r="G27" s="13">
        <f>+G25/H25</f>
        <v>0.37309540150995196</v>
      </c>
      <c r="H27" s="13">
        <f>SUM(C27:G27)</f>
        <v>1</v>
      </c>
      <c r="L27" s="13">
        <f>+L25/Q25</f>
        <v>0</v>
      </c>
      <c r="M27" s="13">
        <f>+M25/Q25</f>
        <v>0.34110524287086874</v>
      </c>
      <c r="N27" s="13">
        <f>+N25/Q25</f>
        <v>0.1323397108452368</v>
      </c>
      <c r="O27" s="13">
        <f>+O25/Q25</f>
        <v>0.14819148074190022</v>
      </c>
      <c r="P27" s="13">
        <f>+P25/Q25</f>
        <v>0.3783635655419943</v>
      </c>
      <c r="Q27" s="13">
        <f>SUM(L27:P27)</f>
        <v>1</v>
      </c>
      <c r="T27" s="5"/>
    </row>
    <row r="28" spans="1:20" ht="13.5" thickTop="1"/>
    <row r="29" spans="1:20" ht="13.5" thickBot="1">
      <c r="K29" t="s">
        <v>1035</v>
      </c>
      <c r="L29" s="13">
        <f>+L25/SUM(L25:N25)</f>
        <v>0</v>
      </c>
      <c r="M29" s="13">
        <f>+M25/SUM(L25:N25)</f>
        <v>0.72047497854504028</v>
      </c>
      <c r="N29" s="13">
        <f>1-L29-M29</f>
        <v>0.27952502145495972</v>
      </c>
    </row>
    <row r="30" spans="1:20" ht="13.5" thickTop="1"/>
    <row r="31" spans="1:20">
      <c r="A31" s="93" t="s">
        <v>1036</v>
      </c>
      <c r="J31" s="93" t="s">
        <v>1037</v>
      </c>
    </row>
    <row r="32" spans="1:20">
      <c r="A32" s="93"/>
      <c r="J32" s="93"/>
    </row>
    <row r="33" spans="1:17" ht="13.5" thickBot="1">
      <c r="C33" s="3" t="s">
        <v>222</v>
      </c>
      <c r="D33" s="3" t="s">
        <v>224</v>
      </c>
      <c r="E33" s="3" t="s">
        <v>223</v>
      </c>
      <c r="F33" s="3" t="s">
        <v>378</v>
      </c>
      <c r="G33" s="3" t="s">
        <v>377</v>
      </c>
      <c r="H33" s="3" t="s">
        <v>27</v>
      </c>
      <c r="L33" s="3" t="s">
        <v>222</v>
      </c>
      <c r="M33" s="3" t="s">
        <v>224</v>
      </c>
      <c r="N33" s="3" t="s">
        <v>223</v>
      </c>
      <c r="O33" s="3" t="s">
        <v>378</v>
      </c>
      <c r="P33" s="3" t="s">
        <v>377</v>
      </c>
      <c r="Q33" s="3" t="s">
        <v>27</v>
      </c>
    </row>
    <row r="34" spans="1:17" ht="13.5" thickTop="1">
      <c r="C34" s="530"/>
      <c r="D34" s="530"/>
      <c r="E34" s="530"/>
      <c r="F34" s="530"/>
      <c r="G34" s="530"/>
      <c r="H34" s="530"/>
      <c r="L34" s="530"/>
      <c r="M34" s="530"/>
      <c r="N34" s="530"/>
      <c r="O34" s="530"/>
      <c r="P34" s="530"/>
      <c r="Q34" s="530"/>
    </row>
    <row r="35" spans="1:17">
      <c r="A35" t="str">
        <f t="shared" ref="A35:A46" si="5">+A12</f>
        <v>July</v>
      </c>
      <c r="C35" s="178">
        <v>1274</v>
      </c>
      <c r="D35" s="178">
        <v>25</v>
      </c>
      <c r="E35" s="178">
        <v>3</v>
      </c>
      <c r="F35" s="178">
        <v>0</v>
      </c>
      <c r="G35" s="178">
        <v>0</v>
      </c>
      <c r="H35" s="26">
        <f t="shared" ref="H35:H46" si="6">SUM(C35:G35)</f>
        <v>1302</v>
      </c>
      <c r="J35" t="str">
        <f t="shared" ref="J35:J46" si="7">+A35</f>
        <v>July</v>
      </c>
      <c r="L35" s="242">
        <v>50437.66</v>
      </c>
      <c r="M35" s="242">
        <v>989.75</v>
      </c>
      <c r="N35" s="242">
        <v>118.77</v>
      </c>
      <c r="O35" s="242">
        <v>0</v>
      </c>
      <c r="P35" s="242">
        <v>0</v>
      </c>
      <c r="Q35" s="5">
        <f t="shared" ref="Q35:Q46" si="8">SUM(L35:P35)</f>
        <v>51546.18</v>
      </c>
    </row>
    <row r="36" spans="1:17">
      <c r="A36" t="str">
        <f t="shared" si="5"/>
        <v>August</v>
      </c>
      <c r="C36" s="178">
        <v>1319</v>
      </c>
      <c r="D36" s="178">
        <v>13</v>
      </c>
      <c r="E36" s="178">
        <v>0</v>
      </c>
      <c r="F36" s="178">
        <v>0</v>
      </c>
      <c r="G36" s="178">
        <v>0</v>
      </c>
      <c r="H36" s="26">
        <f t="shared" si="6"/>
        <v>1332</v>
      </c>
      <c r="J36" t="str">
        <f t="shared" si="7"/>
        <v>August</v>
      </c>
      <c r="L36" s="242">
        <v>52219.21</v>
      </c>
      <c r="M36" s="242">
        <v>514.66999999999996</v>
      </c>
      <c r="N36" s="242">
        <v>0</v>
      </c>
      <c r="O36" s="242">
        <v>0</v>
      </c>
      <c r="P36" s="242">
        <v>0</v>
      </c>
      <c r="Q36" s="5">
        <f t="shared" si="8"/>
        <v>52733.88</v>
      </c>
    </row>
    <row r="37" spans="1:17">
      <c r="A37" t="str">
        <f t="shared" si="5"/>
        <v>September</v>
      </c>
      <c r="C37" s="178">
        <v>994</v>
      </c>
      <c r="D37" s="178">
        <v>15</v>
      </c>
      <c r="E37" s="178">
        <v>0</v>
      </c>
      <c r="F37" s="178">
        <v>0</v>
      </c>
      <c r="G37" s="178">
        <v>0</v>
      </c>
      <c r="H37" s="26">
        <f t="shared" si="6"/>
        <v>1009</v>
      </c>
      <c r="J37" t="str">
        <f t="shared" si="7"/>
        <v>September</v>
      </c>
      <c r="L37" s="242">
        <v>39352.46</v>
      </c>
      <c r="M37" s="242">
        <v>593.85</v>
      </c>
      <c r="N37" s="242">
        <v>0</v>
      </c>
      <c r="O37" s="242">
        <v>0</v>
      </c>
      <c r="P37" s="242">
        <v>0</v>
      </c>
      <c r="Q37" s="5">
        <f t="shared" si="8"/>
        <v>39946.31</v>
      </c>
    </row>
    <row r="38" spans="1:17">
      <c r="A38" t="str">
        <f t="shared" si="5"/>
        <v>October</v>
      </c>
      <c r="C38" s="178">
        <v>925</v>
      </c>
      <c r="D38" s="178">
        <v>15</v>
      </c>
      <c r="E38" s="178">
        <v>0</v>
      </c>
      <c r="F38" s="178">
        <v>0</v>
      </c>
      <c r="G38" s="178">
        <v>0</v>
      </c>
      <c r="H38" s="26">
        <f t="shared" si="6"/>
        <v>940</v>
      </c>
      <c r="J38" t="str">
        <f t="shared" si="7"/>
        <v>October</v>
      </c>
      <c r="L38" s="242">
        <v>36620.75</v>
      </c>
      <c r="M38" s="242">
        <v>593.85</v>
      </c>
      <c r="N38" s="242">
        <v>0</v>
      </c>
      <c r="O38" s="242">
        <v>0</v>
      </c>
      <c r="P38" s="242">
        <v>0</v>
      </c>
      <c r="Q38" s="5">
        <f t="shared" si="8"/>
        <v>37214.6</v>
      </c>
    </row>
    <row r="39" spans="1:17">
      <c r="A39" t="str">
        <f t="shared" si="5"/>
        <v xml:space="preserve">November </v>
      </c>
      <c r="C39" s="178">
        <v>825</v>
      </c>
      <c r="D39" s="178">
        <v>10</v>
      </c>
      <c r="E39" s="178">
        <v>0</v>
      </c>
      <c r="F39" s="178">
        <v>0</v>
      </c>
      <c r="G39" s="178">
        <v>0</v>
      </c>
      <c r="H39" s="26">
        <f t="shared" si="6"/>
        <v>835</v>
      </c>
      <c r="J39" t="str">
        <f t="shared" si="7"/>
        <v xml:space="preserve">November </v>
      </c>
      <c r="L39" s="242">
        <v>32661.75</v>
      </c>
      <c r="M39" s="242">
        <v>395.9</v>
      </c>
      <c r="N39" s="242">
        <v>0</v>
      </c>
      <c r="O39" s="242">
        <v>0</v>
      </c>
      <c r="P39" s="242">
        <v>0</v>
      </c>
      <c r="Q39" s="5">
        <f t="shared" si="8"/>
        <v>33057.65</v>
      </c>
    </row>
    <row r="40" spans="1:17" ht="13.5" thickBot="1">
      <c r="A40" t="str">
        <f t="shared" si="5"/>
        <v>December</v>
      </c>
      <c r="C40" s="241">
        <v>594</v>
      </c>
      <c r="D40" s="241">
        <v>8</v>
      </c>
      <c r="E40" s="241">
        <v>0</v>
      </c>
      <c r="F40" s="241">
        <v>0</v>
      </c>
      <c r="G40" s="241">
        <v>0</v>
      </c>
      <c r="H40" s="26">
        <f t="shared" si="6"/>
        <v>602</v>
      </c>
      <c r="J40" t="str">
        <f t="shared" si="7"/>
        <v>December</v>
      </c>
      <c r="L40" s="43">
        <v>23516.46</v>
      </c>
      <c r="M40" s="43">
        <v>316.72000000000003</v>
      </c>
      <c r="N40" s="43">
        <v>0</v>
      </c>
      <c r="O40" s="43">
        <v>0</v>
      </c>
      <c r="P40" s="43">
        <v>0</v>
      </c>
      <c r="Q40" s="5">
        <f t="shared" si="8"/>
        <v>23833.18</v>
      </c>
    </row>
    <row r="41" spans="1:17">
      <c r="A41" t="str">
        <f t="shared" si="5"/>
        <v>January</v>
      </c>
      <c r="C41" s="178">
        <v>718</v>
      </c>
      <c r="D41" s="178">
        <v>11</v>
      </c>
      <c r="E41" s="178">
        <v>0</v>
      </c>
      <c r="F41" s="178">
        <v>0</v>
      </c>
      <c r="G41" s="178">
        <v>0</v>
      </c>
      <c r="H41" s="26">
        <f t="shared" si="6"/>
        <v>729</v>
      </c>
      <c r="J41" t="str">
        <f t="shared" si="7"/>
        <v>January</v>
      </c>
      <c r="L41" s="242">
        <v>28425.62</v>
      </c>
      <c r="M41" s="242">
        <v>435.49</v>
      </c>
      <c r="N41" s="242">
        <v>0</v>
      </c>
      <c r="O41" s="242">
        <v>0</v>
      </c>
      <c r="P41" s="242">
        <v>0</v>
      </c>
      <c r="Q41" s="5">
        <f t="shared" si="8"/>
        <v>28861.11</v>
      </c>
    </row>
    <row r="42" spans="1:17">
      <c r="A42" t="str">
        <f t="shared" si="5"/>
        <v>February</v>
      </c>
      <c r="C42" s="178">
        <v>676</v>
      </c>
      <c r="D42" s="178">
        <v>8</v>
      </c>
      <c r="E42" s="178">
        <v>0</v>
      </c>
      <c r="F42" s="178">
        <v>0</v>
      </c>
      <c r="G42" s="178">
        <v>0</v>
      </c>
      <c r="H42" s="26">
        <f t="shared" si="6"/>
        <v>684</v>
      </c>
      <c r="J42" t="str">
        <f t="shared" si="7"/>
        <v>February</v>
      </c>
      <c r="L42" s="242">
        <v>26762.84</v>
      </c>
      <c r="M42" s="242">
        <v>316.72000000000003</v>
      </c>
      <c r="N42" s="242">
        <v>0</v>
      </c>
      <c r="O42" s="242">
        <v>0</v>
      </c>
      <c r="P42" s="242">
        <v>0</v>
      </c>
      <c r="Q42" s="5">
        <f t="shared" si="8"/>
        <v>27079.56</v>
      </c>
    </row>
    <row r="43" spans="1:17">
      <c r="A43" t="str">
        <f t="shared" si="5"/>
        <v>March</v>
      </c>
      <c r="C43" s="178">
        <v>686</v>
      </c>
      <c r="D43" s="178">
        <v>8</v>
      </c>
      <c r="E43" s="178">
        <v>0</v>
      </c>
      <c r="F43" s="178">
        <v>0</v>
      </c>
      <c r="G43" s="178">
        <v>0</v>
      </c>
      <c r="H43" s="26">
        <f t="shared" si="6"/>
        <v>694</v>
      </c>
      <c r="J43" t="str">
        <f t="shared" si="7"/>
        <v>March</v>
      </c>
      <c r="L43" s="242">
        <v>27158.74</v>
      </c>
      <c r="M43" s="242">
        <v>316.72000000000003</v>
      </c>
      <c r="N43" s="242">
        <v>0</v>
      </c>
      <c r="O43" s="242">
        <v>0</v>
      </c>
      <c r="P43" s="242">
        <v>0</v>
      </c>
      <c r="Q43" s="5">
        <f t="shared" si="8"/>
        <v>27475.460000000003</v>
      </c>
    </row>
    <row r="44" spans="1:17">
      <c r="A44" t="str">
        <f t="shared" si="5"/>
        <v>April</v>
      </c>
      <c r="C44" s="178">
        <v>870</v>
      </c>
      <c r="D44" s="178">
        <v>10</v>
      </c>
      <c r="E44" s="178">
        <v>0</v>
      </c>
      <c r="F44" s="178">
        <v>0</v>
      </c>
      <c r="G44" s="178">
        <v>0</v>
      </c>
      <c r="H44" s="26">
        <f t="shared" si="6"/>
        <v>880</v>
      </c>
      <c r="J44" t="str">
        <f t="shared" si="7"/>
        <v>April</v>
      </c>
      <c r="L44" s="242">
        <v>34443.300000000003</v>
      </c>
      <c r="M44" s="242">
        <v>395.9</v>
      </c>
      <c r="N44" s="242">
        <v>0</v>
      </c>
      <c r="O44" s="242">
        <v>0</v>
      </c>
      <c r="P44" s="242">
        <v>0</v>
      </c>
      <c r="Q44" s="5">
        <f t="shared" si="8"/>
        <v>34839.200000000004</v>
      </c>
    </row>
    <row r="45" spans="1:17">
      <c r="A45" t="str">
        <f t="shared" si="5"/>
        <v>May</v>
      </c>
      <c r="C45" s="178">
        <v>1033</v>
      </c>
      <c r="D45" s="178">
        <v>10</v>
      </c>
      <c r="E45" s="178">
        <v>3</v>
      </c>
      <c r="F45" s="178">
        <v>0</v>
      </c>
      <c r="G45" s="178">
        <v>0</v>
      </c>
      <c r="H45" s="26">
        <f t="shared" si="6"/>
        <v>1046</v>
      </c>
      <c r="J45" t="str">
        <f t="shared" si="7"/>
        <v>May</v>
      </c>
      <c r="L45" s="242">
        <v>40896.47</v>
      </c>
      <c r="M45" s="242">
        <v>395.9</v>
      </c>
      <c r="N45" s="242">
        <v>118.77</v>
      </c>
      <c r="O45" s="242">
        <v>0</v>
      </c>
      <c r="P45" s="242">
        <v>0</v>
      </c>
      <c r="Q45" s="5">
        <f t="shared" si="8"/>
        <v>41411.14</v>
      </c>
    </row>
    <row r="46" spans="1:17" ht="13.5" thickBot="1">
      <c r="A46" t="str">
        <f t="shared" si="5"/>
        <v>June</v>
      </c>
      <c r="C46" s="241">
        <v>1033</v>
      </c>
      <c r="D46" s="241">
        <v>10</v>
      </c>
      <c r="E46" s="241">
        <v>0</v>
      </c>
      <c r="F46" s="241">
        <v>10</v>
      </c>
      <c r="G46" s="241">
        <v>0</v>
      </c>
      <c r="H46" s="130">
        <f t="shared" si="6"/>
        <v>1053</v>
      </c>
      <c r="J46" t="str">
        <f t="shared" si="7"/>
        <v>June</v>
      </c>
      <c r="L46" s="43">
        <v>40896.47</v>
      </c>
      <c r="M46" s="43">
        <v>395.9</v>
      </c>
      <c r="N46" s="43">
        <v>0</v>
      </c>
      <c r="O46" s="43">
        <v>395.9</v>
      </c>
      <c r="P46" s="43">
        <v>0</v>
      </c>
      <c r="Q46" s="6">
        <f t="shared" si="8"/>
        <v>41688.270000000004</v>
      </c>
    </row>
    <row r="47" spans="1:17">
      <c r="C47" s="26"/>
      <c r="D47" s="26"/>
      <c r="E47" s="26"/>
      <c r="F47" s="26"/>
      <c r="G47" s="26"/>
      <c r="H47" s="26"/>
      <c r="L47" s="5"/>
      <c r="M47" s="5"/>
      <c r="N47" s="5"/>
      <c r="O47" s="5"/>
      <c r="P47" s="5"/>
      <c r="Q47" s="5"/>
    </row>
    <row r="48" spans="1:17" ht="13.5" thickBot="1">
      <c r="B48" t="s">
        <v>27</v>
      </c>
      <c r="C48" s="125">
        <f t="shared" ref="C48:H48" si="9">SUM(C35:C46)</f>
        <v>10947</v>
      </c>
      <c r="D48" s="125">
        <f t="shared" si="9"/>
        <v>143</v>
      </c>
      <c r="E48" s="125">
        <f t="shared" si="9"/>
        <v>6</v>
      </c>
      <c r="F48" s="125">
        <f t="shared" si="9"/>
        <v>10</v>
      </c>
      <c r="G48" s="125">
        <f t="shared" si="9"/>
        <v>0</v>
      </c>
      <c r="H48" s="125">
        <f t="shared" si="9"/>
        <v>11106</v>
      </c>
      <c r="K48" t="s">
        <v>27</v>
      </c>
      <c r="L48" s="7">
        <f t="shared" ref="L48:Q48" si="10">SUM(L35:L46)</f>
        <v>433391.73</v>
      </c>
      <c r="M48" s="7">
        <f t="shared" si="10"/>
        <v>5661.369999999999</v>
      </c>
      <c r="N48" s="7">
        <f t="shared" si="10"/>
        <v>237.54</v>
      </c>
      <c r="O48" s="7">
        <f t="shared" si="10"/>
        <v>395.9</v>
      </c>
      <c r="P48" s="7">
        <f t="shared" si="10"/>
        <v>0</v>
      </c>
      <c r="Q48" s="7">
        <f t="shared" si="10"/>
        <v>439686.54000000004</v>
      </c>
    </row>
    <row r="49" spans="1:19" ht="13.5" thickTop="1"/>
    <row r="50" spans="1:19" ht="13.5" thickBot="1">
      <c r="C50" s="13">
        <f>+C48/H48</f>
        <v>0.98568341437061047</v>
      </c>
      <c r="D50" s="13">
        <f>+D48/H48</f>
        <v>1.2875922924545291E-2</v>
      </c>
      <c r="E50" s="13">
        <f>+E48/H48</f>
        <v>5.4024851431658564E-4</v>
      </c>
      <c r="F50" s="13">
        <f>+F48/H48</f>
        <v>9.004141905276427E-4</v>
      </c>
      <c r="G50" s="13">
        <f>+G48/H48</f>
        <v>0</v>
      </c>
      <c r="H50" s="13">
        <f>SUM(C50:G50)</f>
        <v>1</v>
      </c>
      <c r="L50" s="13">
        <f>+L48/Q48</f>
        <v>0.98568341437061036</v>
      </c>
      <c r="M50" s="13">
        <f>+M48/Q48</f>
        <v>1.2875922924545287E-2</v>
      </c>
      <c r="N50" s="13">
        <f>+N48/Q48</f>
        <v>5.4024851431658553E-4</v>
      </c>
      <c r="O50" s="13">
        <f>+O48/Q48</f>
        <v>9.0041419052764259E-4</v>
      </c>
      <c r="P50" s="13">
        <f>+P48/Q48</f>
        <v>0</v>
      </c>
      <c r="Q50" s="13">
        <f>SUM(L50:P50)</f>
        <v>0.99999999999999989</v>
      </c>
    </row>
    <row r="51" spans="1:19" ht="13.5" thickTop="1"/>
    <row r="52" spans="1:19" ht="13.5" thickBot="1">
      <c r="K52" t="s">
        <v>1035</v>
      </c>
      <c r="L52" s="13">
        <f>+L48/SUM(L48:N48)</f>
        <v>0.9865717375630858</v>
      </c>
      <c r="M52" s="13">
        <f>+M48/SUM(L48:N48)</f>
        <v>1.2887527036770006E-2</v>
      </c>
      <c r="N52" s="13">
        <f>1-L52-M52</f>
        <v>5.4073540014418914E-4</v>
      </c>
    </row>
    <row r="53" spans="1:19" ht="13.5" thickTop="1"/>
    <row r="54" spans="1:19">
      <c r="A54" s="93" t="s">
        <v>1260</v>
      </c>
      <c r="J54" s="93" t="s">
        <v>1261</v>
      </c>
    </row>
    <row r="55" spans="1:19">
      <c r="A55" s="93"/>
      <c r="J55" s="93"/>
    </row>
    <row r="56" spans="1:19" ht="13.5" thickBot="1">
      <c r="C56" s="3" t="s">
        <v>222</v>
      </c>
      <c r="D56" s="3" t="s">
        <v>224</v>
      </c>
      <c r="E56" s="3" t="s">
        <v>223</v>
      </c>
      <c r="F56" s="3" t="s">
        <v>378</v>
      </c>
      <c r="G56" s="3" t="s">
        <v>377</v>
      </c>
      <c r="H56" s="3" t="s">
        <v>27</v>
      </c>
      <c r="L56" s="3" t="s">
        <v>222</v>
      </c>
      <c r="M56" s="3" t="s">
        <v>224</v>
      </c>
      <c r="N56" s="3" t="s">
        <v>223</v>
      </c>
      <c r="O56" s="3" t="s">
        <v>378</v>
      </c>
      <c r="P56" s="3" t="s">
        <v>377</v>
      </c>
      <c r="Q56" s="3" t="s">
        <v>27</v>
      </c>
    </row>
    <row r="57" spans="1:19" ht="13.5" thickTop="1">
      <c r="C57" s="530"/>
      <c r="D57" s="530"/>
      <c r="E57" s="530"/>
      <c r="F57" s="530"/>
      <c r="G57" s="530"/>
      <c r="H57" s="530"/>
      <c r="L57" s="530"/>
      <c r="M57" s="530"/>
      <c r="N57" s="530"/>
      <c r="O57" s="530"/>
      <c r="P57" s="530"/>
      <c r="Q57" s="530"/>
    </row>
    <row r="58" spans="1:19">
      <c r="A58" t="str">
        <f t="shared" ref="A58:A69" si="11">+A35</f>
        <v>July</v>
      </c>
      <c r="C58" s="178">
        <v>50</v>
      </c>
      <c r="D58" s="178">
        <v>0</v>
      </c>
      <c r="E58" s="178">
        <v>0</v>
      </c>
      <c r="F58" s="178">
        <v>0</v>
      </c>
      <c r="G58" s="178">
        <v>0</v>
      </c>
      <c r="H58" s="26">
        <f t="shared" ref="H58:H69" si="12">SUM(C58:G58)</f>
        <v>50</v>
      </c>
      <c r="J58" t="str">
        <f t="shared" ref="J58:J69" si="13">+A58</f>
        <v>July</v>
      </c>
      <c r="L58" s="242">
        <v>0</v>
      </c>
      <c r="M58" s="242">
        <v>0</v>
      </c>
      <c r="N58" s="242">
        <v>0</v>
      </c>
      <c r="O58" s="242">
        <v>0</v>
      </c>
      <c r="P58" s="242">
        <v>0</v>
      </c>
      <c r="Q58" s="5">
        <f>SUM(L58:P58)</f>
        <v>0</v>
      </c>
    </row>
    <row r="59" spans="1:19">
      <c r="A59" t="str">
        <f t="shared" si="11"/>
        <v>August</v>
      </c>
      <c r="C59" s="178">
        <v>60</v>
      </c>
      <c r="D59" s="178">
        <v>0</v>
      </c>
      <c r="E59" s="178">
        <v>0</v>
      </c>
      <c r="F59" s="178">
        <v>0</v>
      </c>
      <c r="G59" s="178">
        <v>0</v>
      </c>
      <c r="H59" s="26">
        <f t="shared" si="12"/>
        <v>60</v>
      </c>
      <c r="J59" t="str">
        <f t="shared" si="13"/>
        <v>August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5">
        <f>SUM(L59:P59)</f>
        <v>0</v>
      </c>
      <c r="R59" s="242"/>
    </row>
    <row r="60" spans="1:19">
      <c r="A60" t="str">
        <f t="shared" si="11"/>
        <v>September</v>
      </c>
      <c r="C60" s="178">
        <v>39</v>
      </c>
      <c r="D60" s="178">
        <v>0</v>
      </c>
      <c r="E60" s="178">
        <v>0</v>
      </c>
      <c r="F60" s="178">
        <v>0</v>
      </c>
      <c r="G60" s="178">
        <v>0</v>
      </c>
      <c r="H60" s="26">
        <f t="shared" si="12"/>
        <v>39</v>
      </c>
      <c r="J60" t="str">
        <f t="shared" si="13"/>
        <v>September</v>
      </c>
      <c r="L60" s="242">
        <v>1684.22</v>
      </c>
      <c r="M60" s="242">
        <v>0</v>
      </c>
      <c r="N60" s="242">
        <v>0</v>
      </c>
      <c r="O60" s="242">
        <v>0</v>
      </c>
      <c r="P60" s="242">
        <v>0</v>
      </c>
      <c r="Q60" s="5">
        <f>SUM(L60:P60)</f>
        <v>1684.22</v>
      </c>
      <c r="R60" s="242" t="s">
        <v>1422</v>
      </c>
    </row>
    <row r="61" spans="1:19">
      <c r="A61" t="str">
        <f t="shared" si="11"/>
        <v>October</v>
      </c>
      <c r="C61" s="178">
        <v>30</v>
      </c>
      <c r="D61" s="178">
        <v>0</v>
      </c>
      <c r="E61" s="178">
        <v>0</v>
      </c>
      <c r="F61" s="178">
        <v>0</v>
      </c>
      <c r="G61" s="178">
        <v>0</v>
      </c>
      <c r="H61" s="26">
        <f t="shared" si="12"/>
        <v>30</v>
      </c>
      <c r="J61" t="str">
        <f t="shared" si="13"/>
        <v>October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5">
        <f t="shared" ref="Q61:Q69" si="14">SUM(L61:P61)</f>
        <v>0</v>
      </c>
    </row>
    <row r="62" spans="1:19">
      <c r="A62" t="str">
        <f t="shared" si="11"/>
        <v xml:space="preserve">November </v>
      </c>
      <c r="C62" s="178">
        <v>30</v>
      </c>
      <c r="D62" s="178">
        <v>0</v>
      </c>
      <c r="E62" s="178">
        <v>0</v>
      </c>
      <c r="F62" s="178">
        <v>0</v>
      </c>
      <c r="G62" s="178">
        <v>0</v>
      </c>
      <c r="H62" s="26">
        <f t="shared" si="12"/>
        <v>30</v>
      </c>
      <c r="J62" t="str">
        <f t="shared" si="13"/>
        <v xml:space="preserve">November </v>
      </c>
      <c r="L62" s="242">
        <v>1870.2</v>
      </c>
      <c r="M62" s="242">
        <v>0</v>
      </c>
      <c r="N62" s="242">
        <v>0</v>
      </c>
      <c r="O62" s="242">
        <v>0</v>
      </c>
      <c r="P62" s="242">
        <v>0</v>
      </c>
      <c r="Q62" s="5">
        <f t="shared" si="14"/>
        <v>1870.2</v>
      </c>
      <c r="R62" s="506">
        <v>20.78</v>
      </c>
      <c r="S62" t="s">
        <v>1059</v>
      </c>
    </row>
    <row r="63" spans="1:19" ht="13.5" thickBot="1">
      <c r="A63" t="str">
        <f t="shared" si="11"/>
        <v>December</v>
      </c>
      <c r="C63" s="241">
        <v>25</v>
      </c>
      <c r="D63" s="241">
        <v>0</v>
      </c>
      <c r="E63" s="241">
        <v>0</v>
      </c>
      <c r="F63" s="241">
        <v>0</v>
      </c>
      <c r="G63" s="241">
        <v>0</v>
      </c>
      <c r="H63" s="26">
        <f t="shared" si="12"/>
        <v>25</v>
      </c>
      <c r="J63" t="str">
        <f t="shared" si="13"/>
        <v>December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5">
        <f t="shared" si="14"/>
        <v>0</v>
      </c>
    </row>
    <row r="64" spans="1:19">
      <c r="A64" t="str">
        <f t="shared" si="11"/>
        <v>January</v>
      </c>
      <c r="C64" s="178">
        <v>33</v>
      </c>
      <c r="D64" s="178">
        <v>0</v>
      </c>
      <c r="E64" s="178">
        <v>0</v>
      </c>
      <c r="F64" s="178">
        <v>0</v>
      </c>
      <c r="G64" s="178">
        <v>0</v>
      </c>
      <c r="H64" s="26">
        <f t="shared" si="12"/>
        <v>33</v>
      </c>
      <c r="J64" t="str">
        <f t="shared" si="13"/>
        <v>January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5">
        <f t="shared" si="14"/>
        <v>0</v>
      </c>
      <c r="R64" s="506"/>
    </row>
    <row r="65" spans="1:19">
      <c r="A65" t="str">
        <f t="shared" si="11"/>
        <v>February</v>
      </c>
      <c r="C65" s="178">
        <v>28</v>
      </c>
      <c r="D65" s="178">
        <v>0</v>
      </c>
      <c r="E65" s="178">
        <v>0</v>
      </c>
      <c r="F65" s="178">
        <v>0</v>
      </c>
      <c r="G65" s="178">
        <v>0</v>
      </c>
      <c r="H65" s="26">
        <f t="shared" si="12"/>
        <v>28</v>
      </c>
      <c r="J65" t="str">
        <f t="shared" si="13"/>
        <v>February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5">
        <f t="shared" si="14"/>
        <v>0</v>
      </c>
    </row>
    <row r="66" spans="1:19">
      <c r="A66" t="str">
        <f t="shared" si="11"/>
        <v>March</v>
      </c>
      <c r="C66" s="178">
        <v>23</v>
      </c>
      <c r="D66" s="178">
        <v>0</v>
      </c>
      <c r="E66" s="178">
        <v>0</v>
      </c>
      <c r="F66" s="178">
        <v>0</v>
      </c>
      <c r="G66" s="178">
        <v>0</v>
      </c>
      <c r="H66" s="26">
        <f t="shared" si="12"/>
        <v>23</v>
      </c>
      <c r="J66" t="str">
        <f t="shared" si="13"/>
        <v>March</v>
      </c>
      <c r="L66" s="242">
        <v>0</v>
      </c>
      <c r="M66" s="242">
        <v>0</v>
      </c>
      <c r="N66" s="242">
        <v>0</v>
      </c>
      <c r="O66" s="242">
        <v>0</v>
      </c>
      <c r="P66" s="242">
        <v>0</v>
      </c>
      <c r="Q66" s="5">
        <f t="shared" si="14"/>
        <v>0</v>
      </c>
    </row>
    <row r="67" spans="1:19">
      <c r="A67" t="str">
        <f t="shared" si="11"/>
        <v>April</v>
      </c>
      <c r="C67" s="178">
        <v>27</v>
      </c>
      <c r="D67" s="178">
        <v>0</v>
      </c>
      <c r="E67" s="178">
        <v>0</v>
      </c>
      <c r="F67" s="178">
        <v>0</v>
      </c>
      <c r="G67" s="178">
        <v>0</v>
      </c>
      <c r="H67" s="26">
        <f t="shared" si="12"/>
        <v>27</v>
      </c>
      <c r="J67" t="str">
        <f t="shared" si="13"/>
        <v>April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5">
        <f t="shared" si="14"/>
        <v>0</v>
      </c>
    </row>
    <row r="68" spans="1:19">
      <c r="A68" t="str">
        <f t="shared" si="11"/>
        <v>May</v>
      </c>
      <c r="C68" s="178">
        <v>27</v>
      </c>
      <c r="D68" s="178">
        <v>0</v>
      </c>
      <c r="E68" s="178">
        <v>0</v>
      </c>
      <c r="F68" s="178">
        <v>0</v>
      </c>
      <c r="G68" s="178">
        <v>0</v>
      </c>
      <c r="H68" s="26">
        <f t="shared" si="12"/>
        <v>27</v>
      </c>
      <c r="J68" t="str">
        <f t="shared" si="13"/>
        <v>May</v>
      </c>
      <c r="L68" s="242">
        <v>2659.65</v>
      </c>
      <c r="M68" s="242">
        <v>0</v>
      </c>
      <c r="N68" s="242">
        <v>0</v>
      </c>
      <c r="O68" s="242">
        <v>0</v>
      </c>
      <c r="P68" s="242">
        <v>0</v>
      </c>
      <c r="Q68" s="5">
        <f t="shared" si="14"/>
        <v>2659.65</v>
      </c>
      <c r="R68" s="506">
        <v>31.29</v>
      </c>
      <c r="S68" t="s">
        <v>1059</v>
      </c>
    </row>
    <row r="69" spans="1:19" ht="13.5" thickBot="1">
      <c r="A69" t="str">
        <f t="shared" si="11"/>
        <v>June</v>
      </c>
      <c r="C69" s="241">
        <v>26</v>
      </c>
      <c r="D69" s="241">
        <v>0</v>
      </c>
      <c r="E69" s="241">
        <v>0</v>
      </c>
      <c r="F69" s="241">
        <v>0</v>
      </c>
      <c r="G69" s="241">
        <v>0</v>
      </c>
      <c r="H69" s="130">
        <f t="shared" si="12"/>
        <v>26</v>
      </c>
      <c r="J69" t="str">
        <f t="shared" si="13"/>
        <v>June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6">
        <f t="shared" si="14"/>
        <v>0</v>
      </c>
      <c r="R69" s="242"/>
    </row>
    <row r="70" spans="1:19">
      <c r="C70" s="26"/>
      <c r="D70" s="26"/>
      <c r="E70" s="26"/>
      <c r="F70" s="26"/>
      <c r="G70" s="26"/>
      <c r="H70" s="26"/>
      <c r="L70" s="5"/>
      <c r="M70" s="5"/>
      <c r="N70" s="5"/>
      <c r="O70" s="5"/>
      <c r="P70" s="5"/>
      <c r="Q70" s="5"/>
    </row>
    <row r="71" spans="1:19" ht="13.5" thickBot="1">
      <c r="B71" t="s">
        <v>27</v>
      </c>
      <c r="C71" s="125">
        <f t="shared" ref="C71:H71" si="15">SUM(C58:C69)</f>
        <v>398</v>
      </c>
      <c r="D71" s="125">
        <f t="shared" si="15"/>
        <v>0</v>
      </c>
      <c r="E71" s="125">
        <f t="shared" si="15"/>
        <v>0</v>
      </c>
      <c r="F71" s="125">
        <f t="shared" si="15"/>
        <v>0</v>
      </c>
      <c r="G71" s="125">
        <f t="shared" si="15"/>
        <v>0</v>
      </c>
      <c r="H71" s="125">
        <f t="shared" si="15"/>
        <v>398</v>
      </c>
      <c r="K71" t="s">
        <v>27</v>
      </c>
      <c r="L71" s="7">
        <f t="shared" ref="L71:Q71" si="16">SUM(L58:L69)</f>
        <v>6214.07</v>
      </c>
      <c r="M71" s="7">
        <f t="shared" si="16"/>
        <v>0</v>
      </c>
      <c r="N71" s="7">
        <f t="shared" si="16"/>
        <v>0</v>
      </c>
      <c r="O71" s="7">
        <f t="shared" si="16"/>
        <v>0</v>
      </c>
      <c r="P71" s="7">
        <f t="shared" si="16"/>
        <v>0</v>
      </c>
      <c r="Q71" s="7">
        <f t="shared" si="16"/>
        <v>6214.07</v>
      </c>
    </row>
    <row r="72" spans="1:19" ht="13.5" thickTop="1"/>
    <row r="73" spans="1:19" ht="13.5" thickBot="1">
      <c r="C73" s="13">
        <f>+C71/H71</f>
        <v>1</v>
      </c>
      <c r="D73" s="13">
        <f>+D71/H71</f>
        <v>0</v>
      </c>
      <c r="E73" s="13">
        <f>+E71/H71</f>
        <v>0</v>
      </c>
      <c r="F73" s="13">
        <f>+F71/H71</f>
        <v>0</v>
      </c>
      <c r="G73" s="13">
        <f>+G71/H71</f>
        <v>0</v>
      </c>
      <c r="H73" s="13">
        <f>SUM(C73:G73)</f>
        <v>1</v>
      </c>
      <c r="L73" s="13">
        <f>+L71/Q71</f>
        <v>1</v>
      </c>
      <c r="M73" s="13">
        <f>+M71/Q71</f>
        <v>0</v>
      </c>
      <c r="N73" s="13">
        <f>+N71/Q71</f>
        <v>0</v>
      </c>
      <c r="O73" s="13">
        <f>+O71/Q71</f>
        <v>0</v>
      </c>
      <c r="P73" s="13">
        <f>+P71/Q71</f>
        <v>0</v>
      </c>
      <c r="Q73" s="13">
        <f>SUM(L73:P73)</f>
        <v>1</v>
      </c>
    </row>
    <row r="74" spans="1:19" ht="13.5" thickTop="1"/>
    <row r="75" spans="1:19" ht="13.5" thickBot="1">
      <c r="K75" t="s">
        <v>1035</v>
      </c>
      <c r="L75" s="13">
        <f>+L71/SUM(L71:N71)</f>
        <v>1</v>
      </c>
      <c r="M75" s="13">
        <f>+M71/SUM(L71:N71)</f>
        <v>0</v>
      </c>
      <c r="N75" s="13">
        <f>1-L75-M75</f>
        <v>0</v>
      </c>
    </row>
    <row r="76" spans="1:19" ht="13.5" thickTop="1"/>
    <row r="78" spans="1:19">
      <c r="A78" s="93" t="s">
        <v>1262</v>
      </c>
      <c r="J78" s="93" t="s">
        <v>1263</v>
      </c>
    </row>
    <row r="79" spans="1:19">
      <c r="A79" s="93"/>
      <c r="J79" s="93"/>
    </row>
    <row r="80" spans="1:19" ht="13.5" thickBot="1">
      <c r="C80" s="3" t="s">
        <v>222</v>
      </c>
      <c r="D80" s="3" t="s">
        <v>224</v>
      </c>
      <c r="E80" s="3" t="s">
        <v>223</v>
      </c>
      <c r="F80" s="3" t="s">
        <v>378</v>
      </c>
      <c r="G80" s="3" t="s">
        <v>377</v>
      </c>
      <c r="H80" s="3" t="s">
        <v>27</v>
      </c>
      <c r="L80" s="3" t="s">
        <v>222</v>
      </c>
      <c r="M80" s="3" t="s">
        <v>224</v>
      </c>
      <c r="N80" s="3" t="s">
        <v>223</v>
      </c>
      <c r="O80" s="3" t="s">
        <v>378</v>
      </c>
      <c r="P80" s="3" t="s">
        <v>377</v>
      </c>
      <c r="Q80" s="3" t="s">
        <v>27</v>
      </c>
    </row>
    <row r="81" spans="1:17" ht="13.5" thickTop="1">
      <c r="C81" s="530"/>
      <c r="D81" s="530"/>
      <c r="E81" s="530"/>
      <c r="F81" s="530"/>
      <c r="G81" s="530"/>
      <c r="H81" s="530"/>
      <c r="L81" s="530"/>
      <c r="M81" s="530"/>
      <c r="N81" s="530"/>
      <c r="O81" s="530"/>
      <c r="P81" s="530"/>
      <c r="Q81" s="530"/>
    </row>
    <row r="82" spans="1:17">
      <c r="A82" t="str">
        <f t="shared" ref="A82:A93" si="17">A58</f>
        <v>July</v>
      </c>
      <c r="C82" s="178">
        <v>61</v>
      </c>
      <c r="D82" s="178">
        <v>0</v>
      </c>
      <c r="E82" s="178">
        <v>0</v>
      </c>
      <c r="F82" s="178">
        <v>0</v>
      </c>
      <c r="G82" s="178">
        <v>0</v>
      </c>
      <c r="H82" s="26">
        <f t="shared" ref="H82:H93" si="18">SUM(C82:G82)</f>
        <v>61</v>
      </c>
      <c r="J82" t="str">
        <f t="shared" ref="J82:J93" si="19">+A82</f>
        <v>July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5">
        <f t="shared" ref="Q82:Q93" si="20">SUM(L82:P82)</f>
        <v>0</v>
      </c>
    </row>
    <row r="83" spans="1:17">
      <c r="A83" t="str">
        <f t="shared" si="17"/>
        <v>August</v>
      </c>
      <c r="C83" s="178">
        <v>30</v>
      </c>
      <c r="D83" s="178">
        <v>0</v>
      </c>
      <c r="E83" s="178">
        <v>0</v>
      </c>
      <c r="F83" s="178">
        <v>0</v>
      </c>
      <c r="G83" s="178">
        <v>0</v>
      </c>
      <c r="H83" s="26">
        <f t="shared" si="18"/>
        <v>30</v>
      </c>
      <c r="J83" t="str">
        <f t="shared" si="19"/>
        <v>August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5">
        <f t="shared" si="20"/>
        <v>0</v>
      </c>
    </row>
    <row r="84" spans="1:17">
      <c r="A84" t="str">
        <f t="shared" si="17"/>
        <v>September</v>
      </c>
      <c r="C84" s="178">
        <v>48</v>
      </c>
      <c r="D84" s="178">
        <v>0</v>
      </c>
      <c r="E84" s="178">
        <v>0</v>
      </c>
      <c r="F84" s="178">
        <v>0</v>
      </c>
      <c r="G84" s="178">
        <v>0</v>
      </c>
      <c r="H84" s="26">
        <f t="shared" si="18"/>
        <v>48</v>
      </c>
      <c r="J84" t="str">
        <f t="shared" si="19"/>
        <v>September</v>
      </c>
      <c r="L84" s="242">
        <v>0</v>
      </c>
      <c r="M84" s="242">
        <v>0</v>
      </c>
      <c r="N84" s="242">
        <v>0</v>
      </c>
      <c r="O84" s="242">
        <v>0</v>
      </c>
      <c r="P84" s="242">
        <v>0</v>
      </c>
      <c r="Q84" s="5">
        <f t="shared" si="20"/>
        <v>0</v>
      </c>
    </row>
    <row r="85" spans="1:17">
      <c r="A85" t="str">
        <f t="shared" si="17"/>
        <v>October</v>
      </c>
      <c r="C85" s="178">
        <v>31</v>
      </c>
      <c r="D85" s="178">
        <v>0</v>
      </c>
      <c r="E85" s="178">
        <v>0</v>
      </c>
      <c r="F85" s="178">
        <v>0</v>
      </c>
      <c r="G85" s="178">
        <v>0</v>
      </c>
      <c r="H85" s="26">
        <f t="shared" si="18"/>
        <v>31</v>
      </c>
      <c r="J85" t="str">
        <f t="shared" si="19"/>
        <v>October</v>
      </c>
      <c r="L85" s="242">
        <v>0</v>
      </c>
      <c r="M85" s="242">
        <v>0</v>
      </c>
      <c r="N85" s="242">
        <v>0</v>
      </c>
      <c r="O85" s="242">
        <v>0</v>
      </c>
      <c r="P85" s="242">
        <v>0</v>
      </c>
      <c r="Q85" s="5">
        <f t="shared" si="20"/>
        <v>0</v>
      </c>
    </row>
    <row r="86" spans="1:17">
      <c r="A86" t="str">
        <f t="shared" si="17"/>
        <v xml:space="preserve">November </v>
      </c>
      <c r="C86" s="178">
        <v>30</v>
      </c>
      <c r="D86" s="178">
        <v>0</v>
      </c>
      <c r="E86" s="178">
        <v>0</v>
      </c>
      <c r="F86" s="178">
        <v>0</v>
      </c>
      <c r="G86" s="178">
        <v>0</v>
      </c>
      <c r="H86" s="26">
        <f t="shared" si="18"/>
        <v>30</v>
      </c>
      <c r="J86" t="str">
        <f t="shared" si="19"/>
        <v xml:space="preserve">November </v>
      </c>
      <c r="L86" s="242">
        <v>0</v>
      </c>
      <c r="M86" s="242">
        <v>0</v>
      </c>
      <c r="N86" s="242">
        <v>0</v>
      </c>
      <c r="O86" s="242">
        <v>0</v>
      </c>
      <c r="P86" s="242">
        <v>0</v>
      </c>
      <c r="Q86" s="5">
        <f t="shared" si="20"/>
        <v>0</v>
      </c>
    </row>
    <row r="87" spans="1:17" ht="13.5" thickBot="1">
      <c r="A87" t="str">
        <f t="shared" si="17"/>
        <v>December</v>
      </c>
      <c r="C87" s="241">
        <v>22</v>
      </c>
      <c r="D87" s="241">
        <v>0</v>
      </c>
      <c r="E87" s="241">
        <v>0</v>
      </c>
      <c r="F87" s="241">
        <v>0</v>
      </c>
      <c r="G87" s="241">
        <v>0</v>
      </c>
      <c r="H87" s="26">
        <f t="shared" si="18"/>
        <v>22</v>
      </c>
      <c r="J87" t="str">
        <f t="shared" si="19"/>
        <v>December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5">
        <f t="shared" si="20"/>
        <v>0</v>
      </c>
    </row>
    <row r="88" spans="1:17">
      <c r="A88" t="str">
        <f t="shared" si="17"/>
        <v>January</v>
      </c>
      <c r="C88" s="178">
        <v>23</v>
      </c>
      <c r="D88" s="178">
        <v>0</v>
      </c>
      <c r="E88" s="178">
        <v>0</v>
      </c>
      <c r="F88" s="178">
        <v>0</v>
      </c>
      <c r="G88" s="178">
        <v>0</v>
      </c>
      <c r="H88" s="26">
        <f t="shared" si="18"/>
        <v>23</v>
      </c>
      <c r="J88" t="str">
        <f t="shared" si="19"/>
        <v>January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5">
        <f t="shared" si="20"/>
        <v>0</v>
      </c>
    </row>
    <row r="89" spans="1:17">
      <c r="A89" t="str">
        <f t="shared" si="17"/>
        <v>February</v>
      </c>
      <c r="C89" s="178">
        <v>26</v>
      </c>
      <c r="D89" s="178">
        <v>0</v>
      </c>
      <c r="E89" s="178">
        <v>0</v>
      </c>
      <c r="F89" s="178">
        <v>0</v>
      </c>
      <c r="G89" s="178">
        <v>0</v>
      </c>
      <c r="H89" s="26">
        <f t="shared" si="18"/>
        <v>26</v>
      </c>
      <c r="J89" t="str">
        <f t="shared" si="19"/>
        <v>February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5">
        <f t="shared" si="20"/>
        <v>0</v>
      </c>
    </row>
    <row r="90" spans="1:17">
      <c r="A90" t="str">
        <f t="shared" si="17"/>
        <v>March</v>
      </c>
      <c r="C90" s="178">
        <v>42</v>
      </c>
      <c r="D90" s="178">
        <v>0</v>
      </c>
      <c r="E90" s="178">
        <v>0</v>
      </c>
      <c r="F90" s="178">
        <v>0</v>
      </c>
      <c r="G90" s="178">
        <v>0</v>
      </c>
      <c r="H90" s="26">
        <f t="shared" si="18"/>
        <v>42</v>
      </c>
      <c r="J90" t="str">
        <f t="shared" si="19"/>
        <v>March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5">
        <f t="shared" si="20"/>
        <v>0</v>
      </c>
    </row>
    <row r="91" spans="1:17">
      <c r="A91" t="str">
        <f t="shared" si="17"/>
        <v>April</v>
      </c>
      <c r="C91" s="178">
        <v>24</v>
      </c>
      <c r="D91" s="178">
        <v>0</v>
      </c>
      <c r="E91" s="178">
        <v>0</v>
      </c>
      <c r="F91" s="178">
        <v>0</v>
      </c>
      <c r="G91" s="178">
        <v>0</v>
      </c>
      <c r="H91" s="26">
        <f t="shared" si="18"/>
        <v>24</v>
      </c>
      <c r="J91" t="str">
        <f t="shared" si="19"/>
        <v>April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5">
        <f t="shared" si="20"/>
        <v>0</v>
      </c>
    </row>
    <row r="92" spans="1:17">
      <c r="A92" t="str">
        <f t="shared" si="17"/>
        <v>May</v>
      </c>
      <c r="C92" s="178">
        <v>75</v>
      </c>
      <c r="D92" s="178">
        <v>0</v>
      </c>
      <c r="E92" s="178">
        <v>0</v>
      </c>
      <c r="F92" s="178">
        <v>0</v>
      </c>
      <c r="G92" s="178">
        <v>0</v>
      </c>
      <c r="H92" s="26">
        <f t="shared" si="18"/>
        <v>75</v>
      </c>
      <c r="J92" t="str">
        <f t="shared" si="19"/>
        <v>May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5">
        <f t="shared" si="20"/>
        <v>0</v>
      </c>
    </row>
    <row r="93" spans="1:17" ht="13.5" thickBot="1">
      <c r="A93" t="str">
        <f t="shared" si="17"/>
        <v>June</v>
      </c>
      <c r="C93" s="241">
        <v>57</v>
      </c>
      <c r="D93" s="241">
        <v>0</v>
      </c>
      <c r="E93" s="241">
        <v>0</v>
      </c>
      <c r="F93" s="241">
        <v>0</v>
      </c>
      <c r="G93" s="241">
        <v>0</v>
      </c>
      <c r="H93" s="130">
        <f t="shared" si="18"/>
        <v>57</v>
      </c>
      <c r="J93" t="str">
        <f t="shared" si="19"/>
        <v>June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6">
        <f t="shared" si="20"/>
        <v>0</v>
      </c>
    </row>
    <row r="94" spans="1:17">
      <c r="C94" s="26"/>
      <c r="D94" s="26"/>
      <c r="E94" s="26"/>
      <c r="F94" s="26"/>
      <c r="G94" s="26"/>
      <c r="H94" s="26"/>
      <c r="L94" s="5"/>
      <c r="M94" s="5"/>
      <c r="N94" s="5"/>
      <c r="O94" s="5"/>
      <c r="P94" s="5"/>
      <c r="Q94" s="5"/>
    </row>
    <row r="95" spans="1:17" ht="13.5" thickBot="1">
      <c r="B95" t="s">
        <v>27</v>
      </c>
      <c r="C95" s="125">
        <f t="shared" ref="C95:H95" si="21">SUM(C82:C93)</f>
        <v>469</v>
      </c>
      <c r="D95" s="125">
        <f t="shared" si="21"/>
        <v>0</v>
      </c>
      <c r="E95" s="125">
        <f t="shared" si="21"/>
        <v>0</v>
      </c>
      <c r="F95" s="125">
        <f t="shared" si="21"/>
        <v>0</v>
      </c>
      <c r="G95" s="125">
        <f t="shared" si="21"/>
        <v>0</v>
      </c>
      <c r="H95" s="125">
        <f t="shared" si="21"/>
        <v>469</v>
      </c>
      <c r="K95" t="s">
        <v>27</v>
      </c>
      <c r="L95" s="7">
        <f t="shared" ref="L95:Q95" si="22">SUM(L82:L93)</f>
        <v>0</v>
      </c>
      <c r="M95" s="7">
        <f t="shared" si="22"/>
        <v>0</v>
      </c>
      <c r="N95" s="7">
        <f t="shared" si="22"/>
        <v>0</v>
      </c>
      <c r="O95" s="7">
        <f t="shared" si="22"/>
        <v>0</v>
      </c>
      <c r="P95" s="7">
        <f t="shared" si="22"/>
        <v>0</v>
      </c>
      <c r="Q95" s="7">
        <f t="shared" si="22"/>
        <v>0</v>
      </c>
    </row>
    <row r="96" spans="1:17" ht="13.5" thickTop="1"/>
    <row r="97" spans="3:17" ht="13.5" thickBot="1">
      <c r="C97" s="13">
        <f>+C95/H95</f>
        <v>1</v>
      </c>
      <c r="D97" s="13">
        <f>+D95/H95</f>
        <v>0</v>
      </c>
      <c r="E97" s="13">
        <f>+E95/H95</f>
        <v>0</v>
      </c>
      <c r="F97" s="13">
        <f>+F95/H95</f>
        <v>0</v>
      </c>
      <c r="G97" s="13">
        <f>+G95/H95</f>
        <v>0</v>
      </c>
      <c r="H97" s="13">
        <f>SUM(C97:G97)</f>
        <v>1</v>
      </c>
      <c r="L97" s="13" t="e">
        <f>+L95/Q95</f>
        <v>#DIV/0!</v>
      </c>
      <c r="M97" s="13" t="e">
        <f>+M95/Q95</f>
        <v>#DIV/0!</v>
      </c>
      <c r="N97" s="13" t="e">
        <f>+N95/Q95</f>
        <v>#DIV/0!</v>
      </c>
      <c r="O97" s="13" t="e">
        <f>+O95/Q95</f>
        <v>#DIV/0!</v>
      </c>
      <c r="P97" s="13" t="e">
        <f>+P95/Q95</f>
        <v>#DIV/0!</v>
      </c>
      <c r="Q97" s="13" t="e">
        <f>SUM(L97:P97)</f>
        <v>#DIV/0!</v>
      </c>
    </row>
    <row r="98" spans="3:17" ht="13.5" thickTop="1"/>
    <row r="99" spans="3:17" ht="13.5" thickBot="1">
      <c r="H99" s="749">
        <v>65.11</v>
      </c>
      <c r="I99" t="s">
        <v>1059</v>
      </c>
      <c r="K99" t="s">
        <v>1035</v>
      </c>
      <c r="L99" s="13" t="e">
        <f>+L95/SUM(L95:N95)</f>
        <v>#DIV/0!</v>
      </c>
      <c r="M99" s="13" t="e">
        <f>+M95/SUM(L95:N95)</f>
        <v>#DIV/0!</v>
      </c>
      <c r="N99" s="13" t="e">
        <f>1-L99-M99</f>
        <v>#DIV/0!</v>
      </c>
    </row>
    <row r="100" spans="3:17" ht="13.5" thickTop="1"/>
  </sheetData>
  <pageMargins left="0.7" right="0.7" top="0.75" bottom="0.75" header="0.3" footer="0.3"/>
  <pageSetup scale="68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  <pageSetUpPr fitToPage="1"/>
  </sheetPr>
  <dimension ref="A1:AF280"/>
  <sheetViews>
    <sheetView topLeftCell="A223" workbookViewId="0">
      <selection activeCell="A46" sqref="A46"/>
    </sheetView>
  </sheetViews>
  <sheetFormatPr defaultRowHeight="12.75"/>
  <cols>
    <col min="1" max="2" width="9.42578125" customWidth="1"/>
    <col min="3" max="15" width="9.140625" customWidth="1"/>
    <col min="16" max="16" width="11.42578125" customWidth="1"/>
    <col min="17" max="21" width="9.140625" customWidth="1"/>
    <col min="22" max="22" width="11" customWidth="1"/>
    <col min="23" max="23" width="9.140625" customWidth="1"/>
    <col min="24" max="25" width="10.140625" customWidth="1"/>
    <col min="26" max="27" width="9.140625" customWidth="1"/>
    <col min="28" max="28" width="11.28515625" customWidth="1"/>
    <col min="29" max="29" width="9.140625" customWidth="1"/>
    <col min="30" max="30" width="10.140625" customWidth="1"/>
    <col min="31" max="31" width="9.140625" customWidth="1"/>
  </cols>
  <sheetData>
    <row r="1" spans="1:32">
      <c r="A1" t="s">
        <v>4</v>
      </c>
    </row>
    <row r="3" spans="1:32">
      <c r="A3" s="458" t="s">
        <v>1416</v>
      </c>
      <c r="B3" s="15"/>
      <c r="D3" s="459" t="s">
        <v>11</v>
      </c>
      <c r="E3" s="462" t="s">
        <v>12</v>
      </c>
      <c r="F3" s="468"/>
      <c r="G3" s="147"/>
      <c r="H3" s="147"/>
    </row>
    <row r="5" spans="1:32" ht="18">
      <c r="A5" s="93" t="s">
        <v>1264</v>
      </c>
      <c r="B5" s="93"/>
      <c r="V5" s="459" t="s">
        <v>1425</v>
      </c>
      <c r="Y5" s="244" t="s">
        <v>1265</v>
      </c>
      <c r="Z5" s="244"/>
      <c r="AB5" s="459" t="s">
        <v>1426</v>
      </c>
    </row>
    <row r="6" spans="1:32">
      <c r="V6" s="459" t="s">
        <v>1408</v>
      </c>
      <c r="AB6" s="459" t="s">
        <v>1427</v>
      </c>
    </row>
    <row r="7" spans="1:32">
      <c r="L7" s="530"/>
      <c r="M7" s="530"/>
      <c r="N7" s="462"/>
      <c r="R7" s="529" t="s">
        <v>20</v>
      </c>
      <c r="X7" s="529" t="s">
        <v>20</v>
      </c>
      <c r="AD7" s="529" t="s">
        <v>20</v>
      </c>
    </row>
    <row r="8" spans="1:32">
      <c r="A8" t="s">
        <v>25</v>
      </c>
      <c r="B8" s="530" t="s">
        <v>1000</v>
      </c>
      <c r="C8" s="530" t="s">
        <v>1266</v>
      </c>
      <c r="D8" s="530" t="s">
        <v>649</v>
      </c>
      <c r="E8" s="530" t="s">
        <v>650</v>
      </c>
      <c r="F8" s="530" t="s">
        <v>1116</v>
      </c>
      <c r="G8" s="530" t="s">
        <v>1117</v>
      </c>
      <c r="H8" s="530" t="s">
        <v>1118</v>
      </c>
      <c r="I8" s="530" t="s">
        <v>1119</v>
      </c>
      <c r="J8" s="530" t="s">
        <v>1120</v>
      </c>
      <c r="K8" s="530" t="s">
        <v>1121</v>
      </c>
      <c r="L8" s="530" t="s">
        <v>1241</v>
      </c>
      <c r="M8" s="530" t="s">
        <v>1114</v>
      </c>
      <c r="N8" s="586" t="s">
        <v>1115</v>
      </c>
      <c r="O8" s="529" t="s">
        <v>27</v>
      </c>
      <c r="P8" s="530" t="s">
        <v>225</v>
      </c>
      <c r="R8" s="529" t="s">
        <v>27</v>
      </c>
      <c r="T8" s="530"/>
      <c r="U8" s="529" t="s">
        <v>27</v>
      </c>
      <c r="V8" s="530" t="s">
        <v>225</v>
      </c>
      <c r="X8" s="529" t="s">
        <v>27</v>
      </c>
      <c r="Z8" s="530"/>
      <c r="AA8" s="529" t="s">
        <v>27</v>
      </c>
      <c r="AB8" s="530" t="s">
        <v>225</v>
      </c>
      <c r="AD8" s="529" t="s">
        <v>27</v>
      </c>
      <c r="AF8" s="530"/>
    </row>
    <row r="10" spans="1:32">
      <c r="A10" t="s">
        <v>1267</v>
      </c>
      <c r="B10" t="s">
        <v>1268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259</v>
      </c>
      <c r="I10" s="243">
        <v>0</v>
      </c>
      <c r="J10" s="243">
        <v>0</v>
      </c>
      <c r="K10" s="243">
        <v>0</v>
      </c>
      <c r="L10" s="243">
        <v>0</v>
      </c>
      <c r="M10" s="243">
        <v>0</v>
      </c>
      <c r="N10" s="243">
        <v>0</v>
      </c>
      <c r="O10" s="243">
        <f t="shared" ref="O10:O73" si="0">SUM(C10:N10)</f>
        <v>259</v>
      </c>
      <c r="Q10" s="243">
        <f t="shared" ref="Q10:Q27" si="1">+Q64</f>
        <v>0</v>
      </c>
      <c r="R10" s="243">
        <f t="shared" ref="R10:R38" si="2">+O10+Q10</f>
        <v>259</v>
      </c>
      <c r="T10" s="243"/>
      <c r="U10" s="243">
        <f>+D10</f>
        <v>0</v>
      </c>
      <c r="V10" s="459" t="s">
        <v>1269</v>
      </c>
      <c r="W10" s="243">
        <f t="shared" ref="W10:W27" si="3">+W64</f>
        <v>0</v>
      </c>
      <c r="X10" s="243">
        <f t="shared" ref="X10:X38" si="4">+U10+W10</f>
        <v>0</v>
      </c>
      <c r="Z10" s="243"/>
      <c r="AA10" s="243">
        <f>+H10</f>
        <v>259</v>
      </c>
      <c r="AC10" s="243">
        <f t="shared" ref="AC10:AC27" si="5">+AC64</f>
        <v>0</v>
      </c>
      <c r="AD10" s="243">
        <f t="shared" ref="AD10:AD38" si="6">+AA10+AC10</f>
        <v>259</v>
      </c>
      <c r="AF10" s="243">
        <f>IF(B10="CHE",X10/12,0)</f>
        <v>0</v>
      </c>
    </row>
    <row r="11" spans="1:32">
      <c r="B11" t="s">
        <v>1270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3">
        <v>587.15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3">
        <f t="shared" si="0"/>
        <v>587.15</v>
      </c>
      <c r="Q11" s="243">
        <f t="shared" si="1"/>
        <v>0</v>
      </c>
      <c r="R11" s="243">
        <f t="shared" si="2"/>
        <v>587.15</v>
      </c>
      <c r="T11" s="243"/>
      <c r="U11" s="243">
        <f t="shared" ref="U11:U74" si="7">+D11</f>
        <v>0</v>
      </c>
      <c r="W11" s="243">
        <f t="shared" si="3"/>
        <v>0</v>
      </c>
      <c r="X11" s="243">
        <f t="shared" si="4"/>
        <v>0</v>
      </c>
      <c r="Z11" s="243"/>
      <c r="AA11" s="243">
        <f t="shared" ref="AA11:AA74" si="8">+H11</f>
        <v>587.15</v>
      </c>
      <c r="AC11" s="243">
        <f t="shared" si="5"/>
        <v>0</v>
      </c>
      <c r="AD11" s="243">
        <f t="shared" si="6"/>
        <v>587.15</v>
      </c>
      <c r="AF11" s="243">
        <f t="shared" ref="AF11:AF74" si="9">IF(B11="CHE",X11/12,0)</f>
        <v>0</v>
      </c>
    </row>
    <row r="12" spans="1:32">
      <c r="B12" t="s">
        <v>1271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  <c r="H12" s="243">
        <v>724.35</v>
      </c>
      <c r="I12" s="243">
        <v>0</v>
      </c>
      <c r="J12" s="243">
        <v>0</v>
      </c>
      <c r="K12" s="243">
        <v>0</v>
      </c>
      <c r="L12" s="243">
        <v>0</v>
      </c>
      <c r="M12" s="243">
        <v>0</v>
      </c>
      <c r="N12" s="243">
        <v>0</v>
      </c>
      <c r="O12" s="243">
        <f t="shared" si="0"/>
        <v>724.35</v>
      </c>
      <c r="Q12" s="243">
        <f t="shared" si="1"/>
        <v>0</v>
      </c>
      <c r="R12" s="243">
        <f t="shared" si="2"/>
        <v>724.35</v>
      </c>
      <c r="T12" s="243"/>
      <c r="U12" s="243">
        <f t="shared" si="7"/>
        <v>0</v>
      </c>
      <c r="W12" s="243">
        <f t="shared" si="3"/>
        <v>0</v>
      </c>
      <c r="X12" s="243">
        <f t="shared" si="4"/>
        <v>0</v>
      </c>
      <c r="Z12" s="243"/>
      <c r="AA12" s="243">
        <f t="shared" si="8"/>
        <v>724.35</v>
      </c>
      <c r="AC12" s="243">
        <f t="shared" si="5"/>
        <v>0</v>
      </c>
      <c r="AD12" s="243">
        <f t="shared" si="6"/>
        <v>724.35</v>
      </c>
      <c r="AF12" s="243">
        <f t="shared" si="9"/>
        <v>0</v>
      </c>
    </row>
    <row r="13" spans="1:32">
      <c r="A13" t="s">
        <v>1272</v>
      </c>
      <c r="B13" t="s">
        <v>1268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231.25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f t="shared" si="0"/>
        <v>231.25</v>
      </c>
      <c r="Q13" s="243">
        <f t="shared" si="1"/>
        <v>0</v>
      </c>
      <c r="R13" s="243">
        <f t="shared" si="2"/>
        <v>231.25</v>
      </c>
      <c r="T13" s="243"/>
      <c r="U13" s="243">
        <f t="shared" si="7"/>
        <v>0</v>
      </c>
      <c r="W13" s="243">
        <f t="shared" si="3"/>
        <v>0</v>
      </c>
      <c r="X13" s="243">
        <f t="shared" si="4"/>
        <v>0</v>
      </c>
      <c r="Z13" s="243"/>
      <c r="AA13" s="243">
        <f t="shared" si="8"/>
        <v>231.25</v>
      </c>
      <c r="AC13" s="243">
        <f t="shared" si="5"/>
        <v>0</v>
      </c>
      <c r="AD13" s="243">
        <f t="shared" si="6"/>
        <v>231.25</v>
      </c>
      <c r="AF13" s="243">
        <f t="shared" si="9"/>
        <v>0</v>
      </c>
    </row>
    <row r="14" spans="1:32">
      <c r="B14" t="s">
        <v>1270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  <c r="H14" s="243">
        <v>1096.1500000000001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f t="shared" si="0"/>
        <v>1096.1500000000001</v>
      </c>
      <c r="Q14" s="243">
        <f t="shared" si="1"/>
        <v>0</v>
      </c>
      <c r="R14" s="243">
        <f t="shared" si="2"/>
        <v>1096.1500000000001</v>
      </c>
      <c r="T14" s="243"/>
      <c r="U14" s="243">
        <f t="shared" si="7"/>
        <v>0</v>
      </c>
      <c r="W14" s="243">
        <f t="shared" si="3"/>
        <v>0</v>
      </c>
      <c r="X14" s="243">
        <f t="shared" si="4"/>
        <v>0</v>
      </c>
      <c r="Z14" s="243"/>
      <c r="AA14" s="243">
        <f t="shared" si="8"/>
        <v>1096.1500000000001</v>
      </c>
      <c r="AC14" s="243">
        <f t="shared" si="5"/>
        <v>0</v>
      </c>
      <c r="AD14" s="243">
        <f t="shared" si="6"/>
        <v>1096.1500000000001</v>
      </c>
      <c r="AF14" s="243">
        <f t="shared" si="9"/>
        <v>0</v>
      </c>
    </row>
    <row r="15" spans="1:32">
      <c r="B15" t="s">
        <v>1271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976.8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f t="shared" si="0"/>
        <v>976.8</v>
      </c>
      <c r="Q15" s="243">
        <f t="shared" si="1"/>
        <v>2.0785219399538106</v>
      </c>
      <c r="R15" s="243">
        <f t="shared" si="2"/>
        <v>978.87852193995377</v>
      </c>
      <c r="T15" s="243"/>
      <c r="U15" s="243">
        <f t="shared" si="7"/>
        <v>0</v>
      </c>
      <c r="W15" s="243">
        <f t="shared" si="3"/>
        <v>0</v>
      </c>
      <c r="X15" s="243">
        <f t="shared" si="4"/>
        <v>0</v>
      </c>
      <c r="Z15" s="243"/>
      <c r="AA15" s="243">
        <f t="shared" si="8"/>
        <v>976.8</v>
      </c>
      <c r="AC15" s="243">
        <f t="shared" si="5"/>
        <v>2.0785219399538106</v>
      </c>
      <c r="AD15" s="243">
        <f t="shared" si="6"/>
        <v>978.87852193995377</v>
      </c>
      <c r="AF15" s="243">
        <f t="shared" si="9"/>
        <v>0</v>
      </c>
    </row>
    <row r="16" spans="1:32">
      <c r="A16" t="s">
        <v>1273</v>
      </c>
      <c r="B16" t="s">
        <v>1268</v>
      </c>
      <c r="C16" s="243">
        <v>0</v>
      </c>
      <c r="D16" s="243">
        <v>0</v>
      </c>
      <c r="E16" s="243">
        <v>0</v>
      </c>
      <c r="F16" s="243">
        <v>0</v>
      </c>
      <c r="G16" s="243">
        <v>0</v>
      </c>
      <c r="H16" s="243">
        <v>5.2</v>
      </c>
      <c r="I16" s="243">
        <v>0</v>
      </c>
      <c r="J16" s="243">
        <v>0</v>
      </c>
      <c r="K16" s="243">
        <v>0</v>
      </c>
      <c r="L16" s="243">
        <v>0</v>
      </c>
      <c r="M16" s="243">
        <v>0</v>
      </c>
      <c r="N16" s="243">
        <v>0</v>
      </c>
      <c r="O16" s="243">
        <f t="shared" si="0"/>
        <v>5.2</v>
      </c>
      <c r="Q16" s="243">
        <f t="shared" si="1"/>
        <v>0</v>
      </c>
      <c r="R16" s="243">
        <f t="shared" si="2"/>
        <v>5.2</v>
      </c>
      <c r="T16" s="243"/>
      <c r="U16" s="243">
        <f t="shared" si="7"/>
        <v>0</v>
      </c>
      <c r="W16" s="243">
        <f t="shared" si="3"/>
        <v>0</v>
      </c>
      <c r="X16" s="243">
        <f t="shared" si="4"/>
        <v>0</v>
      </c>
      <c r="Z16" s="243"/>
      <c r="AA16" s="243">
        <f t="shared" si="8"/>
        <v>5.2</v>
      </c>
      <c r="AC16" s="243">
        <f t="shared" si="5"/>
        <v>0</v>
      </c>
      <c r="AD16" s="243">
        <f t="shared" si="6"/>
        <v>5.2</v>
      </c>
      <c r="AF16" s="243">
        <f t="shared" si="9"/>
        <v>0</v>
      </c>
    </row>
    <row r="17" spans="1:32">
      <c r="B17" t="s">
        <v>1270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296.60000000000002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  <c r="N17" s="243">
        <v>0</v>
      </c>
      <c r="O17" s="243">
        <f t="shared" si="0"/>
        <v>296.60000000000002</v>
      </c>
      <c r="Q17" s="243">
        <f t="shared" si="1"/>
        <v>0</v>
      </c>
      <c r="R17" s="243">
        <f t="shared" si="2"/>
        <v>296.60000000000002</v>
      </c>
      <c r="T17" s="243"/>
      <c r="U17" s="243">
        <f t="shared" si="7"/>
        <v>0</v>
      </c>
      <c r="W17" s="243">
        <f t="shared" si="3"/>
        <v>0</v>
      </c>
      <c r="X17" s="243">
        <f t="shared" si="4"/>
        <v>0</v>
      </c>
      <c r="Z17" s="243"/>
      <c r="AA17" s="243">
        <f t="shared" si="8"/>
        <v>296.60000000000002</v>
      </c>
      <c r="AC17" s="243">
        <f t="shared" si="5"/>
        <v>0</v>
      </c>
      <c r="AD17" s="243">
        <f t="shared" si="6"/>
        <v>296.60000000000002</v>
      </c>
      <c r="AF17" s="243">
        <f t="shared" si="9"/>
        <v>0</v>
      </c>
    </row>
    <row r="18" spans="1:32">
      <c r="B18" t="s">
        <v>1271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107.6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f t="shared" si="0"/>
        <v>107.6</v>
      </c>
      <c r="Q18" s="243">
        <f t="shared" si="1"/>
        <v>0</v>
      </c>
      <c r="R18" s="243">
        <f t="shared" si="2"/>
        <v>107.6</v>
      </c>
      <c r="T18" s="243"/>
      <c r="U18" s="243">
        <f t="shared" si="7"/>
        <v>0</v>
      </c>
      <c r="W18" s="243">
        <f t="shared" si="3"/>
        <v>0</v>
      </c>
      <c r="X18" s="243">
        <f t="shared" si="4"/>
        <v>0</v>
      </c>
      <c r="Z18" s="243"/>
      <c r="AA18" s="243">
        <f t="shared" si="8"/>
        <v>107.6</v>
      </c>
      <c r="AC18" s="243">
        <f t="shared" si="5"/>
        <v>0</v>
      </c>
      <c r="AD18" s="243">
        <f t="shared" si="6"/>
        <v>107.6</v>
      </c>
      <c r="AF18" s="243">
        <f t="shared" si="9"/>
        <v>0</v>
      </c>
    </row>
    <row r="19" spans="1:32">
      <c r="A19" t="s">
        <v>1274</v>
      </c>
      <c r="B19" t="s">
        <v>1268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3">
        <f t="shared" si="0"/>
        <v>0</v>
      </c>
      <c r="Q19" s="243">
        <f t="shared" si="1"/>
        <v>0</v>
      </c>
      <c r="R19" s="243">
        <f t="shared" si="2"/>
        <v>0</v>
      </c>
      <c r="T19" s="243"/>
      <c r="U19" s="243">
        <f t="shared" si="7"/>
        <v>0</v>
      </c>
      <c r="W19" s="243">
        <f t="shared" si="3"/>
        <v>0</v>
      </c>
      <c r="X19" s="243">
        <f t="shared" si="4"/>
        <v>0</v>
      </c>
      <c r="Z19" s="243"/>
      <c r="AA19" s="243">
        <f t="shared" si="8"/>
        <v>0</v>
      </c>
      <c r="AC19" s="243">
        <f t="shared" si="5"/>
        <v>0</v>
      </c>
      <c r="AD19" s="243">
        <f t="shared" si="6"/>
        <v>0</v>
      </c>
      <c r="AF19" s="243">
        <f t="shared" si="9"/>
        <v>0</v>
      </c>
    </row>
    <row r="20" spans="1:32">
      <c r="B20" t="s">
        <v>1270</v>
      </c>
      <c r="C20" s="243">
        <v>0</v>
      </c>
      <c r="D20" s="243">
        <v>0</v>
      </c>
      <c r="E20" s="243">
        <v>0</v>
      </c>
      <c r="F20" s="243">
        <v>0</v>
      </c>
      <c r="G20" s="243">
        <v>0</v>
      </c>
      <c r="H20" s="243">
        <v>146.1</v>
      </c>
      <c r="I20" s="243">
        <v>0</v>
      </c>
      <c r="J20" s="243">
        <v>0</v>
      </c>
      <c r="K20" s="243">
        <v>0</v>
      </c>
      <c r="L20" s="243">
        <v>0</v>
      </c>
      <c r="M20" s="243">
        <v>0</v>
      </c>
      <c r="N20" s="243">
        <v>0</v>
      </c>
      <c r="O20" s="243">
        <f t="shared" si="0"/>
        <v>146.1</v>
      </c>
      <c r="Q20" s="243">
        <f t="shared" si="1"/>
        <v>0</v>
      </c>
      <c r="R20" s="243">
        <f t="shared" si="2"/>
        <v>146.1</v>
      </c>
      <c r="T20" s="243"/>
      <c r="U20" s="243">
        <f t="shared" si="7"/>
        <v>0</v>
      </c>
      <c r="W20" s="243">
        <f t="shared" si="3"/>
        <v>0</v>
      </c>
      <c r="X20" s="243">
        <f t="shared" si="4"/>
        <v>0</v>
      </c>
      <c r="Z20" s="243"/>
      <c r="AA20" s="243">
        <f t="shared" si="8"/>
        <v>146.1</v>
      </c>
      <c r="AC20" s="243">
        <f t="shared" si="5"/>
        <v>0</v>
      </c>
      <c r="AD20" s="243">
        <f t="shared" si="6"/>
        <v>146.1</v>
      </c>
      <c r="AF20" s="243">
        <f t="shared" si="9"/>
        <v>0</v>
      </c>
    </row>
    <row r="21" spans="1:32">
      <c r="B21" t="s">
        <v>1271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51.6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f t="shared" si="0"/>
        <v>51.6</v>
      </c>
      <c r="Q21" s="243">
        <f t="shared" si="1"/>
        <v>0</v>
      </c>
      <c r="R21" s="243">
        <f t="shared" si="2"/>
        <v>51.6</v>
      </c>
      <c r="T21" s="243"/>
      <c r="U21" s="243">
        <f t="shared" si="7"/>
        <v>0</v>
      </c>
      <c r="W21" s="243">
        <f t="shared" si="3"/>
        <v>0</v>
      </c>
      <c r="X21" s="243">
        <f t="shared" si="4"/>
        <v>0</v>
      </c>
      <c r="Z21" s="243"/>
      <c r="AA21" s="243">
        <f t="shared" si="8"/>
        <v>51.6</v>
      </c>
      <c r="AC21" s="243">
        <f t="shared" si="5"/>
        <v>0</v>
      </c>
      <c r="AD21" s="243">
        <f t="shared" si="6"/>
        <v>51.6</v>
      </c>
      <c r="AF21" s="243">
        <f t="shared" si="9"/>
        <v>0</v>
      </c>
    </row>
    <row r="22" spans="1:32">
      <c r="A22" t="s">
        <v>1275</v>
      </c>
      <c r="B22" t="s">
        <v>1268</v>
      </c>
      <c r="C22" s="243">
        <v>0</v>
      </c>
      <c r="D22" s="243">
        <v>0</v>
      </c>
      <c r="E22" s="243">
        <v>0</v>
      </c>
      <c r="F22" s="243">
        <v>0</v>
      </c>
      <c r="G22" s="243">
        <v>0</v>
      </c>
      <c r="H22" s="243">
        <v>0</v>
      </c>
      <c r="I22" s="243">
        <v>0</v>
      </c>
      <c r="J22" s="243">
        <v>0</v>
      </c>
      <c r="K22" s="243">
        <v>0</v>
      </c>
      <c r="L22" s="243">
        <v>0</v>
      </c>
      <c r="M22" s="243">
        <v>0</v>
      </c>
      <c r="N22" s="243">
        <v>0</v>
      </c>
      <c r="O22" s="243">
        <f t="shared" si="0"/>
        <v>0</v>
      </c>
      <c r="Q22" s="243">
        <f t="shared" si="1"/>
        <v>0</v>
      </c>
      <c r="R22" s="243">
        <f t="shared" si="2"/>
        <v>0</v>
      </c>
      <c r="T22" s="243"/>
      <c r="U22" s="243">
        <f t="shared" si="7"/>
        <v>0</v>
      </c>
      <c r="W22" s="243">
        <f t="shared" si="3"/>
        <v>0</v>
      </c>
      <c r="X22" s="243">
        <f t="shared" si="4"/>
        <v>0</v>
      </c>
      <c r="Z22" s="243"/>
      <c r="AA22" s="243">
        <f t="shared" si="8"/>
        <v>0</v>
      </c>
      <c r="AC22" s="243">
        <f t="shared" si="5"/>
        <v>0</v>
      </c>
      <c r="AD22" s="243">
        <f t="shared" si="6"/>
        <v>0</v>
      </c>
      <c r="AF22" s="243">
        <f t="shared" si="9"/>
        <v>0</v>
      </c>
    </row>
    <row r="23" spans="1:32">
      <c r="B23" t="s">
        <v>1270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29.5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  <c r="N23" s="243">
        <v>0</v>
      </c>
      <c r="O23" s="243">
        <f t="shared" si="0"/>
        <v>29.5</v>
      </c>
      <c r="Q23" s="243">
        <f t="shared" si="1"/>
        <v>0</v>
      </c>
      <c r="R23" s="243">
        <f t="shared" si="2"/>
        <v>29.5</v>
      </c>
      <c r="T23" s="243"/>
      <c r="U23" s="243">
        <f t="shared" si="7"/>
        <v>0</v>
      </c>
      <c r="W23" s="243">
        <f t="shared" si="3"/>
        <v>0</v>
      </c>
      <c r="X23" s="243">
        <f t="shared" si="4"/>
        <v>0</v>
      </c>
      <c r="Z23" s="243"/>
      <c r="AA23" s="243">
        <f t="shared" si="8"/>
        <v>29.5</v>
      </c>
      <c r="AC23" s="243">
        <f t="shared" si="5"/>
        <v>0</v>
      </c>
      <c r="AD23" s="243">
        <f t="shared" si="6"/>
        <v>29.5</v>
      </c>
      <c r="AF23" s="243">
        <f t="shared" si="9"/>
        <v>0</v>
      </c>
    </row>
    <row r="24" spans="1:32">
      <c r="B24" t="s">
        <v>1271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  <c r="H24" s="243">
        <v>12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  <c r="N24" s="243">
        <v>0</v>
      </c>
      <c r="O24" s="243">
        <f t="shared" si="0"/>
        <v>12</v>
      </c>
      <c r="Q24" s="243">
        <f t="shared" si="1"/>
        <v>0</v>
      </c>
      <c r="R24" s="243">
        <f t="shared" si="2"/>
        <v>12</v>
      </c>
      <c r="T24" s="243"/>
      <c r="U24" s="243">
        <f t="shared" si="7"/>
        <v>0</v>
      </c>
      <c r="W24" s="243">
        <f t="shared" si="3"/>
        <v>0</v>
      </c>
      <c r="X24" s="243">
        <f t="shared" si="4"/>
        <v>0</v>
      </c>
      <c r="Z24" s="243"/>
      <c r="AA24" s="243">
        <f t="shared" si="8"/>
        <v>12</v>
      </c>
      <c r="AC24" s="243">
        <f t="shared" si="5"/>
        <v>0</v>
      </c>
      <c r="AD24" s="243">
        <f t="shared" si="6"/>
        <v>12</v>
      </c>
      <c r="AF24" s="243">
        <f t="shared" si="9"/>
        <v>0</v>
      </c>
    </row>
    <row r="25" spans="1:32">
      <c r="A25" t="s">
        <v>1276</v>
      </c>
      <c r="B25" t="s">
        <v>1268</v>
      </c>
      <c r="C25" s="243">
        <v>0</v>
      </c>
      <c r="D25" s="243">
        <v>0</v>
      </c>
      <c r="E25" s="243">
        <v>0</v>
      </c>
      <c r="F25" s="243">
        <v>0</v>
      </c>
      <c r="G25" s="243">
        <v>0</v>
      </c>
      <c r="H25" s="243">
        <v>12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3">
        <v>0</v>
      </c>
      <c r="O25" s="243">
        <f t="shared" si="0"/>
        <v>12</v>
      </c>
      <c r="Q25" s="243">
        <f t="shared" si="1"/>
        <v>0</v>
      </c>
      <c r="R25" s="243">
        <f t="shared" si="2"/>
        <v>12</v>
      </c>
      <c r="T25" s="243"/>
      <c r="U25" s="243">
        <f t="shared" si="7"/>
        <v>0</v>
      </c>
      <c r="W25" s="243">
        <f t="shared" si="3"/>
        <v>0</v>
      </c>
      <c r="X25" s="243">
        <f t="shared" si="4"/>
        <v>0</v>
      </c>
      <c r="Z25" s="243"/>
      <c r="AA25" s="243">
        <f t="shared" si="8"/>
        <v>12</v>
      </c>
      <c r="AC25" s="243">
        <f t="shared" si="5"/>
        <v>0</v>
      </c>
      <c r="AD25" s="243">
        <f t="shared" si="6"/>
        <v>12</v>
      </c>
      <c r="AF25" s="243">
        <f t="shared" si="9"/>
        <v>0</v>
      </c>
    </row>
    <row r="26" spans="1:32">
      <c r="B26" t="s">
        <v>1270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35.25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f t="shared" si="0"/>
        <v>35.25</v>
      </c>
      <c r="Q26" s="243">
        <f t="shared" si="1"/>
        <v>0</v>
      </c>
      <c r="R26" s="243">
        <f t="shared" si="2"/>
        <v>35.25</v>
      </c>
      <c r="T26" s="243"/>
      <c r="U26" s="243">
        <f t="shared" si="7"/>
        <v>0</v>
      </c>
      <c r="W26" s="243">
        <f t="shared" si="3"/>
        <v>0</v>
      </c>
      <c r="X26" s="243">
        <f t="shared" si="4"/>
        <v>0</v>
      </c>
      <c r="Z26" s="243"/>
      <c r="AA26" s="243">
        <f t="shared" si="8"/>
        <v>35.25</v>
      </c>
      <c r="AC26" s="243">
        <f t="shared" si="5"/>
        <v>0</v>
      </c>
      <c r="AD26" s="243">
        <f t="shared" si="6"/>
        <v>35.25</v>
      </c>
      <c r="AF26" s="243">
        <f t="shared" si="9"/>
        <v>0</v>
      </c>
    </row>
    <row r="27" spans="1:32">
      <c r="B27" t="s">
        <v>1271</v>
      </c>
      <c r="C27" s="243">
        <v>0</v>
      </c>
      <c r="D27" s="243">
        <v>0</v>
      </c>
      <c r="E27" s="243">
        <v>0</v>
      </c>
      <c r="F27" s="243">
        <v>0</v>
      </c>
      <c r="G27" s="243">
        <v>0</v>
      </c>
      <c r="H27" s="243">
        <v>8.4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f t="shared" si="0"/>
        <v>8.4</v>
      </c>
      <c r="Q27" s="243">
        <f t="shared" si="1"/>
        <v>0</v>
      </c>
      <c r="R27" s="243">
        <f t="shared" si="2"/>
        <v>8.4</v>
      </c>
      <c r="T27" s="243"/>
      <c r="U27" s="243">
        <f t="shared" si="7"/>
        <v>0</v>
      </c>
      <c r="W27" s="243">
        <f t="shared" si="3"/>
        <v>0</v>
      </c>
      <c r="X27" s="243">
        <f t="shared" si="4"/>
        <v>0</v>
      </c>
      <c r="Z27" s="243"/>
      <c r="AA27" s="243">
        <f t="shared" si="8"/>
        <v>8.4</v>
      </c>
      <c r="AC27" s="243">
        <f t="shared" si="5"/>
        <v>0</v>
      </c>
      <c r="AD27" s="243">
        <f t="shared" si="6"/>
        <v>8.4</v>
      </c>
      <c r="AF27" s="243">
        <f t="shared" si="9"/>
        <v>0</v>
      </c>
    </row>
    <row r="28" spans="1:32">
      <c r="A28" s="459" t="s">
        <v>1277</v>
      </c>
      <c r="B28" t="s">
        <v>1268</v>
      </c>
      <c r="C28" s="243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46.3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f t="shared" si="0"/>
        <v>46.3</v>
      </c>
      <c r="Q28" s="243">
        <f>+Q70</f>
        <v>0</v>
      </c>
      <c r="R28" s="243">
        <f t="shared" si="2"/>
        <v>46.3</v>
      </c>
      <c r="T28" s="243"/>
      <c r="U28" s="243">
        <f t="shared" si="7"/>
        <v>0</v>
      </c>
      <c r="W28" s="243"/>
      <c r="X28" s="243">
        <f t="shared" si="4"/>
        <v>0</v>
      </c>
      <c r="Z28" s="243"/>
      <c r="AA28" s="243">
        <f t="shared" si="8"/>
        <v>46.3</v>
      </c>
      <c r="AC28" s="243">
        <f>+AC70</f>
        <v>0</v>
      </c>
      <c r="AD28" s="243">
        <f t="shared" si="6"/>
        <v>46.3</v>
      </c>
      <c r="AF28" s="243">
        <f t="shared" si="9"/>
        <v>0</v>
      </c>
    </row>
    <row r="29" spans="1:32">
      <c r="B29" t="s">
        <v>1270</v>
      </c>
      <c r="C29" s="243">
        <v>0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3">
        <v>0</v>
      </c>
      <c r="O29" s="243">
        <f t="shared" si="0"/>
        <v>0</v>
      </c>
      <c r="Q29" s="243"/>
      <c r="R29" s="243">
        <f t="shared" si="2"/>
        <v>0</v>
      </c>
      <c r="T29" s="243"/>
      <c r="U29" s="243">
        <f t="shared" si="7"/>
        <v>0</v>
      </c>
      <c r="W29" s="243"/>
      <c r="X29" s="243">
        <f t="shared" si="4"/>
        <v>0</v>
      </c>
      <c r="Z29" s="243"/>
      <c r="AA29" s="243">
        <f t="shared" si="8"/>
        <v>0</v>
      </c>
      <c r="AC29" s="243"/>
      <c r="AD29" s="243">
        <f t="shared" si="6"/>
        <v>0</v>
      </c>
      <c r="AF29" s="243">
        <f t="shared" si="9"/>
        <v>0</v>
      </c>
    </row>
    <row r="30" spans="1:32">
      <c r="B30" t="s">
        <v>1271</v>
      </c>
      <c r="C30" s="243">
        <v>0</v>
      </c>
      <c r="D30" s="243">
        <v>0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f t="shared" si="0"/>
        <v>0</v>
      </c>
      <c r="Q30" s="243"/>
      <c r="R30" s="243">
        <f t="shared" si="2"/>
        <v>0</v>
      </c>
      <c r="T30" s="243"/>
      <c r="U30" s="243">
        <f t="shared" si="7"/>
        <v>0</v>
      </c>
      <c r="W30" s="243"/>
      <c r="X30" s="243">
        <f t="shared" si="4"/>
        <v>0</v>
      </c>
      <c r="Z30" s="243"/>
      <c r="AA30" s="243">
        <f t="shared" si="8"/>
        <v>0</v>
      </c>
      <c r="AC30" s="243"/>
      <c r="AD30" s="243">
        <f t="shared" si="6"/>
        <v>0</v>
      </c>
      <c r="AF30" s="243">
        <f t="shared" si="9"/>
        <v>0</v>
      </c>
    </row>
    <row r="31" spans="1:32">
      <c r="A31" s="459" t="s">
        <v>1278</v>
      </c>
      <c r="B31" t="s">
        <v>1268</v>
      </c>
      <c r="C31" s="243">
        <v>0</v>
      </c>
      <c r="D31" s="243">
        <v>0</v>
      </c>
      <c r="E31" s="243">
        <v>0</v>
      </c>
      <c r="F31" s="243">
        <v>0</v>
      </c>
      <c r="G31" s="243">
        <v>0</v>
      </c>
      <c r="H31" s="243">
        <v>6200.9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  <c r="N31" s="243">
        <v>0</v>
      </c>
      <c r="O31" s="243">
        <f t="shared" si="0"/>
        <v>6200.9</v>
      </c>
      <c r="Q31" s="243">
        <f>+Q73</f>
        <v>0</v>
      </c>
      <c r="R31" s="243">
        <f t="shared" si="2"/>
        <v>6200.9</v>
      </c>
      <c r="T31" s="243"/>
      <c r="U31" s="243">
        <f t="shared" si="7"/>
        <v>0</v>
      </c>
      <c r="W31" s="243"/>
      <c r="X31" s="243">
        <f t="shared" si="4"/>
        <v>0</v>
      </c>
      <c r="Z31" s="243"/>
      <c r="AA31" s="243">
        <f t="shared" si="8"/>
        <v>6200.9</v>
      </c>
      <c r="AC31" s="243">
        <f>+AC73</f>
        <v>0</v>
      </c>
      <c r="AD31" s="243">
        <f t="shared" si="6"/>
        <v>6200.9</v>
      </c>
      <c r="AF31" s="243">
        <f t="shared" si="9"/>
        <v>0</v>
      </c>
    </row>
    <row r="32" spans="1:32">
      <c r="B32" t="s">
        <v>1270</v>
      </c>
      <c r="C32" s="243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f t="shared" si="0"/>
        <v>0</v>
      </c>
      <c r="Q32" s="243"/>
      <c r="R32" s="243">
        <f t="shared" si="2"/>
        <v>0</v>
      </c>
      <c r="T32" s="243"/>
      <c r="U32" s="243">
        <f t="shared" si="7"/>
        <v>0</v>
      </c>
      <c r="W32" s="243"/>
      <c r="X32" s="243">
        <f t="shared" si="4"/>
        <v>0</v>
      </c>
      <c r="Z32" s="243"/>
      <c r="AA32" s="243">
        <f t="shared" si="8"/>
        <v>0</v>
      </c>
      <c r="AC32" s="243"/>
      <c r="AD32" s="243">
        <f t="shared" si="6"/>
        <v>0</v>
      </c>
      <c r="AF32" s="243">
        <f t="shared" si="9"/>
        <v>0</v>
      </c>
    </row>
    <row r="33" spans="1:32">
      <c r="B33" t="s">
        <v>1271</v>
      </c>
      <c r="C33" s="243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f t="shared" si="0"/>
        <v>0</v>
      </c>
      <c r="Q33" s="243"/>
      <c r="R33" s="243">
        <f t="shared" si="2"/>
        <v>0</v>
      </c>
      <c r="T33" s="243"/>
      <c r="U33" s="243">
        <f t="shared" si="7"/>
        <v>0</v>
      </c>
      <c r="W33" s="243"/>
      <c r="X33" s="243">
        <f t="shared" si="4"/>
        <v>0</v>
      </c>
      <c r="Z33" s="243"/>
      <c r="AA33" s="243">
        <f t="shared" si="8"/>
        <v>0</v>
      </c>
      <c r="AC33" s="243"/>
      <c r="AD33" s="243">
        <f t="shared" si="6"/>
        <v>0</v>
      </c>
      <c r="AF33" s="243">
        <f t="shared" si="9"/>
        <v>0</v>
      </c>
    </row>
    <row r="34" spans="1:32">
      <c r="A34" t="s">
        <v>1279</v>
      </c>
      <c r="B34" t="s">
        <v>1268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22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f t="shared" si="0"/>
        <v>22</v>
      </c>
      <c r="Q34" s="243">
        <f>+Q79</f>
        <v>0</v>
      </c>
      <c r="R34" s="243">
        <f t="shared" si="2"/>
        <v>22</v>
      </c>
      <c r="T34" s="243"/>
      <c r="U34" s="243">
        <f t="shared" si="7"/>
        <v>0</v>
      </c>
      <c r="W34" s="243"/>
      <c r="X34" s="243">
        <f t="shared" si="4"/>
        <v>0</v>
      </c>
      <c r="Z34" s="243"/>
      <c r="AA34" s="243">
        <f t="shared" si="8"/>
        <v>22</v>
      </c>
      <c r="AC34" s="243">
        <f>+AC79</f>
        <v>0</v>
      </c>
      <c r="AD34" s="243">
        <f t="shared" si="6"/>
        <v>22</v>
      </c>
      <c r="AF34" s="243">
        <f t="shared" si="9"/>
        <v>0</v>
      </c>
    </row>
    <row r="35" spans="1:32">
      <c r="B35" t="s">
        <v>1270</v>
      </c>
      <c r="C35" s="243">
        <v>0</v>
      </c>
      <c r="D35" s="243">
        <v>0</v>
      </c>
      <c r="E35" s="243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3">
        <f t="shared" si="0"/>
        <v>0</v>
      </c>
      <c r="Q35" s="243"/>
      <c r="R35" s="243">
        <f t="shared" si="2"/>
        <v>0</v>
      </c>
      <c r="T35" s="243"/>
      <c r="U35" s="243">
        <f t="shared" si="7"/>
        <v>0</v>
      </c>
      <c r="W35" s="243"/>
      <c r="X35" s="243">
        <f t="shared" si="4"/>
        <v>0</v>
      </c>
      <c r="Z35" s="243"/>
      <c r="AA35" s="243">
        <f t="shared" si="8"/>
        <v>0</v>
      </c>
      <c r="AC35" s="243"/>
      <c r="AD35" s="243">
        <f t="shared" si="6"/>
        <v>0</v>
      </c>
      <c r="AF35" s="243">
        <f t="shared" si="9"/>
        <v>0</v>
      </c>
    </row>
    <row r="36" spans="1:32">
      <c r="B36" t="s">
        <v>1271</v>
      </c>
      <c r="C36" s="243">
        <v>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f t="shared" si="0"/>
        <v>0</v>
      </c>
      <c r="Q36" s="243"/>
      <c r="R36" s="243">
        <f t="shared" si="2"/>
        <v>0</v>
      </c>
      <c r="T36" s="243"/>
      <c r="U36" s="243">
        <f t="shared" si="7"/>
        <v>0</v>
      </c>
      <c r="W36" s="243"/>
      <c r="X36" s="243">
        <f t="shared" si="4"/>
        <v>0</v>
      </c>
      <c r="Z36" s="243"/>
      <c r="AA36" s="243">
        <f t="shared" si="8"/>
        <v>0</v>
      </c>
      <c r="AC36" s="243"/>
      <c r="AD36" s="243">
        <f t="shared" si="6"/>
        <v>0</v>
      </c>
      <c r="AF36" s="243">
        <f t="shared" si="9"/>
        <v>0</v>
      </c>
    </row>
    <row r="37" spans="1:32">
      <c r="A37" t="s">
        <v>1280</v>
      </c>
      <c r="B37" t="s">
        <v>1268</v>
      </c>
      <c r="C37" s="243">
        <v>0</v>
      </c>
      <c r="D37" s="243">
        <v>0</v>
      </c>
      <c r="E37" s="243">
        <v>0</v>
      </c>
      <c r="F37" s="243">
        <v>0</v>
      </c>
      <c r="G37" s="243">
        <v>0</v>
      </c>
      <c r="H37" s="243">
        <v>10827.15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3">
        <f t="shared" si="0"/>
        <v>10827.15</v>
      </c>
      <c r="Q37" s="243">
        <f>-Q40*2</f>
        <v>399.5</v>
      </c>
      <c r="R37" s="243">
        <f t="shared" si="2"/>
        <v>11226.65</v>
      </c>
      <c r="T37" s="243"/>
      <c r="U37" s="243">
        <f t="shared" si="7"/>
        <v>0</v>
      </c>
      <c r="W37" s="243">
        <f>-W40*2</f>
        <v>0</v>
      </c>
      <c r="X37" s="243">
        <f t="shared" si="4"/>
        <v>0</v>
      </c>
      <c r="Z37" s="243"/>
      <c r="AA37" s="243">
        <f t="shared" si="8"/>
        <v>10827.15</v>
      </c>
      <c r="AC37" s="243">
        <f>-AC40*2</f>
        <v>399.5</v>
      </c>
      <c r="AD37" s="243">
        <f t="shared" si="6"/>
        <v>11226.65</v>
      </c>
      <c r="AF37" s="243">
        <f t="shared" si="9"/>
        <v>0</v>
      </c>
    </row>
    <row r="38" spans="1:32">
      <c r="B38" t="s">
        <v>1270</v>
      </c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  <c r="N38" s="243">
        <v>0</v>
      </c>
      <c r="O38" s="243">
        <f t="shared" si="0"/>
        <v>0</v>
      </c>
      <c r="Q38" s="243">
        <f>-Q41*2</f>
        <v>0</v>
      </c>
      <c r="R38" s="243">
        <f t="shared" si="2"/>
        <v>0</v>
      </c>
      <c r="T38" s="243"/>
      <c r="U38" s="243">
        <f t="shared" si="7"/>
        <v>0</v>
      </c>
      <c r="W38" s="243">
        <f>-W41*2</f>
        <v>0</v>
      </c>
      <c r="X38" s="243">
        <f t="shared" si="4"/>
        <v>0</v>
      </c>
      <c r="Z38" s="243"/>
      <c r="AA38" s="243">
        <f t="shared" si="8"/>
        <v>0</v>
      </c>
      <c r="AC38" s="243">
        <f>-AC41*2</f>
        <v>0</v>
      </c>
      <c r="AD38" s="243">
        <f t="shared" si="6"/>
        <v>0</v>
      </c>
      <c r="AF38" s="243">
        <f t="shared" si="9"/>
        <v>0</v>
      </c>
    </row>
    <row r="39" spans="1:32">
      <c r="B39" t="s">
        <v>1271</v>
      </c>
      <c r="C39" s="243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  <c r="N39" s="243">
        <v>0</v>
      </c>
      <c r="O39" s="243">
        <f t="shared" si="0"/>
        <v>0</v>
      </c>
      <c r="Q39" s="243">
        <f>-Q42*2</f>
        <v>0</v>
      </c>
      <c r="R39" s="243">
        <f t="shared" ref="R39:R62" si="10">+O39+Q39</f>
        <v>0</v>
      </c>
      <c r="T39" s="243"/>
      <c r="U39" s="243">
        <f t="shared" si="7"/>
        <v>0</v>
      </c>
      <c r="W39" s="243">
        <f>-W42*2</f>
        <v>0</v>
      </c>
      <c r="X39" s="243">
        <f t="shared" ref="X39:X62" si="11">+U39+W39</f>
        <v>0</v>
      </c>
      <c r="Z39" s="243"/>
      <c r="AA39" s="243">
        <f t="shared" si="8"/>
        <v>0</v>
      </c>
      <c r="AC39" s="243">
        <f>-AC42*2</f>
        <v>0</v>
      </c>
      <c r="AD39" s="243">
        <f t="shared" ref="AD39:AD62" si="12">+AA39+AC39</f>
        <v>0</v>
      </c>
      <c r="AF39" s="243">
        <f t="shared" si="9"/>
        <v>0</v>
      </c>
    </row>
    <row r="40" spans="1:32">
      <c r="A40" t="s">
        <v>1281</v>
      </c>
      <c r="B40" t="s">
        <v>1268</v>
      </c>
      <c r="C40" s="243">
        <v>0</v>
      </c>
      <c r="D40" s="243">
        <v>0</v>
      </c>
      <c r="E40" s="243">
        <v>0</v>
      </c>
      <c r="F40" s="243">
        <v>0</v>
      </c>
      <c r="G40" s="243">
        <v>0</v>
      </c>
      <c r="H40" s="243">
        <v>199.75</v>
      </c>
      <c r="I40" s="243">
        <v>0</v>
      </c>
      <c r="J40" s="243">
        <v>0</v>
      </c>
      <c r="K40" s="243">
        <v>0</v>
      </c>
      <c r="L40" s="243">
        <v>0</v>
      </c>
      <c r="M40" s="243">
        <v>0</v>
      </c>
      <c r="N40" s="243">
        <v>0</v>
      </c>
      <c r="O40" s="243">
        <f t="shared" si="0"/>
        <v>199.75</v>
      </c>
      <c r="Q40" s="243">
        <f>-O40</f>
        <v>-199.75</v>
      </c>
      <c r="R40" s="243">
        <f t="shared" si="10"/>
        <v>0</v>
      </c>
      <c r="T40" s="243"/>
      <c r="U40" s="243">
        <f t="shared" si="7"/>
        <v>0</v>
      </c>
      <c r="W40" s="243">
        <f>-U40</f>
        <v>0</v>
      </c>
      <c r="X40" s="243">
        <f t="shared" si="11"/>
        <v>0</v>
      </c>
      <c r="Z40" s="243"/>
      <c r="AA40" s="243">
        <f t="shared" si="8"/>
        <v>199.75</v>
      </c>
      <c r="AC40" s="243">
        <f>-AA40</f>
        <v>-199.75</v>
      </c>
      <c r="AD40" s="243">
        <f t="shared" si="12"/>
        <v>0</v>
      </c>
      <c r="AF40" s="243">
        <f t="shared" si="9"/>
        <v>0</v>
      </c>
    </row>
    <row r="41" spans="1:32">
      <c r="B41" t="s">
        <v>1270</v>
      </c>
      <c r="C41" s="243">
        <v>0</v>
      </c>
      <c r="D41" s="243">
        <v>0</v>
      </c>
      <c r="E41" s="243">
        <v>0</v>
      </c>
      <c r="F41" s="243">
        <v>0</v>
      </c>
      <c r="G41" s="243">
        <v>0</v>
      </c>
      <c r="H41" s="243">
        <v>0</v>
      </c>
      <c r="I41" s="243">
        <v>0</v>
      </c>
      <c r="J41" s="243">
        <v>0</v>
      </c>
      <c r="K41" s="243">
        <v>0</v>
      </c>
      <c r="L41" s="243">
        <v>0</v>
      </c>
      <c r="M41" s="243">
        <v>0</v>
      </c>
      <c r="N41" s="243">
        <v>0</v>
      </c>
      <c r="O41" s="243">
        <f t="shared" si="0"/>
        <v>0</v>
      </c>
      <c r="Q41" s="243">
        <f>-O41</f>
        <v>0</v>
      </c>
      <c r="R41" s="243">
        <f t="shared" si="10"/>
        <v>0</v>
      </c>
      <c r="T41" s="243"/>
      <c r="U41" s="243">
        <f t="shared" si="7"/>
        <v>0</v>
      </c>
      <c r="W41" s="243">
        <f>-U41</f>
        <v>0</v>
      </c>
      <c r="X41" s="243">
        <f t="shared" si="11"/>
        <v>0</v>
      </c>
      <c r="Z41" s="243"/>
      <c r="AA41" s="243">
        <f t="shared" si="8"/>
        <v>0</v>
      </c>
      <c r="AC41" s="243">
        <f>-AA41</f>
        <v>0</v>
      </c>
      <c r="AD41" s="243">
        <f t="shared" si="12"/>
        <v>0</v>
      </c>
      <c r="AF41" s="243">
        <f t="shared" si="9"/>
        <v>0</v>
      </c>
    </row>
    <row r="42" spans="1:32">
      <c r="B42" t="s">
        <v>1271</v>
      </c>
      <c r="C42" s="243">
        <v>0</v>
      </c>
      <c r="D42" s="243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  <c r="N42" s="243">
        <v>0</v>
      </c>
      <c r="O42" s="243">
        <f t="shared" si="0"/>
        <v>0</v>
      </c>
      <c r="Q42" s="243">
        <f>-O42</f>
        <v>0</v>
      </c>
      <c r="R42" s="243">
        <f t="shared" si="10"/>
        <v>0</v>
      </c>
      <c r="T42" s="243"/>
      <c r="U42" s="243">
        <f t="shared" si="7"/>
        <v>0</v>
      </c>
      <c r="W42" s="243">
        <f>-U42</f>
        <v>0</v>
      </c>
      <c r="X42" s="243">
        <f t="shared" si="11"/>
        <v>0</v>
      </c>
      <c r="Z42" s="243"/>
      <c r="AA42" s="243">
        <f t="shared" si="8"/>
        <v>0</v>
      </c>
      <c r="AC42" s="243">
        <f>-AA42</f>
        <v>0</v>
      </c>
      <c r="AD42" s="243">
        <f t="shared" si="12"/>
        <v>0</v>
      </c>
      <c r="AF42" s="243">
        <f t="shared" si="9"/>
        <v>0</v>
      </c>
    </row>
    <row r="43" spans="1:32">
      <c r="A43" t="s">
        <v>1282</v>
      </c>
      <c r="B43" t="s">
        <v>1268</v>
      </c>
      <c r="C43" s="243">
        <v>0</v>
      </c>
      <c r="D43" s="243">
        <v>0</v>
      </c>
      <c r="E43" s="243">
        <v>0</v>
      </c>
      <c r="F43" s="243">
        <v>0</v>
      </c>
      <c r="G43" s="243">
        <v>0</v>
      </c>
      <c r="H43" s="243">
        <v>11461.95</v>
      </c>
      <c r="I43" s="243">
        <v>0</v>
      </c>
      <c r="J43" s="243">
        <v>0</v>
      </c>
      <c r="K43" s="243">
        <v>0</v>
      </c>
      <c r="L43" s="243">
        <v>0</v>
      </c>
      <c r="M43" s="243">
        <v>0</v>
      </c>
      <c r="N43" s="243">
        <v>0</v>
      </c>
      <c r="O43" s="243">
        <f t="shared" si="0"/>
        <v>11461.95</v>
      </c>
      <c r="Q43" s="243">
        <f>-Q46*2</f>
        <v>922.9</v>
      </c>
      <c r="R43" s="243">
        <f t="shared" si="10"/>
        <v>12384.85</v>
      </c>
      <c r="T43" s="243"/>
      <c r="U43" s="243">
        <f t="shared" si="7"/>
        <v>0</v>
      </c>
      <c r="W43" s="243">
        <f>-W46*2</f>
        <v>0</v>
      </c>
      <c r="X43" s="243">
        <f t="shared" si="11"/>
        <v>0</v>
      </c>
      <c r="Z43" s="243"/>
      <c r="AA43" s="243">
        <f t="shared" si="8"/>
        <v>11461.95</v>
      </c>
      <c r="AC43" s="243">
        <f>-AC46*2</f>
        <v>922.9</v>
      </c>
      <c r="AD43" s="243">
        <f t="shared" si="12"/>
        <v>12384.85</v>
      </c>
      <c r="AF43" s="243">
        <f t="shared" si="9"/>
        <v>0</v>
      </c>
    </row>
    <row r="44" spans="1:32">
      <c r="B44" t="s">
        <v>1270</v>
      </c>
      <c r="C44" s="243">
        <v>0</v>
      </c>
      <c r="D44" s="243">
        <v>0</v>
      </c>
      <c r="E44" s="243">
        <v>0</v>
      </c>
      <c r="F44" s="243">
        <v>0</v>
      </c>
      <c r="G44" s="243">
        <v>0</v>
      </c>
      <c r="H44" s="243">
        <v>0</v>
      </c>
      <c r="I44" s="243">
        <v>0</v>
      </c>
      <c r="J44" s="243">
        <v>0</v>
      </c>
      <c r="K44" s="243">
        <v>0</v>
      </c>
      <c r="L44" s="243">
        <v>0</v>
      </c>
      <c r="M44" s="243">
        <v>0</v>
      </c>
      <c r="N44" s="243">
        <v>0</v>
      </c>
      <c r="O44" s="243">
        <f t="shared" si="0"/>
        <v>0</v>
      </c>
      <c r="Q44" s="243">
        <f>-Q47*2</f>
        <v>0</v>
      </c>
      <c r="R44" s="243">
        <f t="shared" si="10"/>
        <v>0</v>
      </c>
      <c r="T44" s="243"/>
      <c r="U44" s="243">
        <f t="shared" si="7"/>
        <v>0</v>
      </c>
      <c r="W44" s="243">
        <f>-W47*2</f>
        <v>0</v>
      </c>
      <c r="X44" s="243">
        <f t="shared" si="11"/>
        <v>0</v>
      </c>
      <c r="Z44" s="243"/>
      <c r="AA44" s="243">
        <f t="shared" si="8"/>
        <v>0</v>
      </c>
      <c r="AC44" s="243">
        <f>-AC47*2</f>
        <v>0</v>
      </c>
      <c r="AD44" s="243">
        <f t="shared" si="12"/>
        <v>0</v>
      </c>
      <c r="AF44" s="243">
        <f t="shared" si="9"/>
        <v>0</v>
      </c>
    </row>
    <row r="45" spans="1:32">
      <c r="B45" t="s">
        <v>1271</v>
      </c>
      <c r="C45" s="243">
        <v>0</v>
      </c>
      <c r="D45" s="243">
        <v>0</v>
      </c>
      <c r="E45" s="243">
        <v>0</v>
      </c>
      <c r="F45" s="243">
        <v>0</v>
      </c>
      <c r="G45" s="243">
        <v>0</v>
      </c>
      <c r="H45" s="243">
        <v>0</v>
      </c>
      <c r="I45" s="243">
        <v>0</v>
      </c>
      <c r="J45" s="243">
        <v>0</v>
      </c>
      <c r="K45" s="243">
        <v>0</v>
      </c>
      <c r="L45" s="243">
        <v>0</v>
      </c>
      <c r="M45" s="243">
        <v>0</v>
      </c>
      <c r="N45" s="243">
        <v>0</v>
      </c>
      <c r="O45" s="243">
        <f t="shared" si="0"/>
        <v>0</v>
      </c>
      <c r="Q45" s="243">
        <f>-Q48*2</f>
        <v>0</v>
      </c>
      <c r="R45" s="243">
        <f t="shared" si="10"/>
        <v>0</v>
      </c>
      <c r="T45" s="243"/>
      <c r="U45" s="243">
        <f t="shared" si="7"/>
        <v>0</v>
      </c>
      <c r="W45" s="243">
        <f>-W48*2</f>
        <v>0</v>
      </c>
      <c r="X45" s="243">
        <f t="shared" si="11"/>
        <v>0</v>
      </c>
      <c r="Z45" s="243"/>
      <c r="AA45" s="243">
        <f t="shared" si="8"/>
        <v>0</v>
      </c>
      <c r="AC45" s="243">
        <f>-AC48*2</f>
        <v>0</v>
      </c>
      <c r="AD45" s="243">
        <f t="shared" si="12"/>
        <v>0</v>
      </c>
      <c r="AF45" s="243">
        <f t="shared" si="9"/>
        <v>0</v>
      </c>
    </row>
    <row r="46" spans="1:32">
      <c r="A46" t="s">
        <v>1283</v>
      </c>
      <c r="B46" t="s">
        <v>1268</v>
      </c>
      <c r="C46" s="243">
        <v>0</v>
      </c>
      <c r="D46" s="243">
        <v>0</v>
      </c>
      <c r="E46" s="243">
        <v>0</v>
      </c>
      <c r="F46" s="243">
        <v>0</v>
      </c>
      <c r="G46" s="243">
        <v>0</v>
      </c>
      <c r="H46" s="243">
        <v>461.45</v>
      </c>
      <c r="I46" s="243">
        <v>0</v>
      </c>
      <c r="J46" s="243">
        <v>0</v>
      </c>
      <c r="K46" s="243">
        <v>0</v>
      </c>
      <c r="L46" s="243">
        <v>0</v>
      </c>
      <c r="M46" s="243">
        <v>0</v>
      </c>
      <c r="N46" s="243">
        <v>0</v>
      </c>
      <c r="O46" s="243">
        <f t="shared" si="0"/>
        <v>461.45</v>
      </c>
      <c r="Q46" s="243">
        <f>-O46</f>
        <v>-461.45</v>
      </c>
      <c r="R46" s="243">
        <f t="shared" si="10"/>
        <v>0</v>
      </c>
      <c r="T46" s="243"/>
      <c r="U46" s="243">
        <f t="shared" si="7"/>
        <v>0</v>
      </c>
      <c r="W46" s="243">
        <f>-U46</f>
        <v>0</v>
      </c>
      <c r="X46" s="243">
        <f t="shared" si="11"/>
        <v>0</v>
      </c>
      <c r="Z46" s="243"/>
      <c r="AA46" s="243">
        <f t="shared" si="8"/>
        <v>461.45</v>
      </c>
      <c r="AC46" s="243">
        <f>-AA46</f>
        <v>-461.45</v>
      </c>
      <c r="AD46" s="243">
        <f t="shared" si="12"/>
        <v>0</v>
      </c>
      <c r="AF46" s="243">
        <f t="shared" si="9"/>
        <v>0</v>
      </c>
    </row>
    <row r="47" spans="1:32">
      <c r="B47" t="s">
        <v>1270</v>
      </c>
      <c r="C47" s="243">
        <v>0</v>
      </c>
      <c r="D47" s="243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243">
        <v>0</v>
      </c>
      <c r="M47" s="243">
        <v>0</v>
      </c>
      <c r="N47" s="243">
        <v>0</v>
      </c>
      <c r="O47" s="243">
        <f t="shared" si="0"/>
        <v>0</v>
      </c>
      <c r="Q47" s="243">
        <f>-O47</f>
        <v>0</v>
      </c>
      <c r="R47" s="243">
        <f t="shared" si="10"/>
        <v>0</v>
      </c>
      <c r="T47" s="243"/>
      <c r="U47" s="243">
        <f t="shared" si="7"/>
        <v>0</v>
      </c>
      <c r="W47" s="243">
        <f>-U47</f>
        <v>0</v>
      </c>
      <c r="X47" s="243">
        <f t="shared" si="11"/>
        <v>0</v>
      </c>
      <c r="Z47" s="243"/>
      <c r="AA47" s="243">
        <f t="shared" si="8"/>
        <v>0</v>
      </c>
      <c r="AC47" s="243">
        <f>-AA47</f>
        <v>0</v>
      </c>
      <c r="AD47" s="243">
        <f t="shared" si="12"/>
        <v>0</v>
      </c>
      <c r="AF47" s="243">
        <f t="shared" si="9"/>
        <v>0</v>
      </c>
    </row>
    <row r="48" spans="1:32">
      <c r="B48" t="s">
        <v>1271</v>
      </c>
      <c r="C48" s="243">
        <v>0</v>
      </c>
      <c r="D48" s="243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0</v>
      </c>
      <c r="K48" s="243">
        <v>0</v>
      </c>
      <c r="L48" s="243">
        <v>0</v>
      </c>
      <c r="M48" s="243">
        <v>0</v>
      </c>
      <c r="N48" s="243">
        <v>0</v>
      </c>
      <c r="O48" s="243">
        <f t="shared" si="0"/>
        <v>0</v>
      </c>
      <c r="Q48" s="243">
        <f>-O48</f>
        <v>0</v>
      </c>
      <c r="R48" s="243">
        <f t="shared" si="10"/>
        <v>0</v>
      </c>
      <c r="T48" s="243"/>
      <c r="U48" s="243">
        <f t="shared" si="7"/>
        <v>0</v>
      </c>
      <c r="W48" s="243">
        <f>-U48</f>
        <v>0</v>
      </c>
      <c r="X48" s="243">
        <f t="shared" si="11"/>
        <v>0</v>
      </c>
      <c r="Z48" s="243"/>
      <c r="AA48" s="243">
        <f t="shared" si="8"/>
        <v>0</v>
      </c>
      <c r="AC48" s="243">
        <f>-AA48</f>
        <v>0</v>
      </c>
      <c r="AD48" s="243">
        <f t="shared" si="12"/>
        <v>0</v>
      </c>
      <c r="AF48" s="243">
        <f t="shared" si="9"/>
        <v>0</v>
      </c>
    </row>
    <row r="49" spans="1:32">
      <c r="A49" s="459" t="s">
        <v>1376</v>
      </c>
      <c r="B49" t="s">
        <v>1268</v>
      </c>
      <c r="C49" s="243">
        <v>0</v>
      </c>
      <c r="D49" s="243">
        <v>0</v>
      </c>
      <c r="E49" s="243">
        <v>0</v>
      </c>
      <c r="F49" s="243">
        <v>0</v>
      </c>
      <c r="G49" s="243">
        <v>0</v>
      </c>
      <c r="H49" s="243">
        <v>42.25</v>
      </c>
      <c r="I49" s="243">
        <v>0</v>
      </c>
      <c r="J49" s="243">
        <v>0</v>
      </c>
      <c r="K49" s="243">
        <v>0</v>
      </c>
      <c r="L49" s="243">
        <v>0</v>
      </c>
      <c r="M49" s="243">
        <v>0</v>
      </c>
      <c r="N49" s="243">
        <v>0</v>
      </c>
      <c r="O49" s="243">
        <f t="shared" si="0"/>
        <v>42.25</v>
      </c>
      <c r="Q49" s="243">
        <f t="shared" ref="Q49:Q54" si="13">-Q52*2</f>
        <v>0</v>
      </c>
      <c r="R49" s="243">
        <f t="shared" si="10"/>
        <v>42.25</v>
      </c>
      <c r="T49" s="243"/>
      <c r="U49" s="243">
        <f t="shared" si="7"/>
        <v>0</v>
      </c>
      <c r="W49" s="243">
        <f t="shared" ref="W49:W54" si="14">-W52*2</f>
        <v>0</v>
      </c>
      <c r="X49" s="243">
        <f t="shared" si="11"/>
        <v>0</v>
      </c>
      <c r="Z49" s="243"/>
      <c r="AA49" s="243">
        <f t="shared" si="8"/>
        <v>42.25</v>
      </c>
      <c r="AC49" s="243">
        <f t="shared" ref="AC49:AC54" si="15">-AC52*2</f>
        <v>0</v>
      </c>
      <c r="AD49" s="243">
        <f t="shared" si="12"/>
        <v>42.25</v>
      </c>
      <c r="AF49" s="243">
        <f t="shared" si="9"/>
        <v>0</v>
      </c>
    </row>
    <row r="50" spans="1:32">
      <c r="B50" t="s">
        <v>1270</v>
      </c>
      <c r="C50" s="243">
        <v>0</v>
      </c>
      <c r="D50" s="243">
        <v>0</v>
      </c>
      <c r="E50" s="243">
        <v>0</v>
      </c>
      <c r="F50" s="243">
        <v>0</v>
      </c>
      <c r="G50" s="243">
        <v>0</v>
      </c>
      <c r="H50" s="243">
        <v>0</v>
      </c>
      <c r="I50" s="243">
        <v>0</v>
      </c>
      <c r="J50" s="243">
        <v>0</v>
      </c>
      <c r="K50" s="243">
        <v>0</v>
      </c>
      <c r="L50" s="243">
        <v>0</v>
      </c>
      <c r="M50" s="243">
        <v>0</v>
      </c>
      <c r="N50" s="243">
        <v>0</v>
      </c>
      <c r="O50" s="243">
        <f t="shared" si="0"/>
        <v>0</v>
      </c>
      <c r="Q50" s="243">
        <f t="shared" si="13"/>
        <v>0</v>
      </c>
      <c r="R50" s="243">
        <f t="shared" si="10"/>
        <v>0</v>
      </c>
      <c r="T50" s="243"/>
      <c r="U50" s="243">
        <f t="shared" si="7"/>
        <v>0</v>
      </c>
      <c r="W50" s="243">
        <f t="shared" si="14"/>
        <v>0</v>
      </c>
      <c r="X50" s="243">
        <f t="shared" si="11"/>
        <v>0</v>
      </c>
      <c r="Z50" s="243"/>
      <c r="AA50" s="243">
        <f t="shared" si="8"/>
        <v>0</v>
      </c>
      <c r="AC50" s="243">
        <f t="shared" si="15"/>
        <v>0</v>
      </c>
      <c r="AD50" s="243">
        <f t="shared" si="12"/>
        <v>0</v>
      </c>
      <c r="AF50" s="243">
        <f t="shared" si="9"/>
        <v>0</v>
      </c>
    </row>
    <row r="51" spans="1:32">
      <c r="B51" t="s">
        <v>1271</v>
      </c>
      <c r="C51" s="243">
        <v>0</v>
      </c>
      <c r="D51" s="243">
        <v>0</v>
      </c>
      <c r="E51" s="243">
        <v>0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  <c r="K51" s="243">
        <v>0</v>
      </c>
      <c r="L51" s="243">
        <v>0</v>
      </c>
      <c r="M51" s="243">
        <v>0</v>
      </c>
      <c r="N51" s="243">
        <v>0</v>
      </c>
      <c r="O51" s="243">
        <f t="shared" si="0"/>
        <v>0</v>
      </c>
      <c r="Q51" s="243">
        <f t="shared" si="13"/>
        <v>0</v>
      </c>
      <c r="R51" s="243">
        <f t="shared" si="10"/>
        <v>0</v>
      </c>
      <c r="T51" s="243"/>
      <c r="U51" s="243">
        <f t="shared" si="7"/>
        <v>0</v>
      </c>
      <c r="W51" s="243">
        <f t="shared" si="14"/>
        <v>0</v>
      </c>
      <c r="X51" s="243">
        <f t="shared" si="11"/>
        <v>0</v>
      </c>
      <c r="Z51" s="243"/>
      <c r="AA51" s="243">
        <f t="shared" si="8"/>
        <v>0</v>
      </c>
      <c r="AC51" s="243">
        <f t="shared" si="15"/>
        <v>0</v>
      </c>
      <c r="AD51" s="243">
        <f t="shared" si="12"/>
        <v>0</v>
      </c>
      <c r="AF51" s="243">
        <f t="shared" si="9"/>
        <v>0</v>
      </c>
    </row>
    <row r="52" spans="1:32">
      <c r="A52" s="459" t="s">
        <v>1375</v>
      </c>
      <c r="B52" t="s">
        <v>1268</v>
      </c>
      <c r="C52" s="243">
        <v>0</v>
      </c>
      <c r="D52" s="243">
        <v>0</v>
      </c>
      <c r="E52" s="243">
        <v>0</v>
      </c>
      <c r="F52" s="243">
        <v>0</v>
      </c>
      <c r="G52" s="243">
        <v>0</v>
      </c>
      <c r="H52" s="243">
        <v>83.25</v>
      </c>
      <c r="I52" s="243">
        <v>0</v>
      </c>
      <c r="J52" s="243">
        <v>0</v>
      </c>
      <c r="K52" s="243">
        <v>0</v>
      </c>
      <c r="L52" s="243">
        <v>0</v>
      </c>
      <c r="M52" s="243">
        <v>0</v>
      </c>
      <c r="N52" s="243">
        <v>0</v>
      </c>
      <c r="O52" s="243">
        <f>SUM(C52:N52)</f>
        <v>83.25</v>
      </c>
      <c r="Q52" s="243">
        <f t="shared" si="13"/>
        <v>0</v>
      </c>
      <c r="R52" s="243">
        <f>+O52+Q52</f>
        <v>83.25</v>
      </c>
      <c r="T52" s="243"/>
      <c r="U52" s="243">
        <f t="shared" si="7"/>
        <v>0</v>
      </c>
      <c r="W52" s="243">
        <f t="shared" si="14"/>
        <v>0</v>
      </c>
      <c r="X52" s="243">
        <f>+U52+W52</f>
        <v>0</v>
      </c>
      <c r="Z52" s="243"/>
      <c r="AA52" s="243">
        <f t="shared" si="8"/>
        <v>83.25</v>
      </c>
      <c r="AC52" s="243">
        <f t="shared" si="15"/>
        <v>0</v>
      </c>
      <c r="AD52" s="243">
        <f>+AA52+AC52</f>
        <v>83.25</v>
      </c>
      <c r="AF52" s="243">
        <f>IF(B52="CHE",X52/12,0)</f>
        <v>0</v>
      </c>
    </row>
    <row r="53" spans="1:32">
      <c r="B53" t="s">
        <v>1270</v>
      </c>
      <c r="C53" s="243">
        <v>0</v>
      </c>
      <c r="D53" s="243">
        <v>0</v>
      </c>
      <c r="E53" s="243">
        <v>0</v>
      </c>
      <c r="F53" s="243">
        <v>0</v>
      </c>
      <c r="G53" s="243">
        <v>0</v>
      </c>
      <c r="H53" s="243">
        <v>0</v>
      </c>
      <c r="I53" s="243">
        <v>0</v>
      </c>
      <c r="J53" s="243">
        <v>0</v>
      </c>
      <c r="K53" s="243">
        <v>0</v>
      </c>
      <c r="L53" s="243">
        <v>0</v>
      </c>
      <c r="M53" s="243">
        <v>0</v>
      </c>
      <c r="N53" s="243">
        <v>0</v>
      </c>
      <c r="O53" s="243">
        <f>SUM(C53:N53)</f>
        <v>0</v>
      </c>
      <c r="Q53" s="243">
        <f t="shared" si="13"/>
        <v>0</v>
      </c>
      <c r="R53" s="243">
        <f>+O53+Q53</f>
        <v>0</v>
      </c>
      <c r="T53" s="243"/>
      <c r="U53" s="243">
        <f t="shared" si="7"/>
        <v>0</v>
      </c>
      <c r="W53" s="243">
        <f t="shared" si="14"/>
        <v>0</v>
      </c>
      <c r="X53" s="243">
        <f>+U53+W53</f>
        <v>0</v>
      </c>
      <c r="Z53" s="243"/>
      <c r="AA53" s="243">
        <f t="shared" si="8"/>
        <v>0</v>
      </c>
      <c r="AC53" s="243">
        <f t="shared" si="15"/>
        <v>0</v>
      </c>
      <c r="AD53" s="243">
        <f>+AA53+AC53</f>
        <v>0</v>
      </c>
      <c r="AF53" s="243">
        <f>IF(B53="CHE",X53/12,0)</f>
        <v>0</v>
      </c>
    </row>
    <row r="54" spans="1:32">
      <c r="B54" t="s">
        <v>1271</v>
      </c>
      <c r="C54" s="243">
        <v>0</v>
      </c>
      <c r="D54" s="243">
        <v>0</v>
      </c>
      <c r="E54" s="243">
        <v>0</v>
      </c>
      <c r="F54" s="243">
        <v>0</v>
      </c>
      <c r="G54" s="243">
        <v>0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0</v>
      </c>
      <c r="N54" s="243">
        <v>0</v>
      </c>
      <c r="O54" s="243">
        <f>SUM(C54:N54)</f>
        <v>0</v>
      </c>
      <c r="Q54" s="243">
        <f t="shared" si="13"/>
        <v>0</v>
      </c>
      <c r="R54" s="243">
        <f>+O54+Q54</f>
        <v>0</v>
      </c>
      <c r="T54" s="243"/>
      <c r="U54" s="243">
        <f t="shared" si="7"/>
        <v>0</v>
      </c>
      <c r="W54" s="243">
        <f t="shared" si="14"/>
        <v>0</v>
      </c>
      <c r="X54" s="243">
        <f>+U54+W54</f>
        <v>0</v>
      </c>
      <c r="Z54" s="243"/>
      <c r="AA54" s="243">
        <f t="shared" si="8"/>
        <v>0</v>
      </c>
      <c r="AC54" s="243">
        <f t="shared" si="15"/>
        <v>0</v>
      </c>
      <c r="AD54" s="243">
        <f>+AA54+AC54</f>
        <v>0</v>
      </c>
      <c r="AF54" s="243">
        <f>IF(B54="CHE",X54/12,0)</f>
        <v>0</v>
      </c>
    </row>
    <row r="55" spans="1:32">
      <c r="A55" t="s">
        <v>1284</v>
      </c>
      <c r="B55" t="s">
        <v>1268</v>
      </c>
      <c r="C55" s="243">
        <v>0</v>
      </c>
      <c r="D55" s="243">
        <v>0</v>
      </c>
      <c r="E55" s="243">
        <v>0</v>
      </c>
      <c r="F55" s="243">
        <v>0</v>
      </c>
      <c r="G55" s="243">
        <v>0</v>
      </c>
      <c r="H55" s="243">
        <v>12</v>
      </c>
      <c r="I55" s="243">
        <v>0</v>
      </c>
      <c r="J55" s="243">
        <v>0</v>
      </c>
      <c r="K55" s="243">
        <v>0</v>
      </c>
      <c r="L55" s="243">
        <v>0</v>
      </c>
      <c r="M55" s="243">
        <v>0</v>
      </c>
      <c r="N55" s="243">
        <v>0</v>
      </c>
      <c r="O55" s="243">
        <f t="shared" si="0"/>
        <v>12</v>
      </c>
      <c r="Q55" s="243"/>
      <c r="R55" s="243">
        <f t="shared" si="10"/>
        <v>12</v>
      </c>
      <c r="T55" s="243"/>
      <c r="U55" s="243">
        <f t="shared" si="7"/>
        <v>0</v>
      </c>
      <c r="W55" s="243"/>
      <c r="X55" s="243">
        <f t="shared" si="11"/>
        <v>0</v>
      </c>
      <c r="Z55" s="243"/>
      <c r="AA55" s="243">
        <f t="shared" si="8"/>
        <v>12</v>
      </c>
      <c r="AC55" s="243"/>
      <c r="AD55" s="243">
        <f>+AA55+AC55</f>
        <v>12</v>
      </c>
      <c r="AF55" s="243">
        <f t="shared" si="9"/>
        <v>0</v>
      </c>
    </row>
    <row r="56" spans="1:32">
      <c r="B56" t="s">
        <v>1270</v>
      </c>
      <c r="C56" s="243">
        <v>0</v>
      </c>
      <c r="D56" s="243">
        <v>0</v>
      </c>
      <c r="E56" s="243">
        <v>0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  <c r="K56" s="243">
        <v>0</v>
      </c>
      <c r="L56" s="243">
        <v>0</v>
      </c>
      <c r="M56" s="243">
        <v>0</v>
      </c>
      <c r="N56" s="243">
        <v>0</v>
      </c>
      <c r="O56" s="243">
        <f t="shared" si="0"/>
        <v>0</v>
      </c>
      <c r="Q56" s="243"/>
      <c r="R56" s="243">
        <f t="shared" si="10"/>
        <v>0</v>
      </c>
      <c r="T56" s="243"/>
      <c r="U56" s="243">
        <f t="shared" si="7"/>
        <v>0</v>
      </c>
      <c r="W56" s="243"/>
      <c r="X56" s="243">
        <f t="shared" si="11"/>
        <v>0</v>
      </c>
      <c r="Z56" s="243"/>
      <c r="AA56" s="243">
        <f t="shared" si="8"/>
        <v>0</v>
      </c>
      <c r="AC56" s="243"/>
      <c r="AD56" s="243">
        <f t="shared" si="12"/>
        <v>0</v>
      </c>
      <c r="AF56" s="243">
        <f t="shared" si="9"/>
        <v>0</v>
      </c>
    </row>
    <row r="57" spans="1:32">
      <c r="B57" t="s">
        <v>1271</v>
      </c>
      <c r="C57" s="243">
        <v>0</v>
      </c>
      <c r="D57" s="243">
        <v>0</v>
      </c>
      <c r="E57" s="243">
        <v>0</v>
      </c>
      <c r="F57" s="243">
        <v>0</v>
      </c>
      <c r="G57" s="243">
        <v>0</v>
      </c>
      <c r="H57" s="243">
        <v>0</v>
      </c>
      <c r="I57" s="243">
        <v>0</v>
      </c>
      <c r="J57" s="243">
        <v>0</v>
      </c>
      <c r="K57" s="243">
        <v>0</v>
      </c>
      <c r="L57" s="243">
        <v>0</v>
      </c>
      <c r="M57" s="243">
        <v>0</v>
      </c>
      <c r="N57" s="243">
        <v>0</v>
      </c>
      <c r="O57" s="243">
        <f t="shared" si="0"/>
        <v>0</v>
      </c>
      <c r="Q57" s="243">
        <f>+Q84</f>
        <v>0</v>
      </c>
      <c r="R57" s="243">
        <f t="shared" si="10"/>
        <v>0</v>
      </c>
      <c r="T57" s="243"/>
      <c r="U57" s="243">
        <f t="shared" si="7"/>
        <v>0</v>
      </c>
      <c r="W57" s="243"/>
      <c r="X57" s="243">
        <f t="shared" si="11"/>
        <v>0</v>
      </c>
      <c r="Z57" s="243"/>
      <c r="AA57" s="243">
        <f t="shared" si="8"/>
        <v>0</v>
      </c>
      <c r="AC57" s="243">
        <f>+AC84</f>
        <v>0</v>
      </c>
      <c r="AD57" s="243">
        <f t="shared" si="12"/>
        <v>0</v>
      </c>
      <c r="AF57" s="243">
        <f t="shared" si="9"/>
        <v>0</v>
      </c>
    </row>
    <row r="58" spans="1:32">
      <c r="A58" t="s">
        <v>1285</v>
      </c>
      <c r="B58" t="s">
        <v>1268</v>
      </c>
      <c r="C58" s="243">
        <v>0</v>
      </c>
      <c r="D58" s="243">
        <v>0</v>
      </c>
      <c r="E58" s="243">
        <v>0</v>
      </c>
      <c r="F58" s="243">
        <v>0</v>
      </c>
      <c r="G58" s="243">
        <v>0</v>
      </c>
      <c r="H58" s="243">
        <v>24</v>
      </c>
      <c r="I58" s="243">
        <v>0</v>
      </c>
      <c r="J58" s="243">
        <v>0</v>
      </c>
      <c r="K58" s="243">
        <v>0</v>
      </c>
      <c r="L58" s="243">
        <v>0</v>
      </c>
      <c r="M58" s="243">
        <v>0</v>
      </c>
      <c r="N58" s="243">
        <v>0</v>
      </c>
      <c r="O58" s="243">
        <f t="shared" si="0"/>
        <v>24</v>
      </c>
      <c r="R58" s="243">
        <f t="shared" si="10"/>
        <v>24</v>
      </c>
      <c r="T58" s="243"/>
      <c r="U58" s="243">
        <f t="shared" si="7"/>
        <v>0</v>
      </c>
      <c r="X58" s="243">
        <f t="shared" si="11"/>
        <v>0</v>
      </c>
      <c r="Z58" s="243"/>
      <c r="AA58" s="243">
        <f t="shared" si="8"/>
        <v>24</v>
      </c>
      <c r="AD58" s="243">
        <f t="shared" si="12"/>
        <v>24</v>
      </c>
      <c r="AF58" s="243">
        <f t="shared" si="9"/>
        <v>0</v>
      </c>
    </row>
    <row r="59" spans="1:32">
      <c r="B59" t="s">
        <v>1270</v>
      </c>
      <c r="C59" s="243">
        <v>0</v>
      </c>
      <c r="D59" s="243">
        <v>0</v>
      </c>
      <c r="E59" s="243">
        <v>0</v>
      </c>
      <c r="F59" s="243">
        <v>0</v>
      </c>
      <c r="G59" s="243">
        <v>0</v>
      </c>
      <c r="H59" s="243">
        <v>0</v>
      </c>
      <c r="I59" s="243">
        <v>0</v>
      </c>
      <c r="J59" s="243">
        <v>0</v>
      </c>
      <c r="K59" s="243">
        <v>0</v>
      </c>
      <c r="L59" s="243">
        <v>0</v>
      </c>
      <c r="M59" s="243">
        <v>0</v>
      </c>
      <c r="N59" s="243">
        <v>0</v>
      </c>
      <c r="O59" s="243">
        <f t="shared" si="0"/>
        <v>0</v>
      </c>
      <c r="R59" s="243">
        <f t="shared" si="10"/>
        <v>0</v>
      </c>
      <c r="T59" s="243"/>
      <c r="U59" s="243">
        <f t="shared" si="7"/>
        <v>0</v>
      </c>
      <c r="X59" s="243">
        <f t="shared" si="11"/>
        <v>0</v>
      </c>
      <c r="Z59" s="243"/>
      <c r="AA59" s="243">
        <f t="shared" si="8"/>
        <v>0</v>
      </c>
      <c r="AD59" s="243">
        <f t="shared" si="12"/>
        <v>0</v>
      </c>
      <c r="AF59" s="243">
        <f t="shared" si="9"/>
        <v>0</v>
      </c>
    </row>
    <row r="60" spans="1:32">
      <c r="B60" t="s">
        <v>1271</v>
      </c>
      <c r="C60" s="243">
        <v>0</v>
      </c>
      <c r="D60" s="243">
        <v>0</v>
      </c>
      <c r="E60" s="243">
        <v>0</v>
      </c>
      <c r="F60" s="243">
        <v>0</v>
      </c>
      <c r="G60" s="243">
        <v>0</v>
      </c>
      <c r="H60" s="243">
        <v>9</v>
      </c>
      <c r="I60" s="243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0</v>
      </c>
      <c r="O60" s="243">
        <f t="shared" si="0"/>
        <v>9</v>
      </c>
      <c r="R60" s="243">
        <f t="shared" si="10"/>
        <v>9</v>
      </c>
      <c r="T60" s="243"/>
      <c r="U60" s="243">
        <f t="shared" si="7"/>
        <v>0</v>
      </c>
      <c r="X60" s="243">
        <f t="shared" si="11"/>
        <v>0</v>
      </c>
      <c r="Z60" s="243"/>
      <c r="AA60" s="243">
        <f t="shared" si="8"/>
        <v>9</v>
      </c>
      <c r="AD60" s="243">
        <f t="shared" si="12"/>
        <v>9</v>
      </c>
      <c r="AF60" s="243">
        <f t="shared" si="9"/>
        <v>0</v>
      </c>
    </row>
    <row r="61" spans="1:32">
      <c r="A61" s="459" t="s">
        <v>1286</v>
      </c>
      <c r="B61" t="s">
        <v>1268</v>
      </c>
      <c r="C61" s="243">
        <v>0</v>
      </c>
      <c r="D61" s="243">
        <v>0</v>
      </c>
      <c r="E61" s="243">
        <v>0</v>
      </c>
      <c r="F61" s="243">
        <v>0</v>
      </c>
      <c r="G61" s="243">
        <v>0</v>
      </c>
      <c r="H61" s="243">
        <v>3781.75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f>SUM(C61:N61)</f>
        <v>3781.75</v>
      </c>
      <c r="Q61" s="243"/>
      <c r="R61" s="243">
        <f t="shared" si="10"/>
        <v>3781.75</v>
      </c>
      <c r="T61" s="243"/>
      <c r="U61" s="243">
        <f t="shared" si="7"/>
        <v>0</v>
      </c>
      <c r="W61" s="243"/>
      <c r="X61" s="243">
        <f t="shared" si="11"/>
        <v>0</v>
      </c>
      <c r="Z61" s="243"/>
      <c r="AA61" s="243">
        <f t="shared" si="8"/>
        <v>3781.75</v>
      </c>
      <c r="AC61" s="243">
        <f>+AC106</f>
        <v>0</v>
      </c>
      <c r="AD61" s="243">
        <f t="shared" si="12"/>
        <v>3781.75</v>
      </c>
      <c r="AF61" s="243">
        <f t="shared" si="9"/>
        <v>0</v>
      </c>
    </row>
    <row r="62" spans="1:32">
      <c r="B62" t="s">
        <v>1270</v>
      </c>
      <c r="C62" s="243">
        <v>0</v>
      </c>
      <c r="D62" s="243">
        <v>0</v>
      </c>
      <c r="E62" s="243">
        <v>0</v>
      </c>
      <c r="F62" s="243">
        <v>0</v>
      </c>
      <c r="G62" s="243">
        <v>0</v>
      </c>
      <c r="H62" s="243">
        <v>0</v>
      </c>
      <c r="I62" s="243">
        <v>0</v>
      </c>
      <c r="J62" s="243">
        <v>0</v>
      </c>
      <c r="K62" s="243">
        <v>0</v>
      </c>
      <c r="L62" s="243">
        <v>0</v>
      </c>
      <c r="M62" s="243">
        <v>0</v>
      </c>
      <c r="N62" s="243">
        <v>0</v>
      </c>
      <c r="O62" s="243">
        <f>SUM(C62:N62)</f>
        <v>0</v>
      </c>
      <c r="Q62" s="243"/>
      <c r="R62" s="243">
        <f t="shared" si="10"/>
        <v>0</v>
      </c>
      <c r="T62" s="243"/>
      <c r="U62" s="243">
        <f t="shared" si="7"/>
        <v>0</v>
      </c>
      <c r="W62" s="243"/>
      <c r="X62" s="243">
        <f t="shared" si="11"/>
        <v>0</v>
      </c>
      <c r="Z62" s="243"/>
      <c r="AA62" s="243">
        <f t="shared" si="8"/>
        <v>0</v>
      </c>
      <c r="AC62" s="243">
        <f>+AC107</f>
        <v>0</v>
      </c>
      <c r="AD62" s="243">
        <f t="shared" si="12"/>
        <v>0</v>
      </c>
      <c r="AF62" s="243">
        <f t="shared" si="9"/>
        <v>0</v>
      </c>
    </row>
    <row r="63" spans="1:32">
      <c r="B63" t="s">
        <v>1271</v>
      </c>
      <c r="C63" s="243">
        <v>0</v>
      </c>
      <c r="D63" s="243">
        <v>0</v>
      </c>
      <c r="E63" s="243">
        <v>0</v>
      </c>
      <c r="F63" s="243">
        <v>0</v>
      </c>
      <c r="G63" s="243">
        <v>0</v>
      </c>
      <c r="H63" s="243">
        <v>0</v>
      </c>
      <c r="I63" s="243">
        <v>0</v>
      </c>
      <c r="J63" s="243">
        <v>0</v>
      </c>
      <c r="K63" s="243">
        <v>0</v>
      </c>
      <c r="L63" s="243">
        <v>0</v>
      </c>
      <c r="M63" s="243">
        <v>0</v>
      </c>
      <c r="N63" s="243">
        <v>0</v>
      </c>
      <c r="O63" s="243">
        <f>SUM(C63:N63)</f>
        <v>0</v>
      </c>
      <c r="Q63" s="243"/>
      <c r="R63" s="243">
        <f>+O63+Q63</f>
        <v>0</v>
      </c>
      <c r="T63" s="243"/>
      <c r="U63" s="243">
        <f t="shared" si="7"/>
        <v>0</v>
      </c>
      <c r="W63" s="243"/>
      <c r="X63" s="243">
        <f>+U63+W63</f>
        <v>0</v>
      </c>
      <c r="Z63" s="243"/>
      <c r="AA63" s="243">
        <f t="shared" si="8"/>
        <v>0</v>
      </c>
      <c r="AC63" s="243">
        <f>+AC108</f>
        <v>0</v>
      </c>
      <c r="AD63" s="243">
        <f>+AA63+AC63</f>
        <v>0</v>
      </c>
      <c r="AF63" s="243">
        <f t="shared" si="9"/>
        <v>0</v>
      </c>
    </row>
    <row r="64" spans="1:32">
      <c r="A64" t="s">
        <v>1287</v>
      </c>
      <c r="B64" t="s">
        <v>1268</v>
      </c>
      <c r="C64" s="243">
        <v>0</v>
      </c>
      <c r="D64" s="243">
        <v>0</v>
      </c>
      <c r="E64" s="243">
        <v>0</v>
      </c>
      <c r="F64" s="243">
        <v>0</v>
      </c>
      <c r="G64" s="243">
        <v>0</v>
      </c>
      <c r="H64" s="243">
        <v>0</v>
      </c>
      <c r="I64" s="243">
        <v>0</v>
      </c>
      <c r="J64" s="243">
        <v>0</v>
      </c>
      <c r="K64" s="243">
        <v>0</v>
      </c>
      <c r="L64" s="243">
        <v>0</v>
      </c>
      <c r="M64" s="243">
        <v>0</v>
      </c>
      <c r="N64" s="243">
        <v>0</v>
      </c>
      <c r="O64" s="243">
        <f t="shared" si="0"/>
        <v>0</v>
      </c>
      <c r="P64">
        <v>4.33</v>
      </c>
      <c r="Q64" s="243">
        <f t="shared" ref="Q64:Q81" si="16">+O64/P64</f>
        <v>0</v>
      </c>
      <c r="T64" s="243"/>
      <c r="U64" s="243">
        <f t="shared" si="7"/>
        <v>0</v>
      </c>
      <c r="V64">
        <v>4.33</v>
      </c>
      <c r="W64" s="243">
        <f t="shared" ref="W64:W81" si="17">+U64/V64</f>
        <v>0</v>
      </c>
      <c r="Z64" s="243"/>
      <c r="AA64" s="243">
        <f t="shared" si="8"/>
        <v>0</v>
      </c>
      <c r="AB64">
        <v>4.33</v>
      </c>
      <c r="AC64" s="243">
        <f t="shared" ref="AC64:AC81" si="18">+AA64/AB64</f>
        <v>0</v>
      </c>
      <c r="AF64" s="243">
        <f t="shared" si="9"/>
        <v>0</v>
      </c>
    </row>
    <row r="65" spans="1:32">
      <c r="B65" t="s">
        <v>1270</v>
      </c>
      <c r="C65" s="243">
        <v>0</v>
      </c>
      <c r="D65" s="243">
        <v>0</v>
      </c>
      <c r="E65" s="243">
        <v>0</v>
      </c>
      <c r="F65" s="243">
        <v>0</v>
      </c>
      <c r="G65" s="243">
        <v>0</v>
      </c>
      <c r="H65" s="243">
        <v>0</v>
      </c>
      <c r="I65" s="243">
        <v>0</v>
      </c>
      <c r="J65" s="243">
        <v>0</v>
      </c>
      <c r="K65" s="243">
        <v>0</v>
      </c>
      <c r="L65" s="243">
        <v>0</v>
      </c>
      <c r="M65" s="243">
        <v>0</v>
      </c>
      <c r="N65" s="243">
        <v>0</v>
      </c>
      <c r="O65" s="243">
        <f t="shared" si="0"/>
        <v>0</v>
      </c>
      <c r="P65">
        <v>4.33</v>
      </c>
      <c r="Q65" s="243">
        <f t="shared" si="16"/>
        <v>0</v>
      </c>
      <c r="T65" s="243"/>
      <c r="U65" s="243">
        <f t="shared" si="7"/>
        <v>0</v>
      </c>
      <c r="V65">
        <v>4.33</v>
      </c>
      <c r="W65" s="243">
        <f t="shared" si="17"/>
        <v>0</v>
      </c>
      <c r="Z65" s="243"/>
      <c r="AA65" s="243">
        <f t="shared" si="8"/>
        <v>0</v>
      </c>
      <c r="AB65">
        <v>4.33</v>
      </c>
      <c r="AC65" s="243">
        <f t="shared" si="18"/>
        <v>0</v>
      </c>
      <c r="AF65" s="243">
        <f t="shared" si="9"/>
        <v>0</v>
      </c>
    </row>
    <row r="66" spans="1:32">
      <c r="B66" t="s">
        <v>1271</v>
      </c>
      <c r="C66" s="243">
        <v>0</v>
      </c>
      <c r="D66" s="243">
        <v>0</v>
      </c>
      <c r="E66" s="243">
        <v>0</v>
      </c>
      <c r="F66" s="243">
        <v>0</v>
      </c>
      <c r="G66" s="243">
        <v>0</v>
      </c>
      <c r="H66" s="243">
        <v>0</v>
      </c>
      <c r="I66" s="243">
        <v>0</v>
      </c>
      <c r="J66" s="243">
        <v>0</v>
      </c>
      <c r="K66" s="243">
        <v>0</v>
      </c>
      <c r="L66" s="243">
        <v>0</v>
      </c>
      <c r="M66" s="243">
        <v>0</v>
      </c>
      <c r="N66" s="243">
        <v>0</v>
      </c>
      <c r="O66" s="243">
        <f t="shared" si="0"/>
        <v>0</v>
      </c>
      <c r="P66">
        <v>4.33</v>
      </c>
      <c r="Q66" s="243">
        <f t="shared" si="16"/>
        <v>0</v>
      </c>
      <c r="T66" s="243"/>
      <c r="U66" s="243">
        <f t="shared" si="7"/>
        <v>0</v>
      </c>
      <c r="V66">
        <v>4.33</v>
      </c>
      <c r="W66" s="243">
        <f t="shared" si="17"/>
        <v>0</v>
      </c>
      <c r="Z66" s="243"/>
      <c r="AA66" s="243">
        <f t="shared" si="8"/>
        <v>0</v>
      </c>
      <c r="AB66">
        <v>4.33</v>
      </c>
      <c r="AC66" s="243">
        <f t="shared" si="18"/>
        <v>0</v>
      </c>
      <c r="AF66" s="243">
        <f t="shared" si="9"/>
        <v>0</v>
      </c>
    </row>
    <row r="67" spans="1:32">
      <c r="A67" t="s">
        <v>1288</v>
      </c>
      <c r="B67" t="s">
        <v>1268</v>
      </c>
      <c r="C67" s="243">
        <v>0</v>
      </c>
      <c r="D67" s="243">
        <v>0</v>
      </c>
      <c r="E67" s="243">
        <v>0</v>
      </c>
      <c r="F67" s="243">
        <v>0</v>
      </c>
      <c r="G67" s="243">
        <v>0</v>
      </c>
      <c r="H67" s="243">
        <v>0</v>
      </c>
      <c r="I67" s="243">
        <v>0</v>
      </c>
      <c r="J67" s="243">
        <v>0</v>
      </c>
      <c r="K67" s="243">
        <v>0</v>
      </c>
      <c r="L67" s="243">
        <v>0</v>
      </c>
      <c r="M67" s="243">
        <v>0</v>
      </c>
      <c r="N67" s="243">
        <v>0</v>
      </c>
      <c r="O67" s="243">
        <f t="shared" si="0"/>
        <v>0</v>
      </c>
      <c r="P67">
        <v>4.33</v>
      </c>
      <c r="Q67" s="243">
        <f t="shared" si="16"/>
        <v>0</v>
      </c>
      <c r="T67" s="243"/>
      <c r="U67" s="243">
        <f t="shared" si="7"/>
        <v>0</v>
      </c>
      <c r="V67">
        <v>4.33</v>
      </c>
      <c r="W67" s="243">
        <f t="shared" si="17"/>
        <v>0</v>
      </c>
      <c r="Z67" s="243"/>
      <c r="AA67" s="243">
        <f t="shared" si="8"/>
        <v>0</v>
      </c>
      <c r="AB67">
        <v>4.33</v>
      </c>
      <c r="AC67" s="243">
        <f t="shared" si="18"/>
        <v>0</v>
      </c>
      <c r="AF67" s="243">
        <f t="shared" si="9"/>
        <v>0</v>
      </c>
    </row>
    <row r="68" spans="1:32">
      <c r="B68" t="s">
        <v>1270</v>
      </c>
      <c r="C68" s="243">
        <v>0</v>
      </c>
      <c r="D68" s="243">
        <v>0</v>
      </c>
      <c r="E68" s="243">
        <v>0</v>
      </c>
      <c r="F68" s="243">
        <v>0</v>
      </c>
      <c r="G68" s="243">
        <v>0</v>
      </c>
      <c r="H68" s="243">
        <v>0</v>
      </c>
      <c r="I68" s="243">
        <v>0</v>
      </c>
      <c r="J68" s="243">
        <v>0</v>
      </c>
      <c r="K68" s="243">
        <v>0</v>
      </c>
      <c r="L68" s="243">
        <v>0</v>
      </c>
      <c r="M68" s="243">
        <v>0</v>
      </c>
      <c r="N68" s="243">
        <v>0</v>
      </c>
      <c r="O68" s="243">
        <f t="shared" si="0"/>
        <v>0</v>
      </c>
      <c r="P68">
        <v>4.33</v>
      </c>
      <c r="Q68" s="243">
        <f t="shared" si="16"/>
        <v>0</v>
      </c>
      <c r="T68" s="243"/>
      <c r="U68" s="243">
        <f t="shared" si="7"/>
        <v>0</v>
      </c>
      <c r="V68">
        <v>4.33</v>
      </c>
      <c r="W68" s="243">
        <f t="shared" si="17"/>
        <v>0</v>
      </c>
      <c r="Z68" s="243"/>
      <c r="AA68" s="243">
        <f t="shared" si="8"/>
        <v>0</v>
      </c>
      <c r="AB68">
        <v>4.33</v>
      </c>
      <c r="AC68" s="243">
        <f t="shared" si="18"/>
        <v>0</v>
      </c>
      <c r="AF68" s="243">
        <f t="shared" si="9"/>
        <v>0</v>
      </c>
    </row>
    <row r="69" spans="1:32">
      <c r="B69" t="s">
        <v>1271</v>
      </c>
      <c r="C69" s="243">
        <v>0</v>
      </c>
      <c r="D69" s="243">
        <v>0</v>
      </c>
      <c r="E69" s="243">
        <v>0</v>
      </c>
      <c r="F69" s="243">
        <v>0</v>
      </c>
      <c r="G69" s="243">
        <v>0</v>
      </c>
      <c r="H69" s="243">
        <v>9</v>
      </c>
      <c r="I69" s="243">
        <v>0</v>
      </c>
      <c r="J69" s="243">
        <v>0</v>
      </c>
      <c r="K69" s="243">
        <v>0</v>
      </c>
      <c r="L69" s="243">
        <v>0</v>
      </c>
      <c r="M69" s="243">
        <v>0</v>
      </c>
      <c r="N69" s="243">
        <v>0</v>
      </c>
      <c r="O69" s="243">
        <f t="shared" si="0"/>
        <v>9</v>
      </c>
      <c r="P69">
        <v>4.33</v>
      </c>
      <c r="Q69" s="243">
        <f t="shared" si="16"/>
        <v>2.0785219399538106</v>
      </c>
      <c r="T69" s="243"/>
      <c r="U69" s="243">
        <f t="shared" si="7"/>
        <v>0</v>
      </c>
      <c r="V69">
        <v>4.33</v>
      </c>
      <c r="W69" s="243">
        <f t="shared" si="17"/>
        <v>0</v>
      </c>
      <c r="Z69" s="243"/>
      <c r="AA69" s="243">
        <f t="shared" si="8"/>
        <v>9</v>
      </c>
      <c r="AB69">
        <v>4.33</v>
      </c>
      <c r="AC69" s="243">
        <f t="shared" si="18"/>
        <v>2.0785219399538106</v>
      </c>
      <c r="AF69" s="243">
        <f t="shared" si="9"/>
        <v>0</v>
      </c>
    </row>
    <row r="70" spans="1:32">
      <c r="A70" t="s">
        <v>1289</v>
      </c>
      <c r="B70" t="s">
        <v>1268</v>
      </c>
      <c r="C70" s="243">
        <v>0</v>
      </c>
      <c r="D70" s="243">
        <v>0</v>
      </c>
      <c r="E70" s="243">
        <v>0</v>
      </c>
      <c r="F70" s="243">
        <v>0</v>
      </c>
      <c r="G70" s="243">
        <v>0</v>
      </c>
      <c r="H70" s="243">
        <v>0</v>
      </c>
      <c r="I70" s="243">
        <v>0</v>
      </c>
      <c r="J70" s="243">
        <v>0</v>
      </c>
      <c r="K70" s="243">
        <v>0</v>
      </c>
      <c r="L70" s="243">
        <v>0</v>
      </c>
      <c r="M70" s="243">
        <v>0</v>
      </c>
      <c r="N70" s="243">
        <v>0</v>
      </c>
      <c r="O70" s="243">
        <f t="shared" si="0"/>
        <v>0</v>
      </c>
      <c r="P70">
        <v>4.33</v>
      </c>
      <c r="Q70" s="243">
        <f t="shared" si="16"/>
        <v>0</v>
      </c>
      <c r="T70" s="243"/>
      <c r="U70" s="243">
        <f t="shared" si="7"/>
        <v>0</v>
      </c>
      <c r="V70">
        <v>4.33</v>
      </c>
      <c r="W70" s="243">
        <f t="shared" si="17"/>
        <v>0</v>
      </c>
      <c r="Z70" s="243"/>
      <c r="AA70" s="243">
        <f t="shared" si="8"/>
        <v>0</v>
      </c>
      <c r="AB70">
        <v>4.33</v>
      </c>
      <c r="AC70" s="243">
        <f t="shared" si="18"/>
        <v>0</v>
      </c>
      <c r="AF70" s="243">
        <f t="shared" si="9"/>
        <v>0</v>
      </c>
    </row>
    <row r="71" spans="1:32">
      <c r="B71" t="s">
        <v>1270</v>
      </c>
      <c r="C71" s="243">
        <v>0</v>
      </c>
      <c r="D71" s="243">
        <v>0</v>
      </c>
      <c r="E71" s="243">
        <v>0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</v>
      </c>
      <c r="N71" s="243">
        <v>0</v>
      </c>
      <c r="O71" s="243">
        <f t="shared" si="0"/>
        <v>0</v>
      </c>
      <c r="P71">
        <v>4.33</v>
      </c>
      <c r="Q71" s="243">
        <f t="shared" si="16"/>
        <v>0</v>
      </c>
      <c r="T71" s="243"/>
      <c r="U71" s="243">
        <f t="shared" si="7"/>
        <v>0</v>
      </c>
      <c r="V71">
        <v>4.33</v>
      </c>
      <c r="W71" s="243">
        <f t="shared" si="17"/>
        <v>0</v>
      </c>
      <c r="Z71" s="243"/>
      <c r="AA71" s="243">
        <f t="shared" si="8"/>
        <v>0</v>
      </c>
      <c r="AB71">
        <v>4.33</v>
      </c>
      <c r="AC71" s="243">
        <f t="shared" si="18"/>
        <v>0</v>
      </c>
      <c r="AF71" s="243">
        <f t="shared" si="9"/>
        <v>0</v>
      </c>
    </row>
    <row r="72" spans="1:32">
      <c r="B72" t="s">
        <v>1271</v>
      </c>
      <c r="C72" s="243">
        <v>0</v>
      </c>
      <c r="D72" s="243">
        <v>0</v>
      </c>
      <c r="E72" s="243">
        <v>0</v>
      </c>
      <c r="F72" s="243">
        <v>0</v>
      </c>
      <c r="G72" s="243">
        <v>0</v>
      </c>
      <c r="H72" s="243">
        <v>0</v>
      </c>
      <c r="I72" s="243">
        <v>0</v>
      </c>
      <c r="J72" s="243">
        <v>0</v>
      </c>
      <c r="K72" s="243">
        <v>0</v>
      </c>
      <c r="L72" s="243">
        <v>0</v>
      </c>
      <c r="M72" s="243">
        <v>0</v>
      </c>
      <c r="N72" s="243">
        <v>0</v>
      </c>
      <c r="O72" s="243">
        <f t="shared" si="0"/>
        <v>0</v>
      </c>
      <c r="P72">
        <v>4.33</v>
      </c>
      <c r="Q72" s="243">
        <f t="shared" si="16"/>
        <v>0</v>
      </c>
      <c r="T72" s="243"/>
      <c r="U72" s="243">
        <f t="shared" si="7"/>
        <v>0</v>
      </c>
      <c r="V72">
        <v>4.33</v>
      </c>
      <c r="W72" s="243">
        <f t="shared" si="17"/>
        <v>0</v>
      </c>
      <c r="Z72" s="243"/>
      <c r="AA72" s="243">
        <f t="shared" si="8"/>
        <v>0</v>
      </c>
      <c r="AB72">
        <v>4.33</v>
      </c>
      <c r="AC72" s="243">
        <f t="shared" si="18"/>
        <v>0</v>
      </c>
      <c r="AF72" s="243">
        <f t="shared" si="9"/>
        <v>0</v>
      </c>
    </row>
    <row r="73" spans="1:32">
      <c r="A73" t="s">
        <v>1290</v>
      </c>
      <c r="B73" t="s">
        <v>1268</v>
      </c>
      <c r="C73" s="243">
        <v>0</v>
      </c>
      <c r="D73" s="243">
        <v>0</v>
      </c>
      <c r="E73" s="243">
        <v>0</v>
      </c>
      <c r="F73" s="243">
        <v>0</v>
      </c>
      <c r="G73" s="243">
        <v>0</v>
      </c>
      <c r="H73" s="243">
        <v>0</v>
      </c>
      <c r="I73" s="243">
        <v>0</v>
      </c>
      <c r="J73" s="243">
        <v>0</v>
      </c>
      <c r="K73" s="243">
        <v>0</v>
      </c>
      <c r="L73" s="243">
        <v>0</v>
      </c>
      <c r="M73" s="243">
        <v>0</v>
      </c>
      <c r="N73" s="243">
        <v>0</v>
      </c>
      <c r="O73" s="243">
        <f t="shared" si="0"/>
        <v>0</v>
      </c>
      <c r="P73">
        <v>4.33</v>
      </c>
      <c r="Q73" s="243">
        <f t="shared" si="16"/>
        <v>0</v>
      </c>
      <c r="T73" s="243"/>
      <c r="U73" s="243">
        <f t="shared" si="7"/>
        <v>0</v>
      </c>
      <c r="V73">
        <v>4.33</v>
      </c>
      <c r="W73" s="243">
        <f t="shared" si="17"/>
        <v>0</v>
      </c>
      <c r="Z73" s="243"/>
      <c r="AA73" s="243">
        <f t="shared" si="8"/>
        <v>0</v>
      </c>
      <c r="AB73">
        <v>4.33</v>
      </c>
      <c r="AC73" s="243">
        <f t="shared" si="18"/>
        <v>0</v>
      </c>
      <c r="AF73" s="243">
        <f t="shared" si="9"/>
        <v>0</v>
      </c>
    </row>
    <row r="74" spans="1:32">
      <c r="B74" t="s">
        <v>1270</v>
      </c>
      <c r="C74" s="243">
        <v>0</v>
      </c>
      <c r="D74" s="243">
        <v>0</v>
      </c>
      <c r="E74" s="243">
        <v>0</v>
      </c>
      <c r="F74" s="243">
        <v>0</v>
      </c>
      <c r="G74" s="243">
        <v>0</v>
      </c>
      <c r="H74" s="243">
        <v>0</v>
      </c>
      <c r="I74" s="243">
        <v>0</v>
      </c>
      <c r="J74" s="243">
        <v>0</v>
      </c>
      <c r="K74" s="243">
        <v>0</v>
      </c>
      <c r="L74" s="243">
        <v>0</v>
      </c>
      <c r="M74" s="243">
        <v>0</v>
      </c>
      <c r="N74" s="243">
        <v>0</v>
      </c>
      <c r="O74" s="243">
        <f t="shared" ref="O74:O135" si="19">SUM(C74:N74)</f>
        <v>0</v>
      </c>
      <c r="P74">
        <v>4.33</v>
      </c>
      <c r="Q74" s="243">
        <f t="shared" si="16"/>
        <v>0</v>
      </c>
      <c r="T74" s="243"/>
      <c r="U74" s="243">
        <f t="shared" si="7"/>
        <v>0</v>
      </c>
      <c r="V74">
        <v>4.33</v>
      </c>
      <c r="W74" s="243">
        <f t="shared" si="17"/>
        <v>0</v>
      </c>
      <c r="Z74" s="243"/>
      <c r="AA74" s="243">
        <f t="shared" si="8"/>
        <v>0</v>
      </c>
      <c r="AB74">
        <v>4.33</v>
      </c>
      <c r="AC74" s="243">
        <f t="shared" si="18"/>
        <v>0</v>
      </c>
      <c r="AF74" s="243">
        <f t="shared" si="9"/>
        <v>0</v>
      </c>
    </row>
    <row r="75" spans="1:32">
      <c r="B75" t="s">
        <v>1271</v>
      </c>
      <c r="C75" s="243">
        <v>0</v>
      </c>
      <c r="D75" s="243">
        <v>0</v>
      </c>
      <c r="E75" s="243">
        <v>0</v>
      </c>
      <c r="F75" s="243">
        <v>0</v>
      </c>
      <c r="G75" s="243">
        <v>0</v>
      </c>
      <c r="H75" s="243">
        <v>0</v>
      </c>
      <c r="I75" s="243">
        <v>0</v>
      </c>
      <c r="J75" s="243">
        <v>0</v>
      </c>
      <c r="K75" s="243">
        <v>0</v>
      </c>
      <c r="L75" s="243">
        <v>0</v>
      </c>
      <c r="M75" s="243">
        <v>0</v>
      </c>
      <c r="N75" s="243">
        <v>0</v>
      </c>
      <c r="O75" s="243">
        <f t="shared" si="19"/>
        <v>0</v>
      </c>
      <c r="P75">
        <v>4.33</v>
      </c>
      <c r="Q75" s="243">
        <f t="shared" si="16"/>
        <v>0</v>
      </c>
      <c r="T75" s="243"/>
      <c r="U75" s="243">
        <f t="shared" ref="U75:U138" si="20">+D75</f>
        <v>0</v>
      </c>
      <c r="V75">
        <v>4.33</v>
      </c>
      <c r="W75" s="243">
        <f t="shared" si="17"/>
        <v>0</v>
      </c>
      <c r="Z75" s="243"/>
      <c r="AA75" s="243">
        <f t="shared" ref="AA75:AA138" si="21">+H75</f>
        <v>0</v>
      </c>
      <c r="AB75">
        <v>4.33</v>
      </c>
      <c r="AC75" s="243">
        <f t="shared" si="18"/>
        <v>0</v>
      </c>
      <c r="AF75" s="243">
        <f t="shared" ref="AF75:AF135" si="22">IF(B75="CHE",X75/12,0)</f>
        <v>0</v>
      </c>
    </row>
    <row r="76" spans="1:32">
      <c r="A76" t="s">
        <v>1291</v>
      </c>
      <c r="B76" t="s">
        <v>1268</v>
      </c>
      <c r="C76" s="243">
        <v>0</v>
      </c>
      <c r="D76" s="243">
        <v>0</v>
      </c>
      <c r="E76" s="243">
        <v>0</v>
      </c>
      <c r="F76" s="243">
        <v>0</v>
      </c>
      <c r="G76" s="243">
        <v>0</v>
      </c>
      <c r="H76" s="243">
        <v>0</v>
      </c>
      <c r="I76" s="243">
        <v>0</v>
      </c>
      <c r="J76" s="243">
        <v>0</v>
      </c>
      <c r="K76" s="243">
        <v>0</v>
      </c>
      <c r="L76" s="243">
        <v>0</v>
      </c>
      <c r="M76" s="243">
        <v>0</v>
      </c>
      <c r="N76" s="243">
        <v>0</v>
      </c>
      <c r="O76" s="243">
        <f t="shared" si="19"/>
        <v>0</v>
      </c>
      <c r="P76">
        <v>4.33</v>
      </c>
      <c r="Q76" s="243">
        <f t="shared" si="16"/>
        <v>0</v>
      </c>
      <c r="T76" s="243"/>
      <c r="U76" s="243">
        <f t="shared" si="20"/>
        <v>0</v>
      </c>
      <c r="V76">
        <v>4.33</v>
      </c>
      <c r="W76" s="243">
        <f t="shared" si="17"/>
        <v>0</v>
      </c>
      <c r="Z76" s="243"/>
      <c r="AA76" s="243">
        <f t="shared" si="21"/>
        <v>0</v>
      </c>
      <c r="AB76">
        <v>4.33</v>
      </c>
      <c r="AC76" s="243">
        <f t="shared" si="18"/>
        <v>0</v>
      </c>
      <c r="AF76" s="243">
        <f t="shared" si="22"/>
        <v>0</v>
      </c>
    </row>
    <row r="77" spans="1:32">
      <c r="B77" t="s">
        <v>1270</v>
      </c>
      <c r="C77" s="243">
        <v>0</v>
      </c>
      <c r="D77" s="243">
        <v>0</v>
      </c>
      <c r="E77" s="243">
        <v>0</v>
      </c>
      <c r="F77" s="243">
        <v>0</v>
      </c>
      <c r="G77" s="243">
        <v>0</v>
      </c>
      <c r="H77" s="243">
        <v>0</v>
      </c>
      <c r="I77" s="243">
        <v>0</v>
      </c>
      <c r="J77" s="243">
        <v>0</v>
      </c>
      <c r="K77" s="243">
        <v>0</v>
      </c>
      <c r="L77" s="243">
        <v>0</v>
      </c>
      <c r="M77" s="243">
        <v>0</v>
      </c>
      <c r="N77" s="243">
        <v>0</v>
      </c>
      <c r="O77" s="243">
        <f t="shared" si="19"/>
        <v>0</v>
      </c>
      <c r="P77">
        <v>4.33</v>
      </c>
      <c r="Q77" s="243">
        <f t="shared" si="16"/>
        <v>0</v>
      </c>
      <c r="T77" s="243"/>
      <c r="U77" s="243">
        <f t="shared" si="20"/>
        <v>0</v>
      </c>
      <c r="V77">
        <v>4.33</v>
      </c>
      <c r="W77" s="243">
        <f t="shared" si="17"/>
        <v>0</v>
      </c>
      <c r="Z77" s="243"/>
      <c r="AA77" s="243">
        <f t="shared" si="21"/>
        <v>0</v>
      </c>
      <c r="AB77">
        <v>4.33</v>
      </c>
      <c r="AC77" s="243">
        <f t="shared" si="18"/>
        <v>0</v>
      </c>
      <c r="AF77" s="243">
        <f t="shared" si="22"/>
        <v>0</v>
      </c>
    </row>
    <row r="78" spans="1:32">
      <c r="B78" t="s">
        <v>1271</v>
      </c>
      <c r="C78" s="243">
        <v>0</v>
      </c>
      <c r="D78" s="243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0</v>
      </c>
      <c r="J78" s="243">
        <v>0</v>
      </c>
      <c r="K78" s="243">
        <v>0</v>
      </c>
      <c r="L78" s="243">
        <v>0</v>
      </c>
      <c r="M78" s="243">
        <v>0</v>
      </c>
      <c r="N78" s="243">
        <v>0</v>
      </c>
      <c r="O78" s="243">
        <f t="shared" si="19"/>
        <v>0</v>
      </c>
      <c r="P78">
        <v>4.33</v>
      </c>
      <c r="Q78" s="243">
        <f t="shared" si="16"/>
        <v>0</v>
      </c>
      <c r="T78" s="243"/>
      <c r="U78" s="243">
        <f t="shared" si="20"/>
        <v>0</v>
      </c>
      <c r="V78">
        <v>4.33</v>
      </c>
      <c r="W78" s="243">
        <f t="shared" si="17"/>
        <v>0</v>
      </c>
      <c r="Z78" s="243"/>
      <c r="AA78" s="243">
        <f t="shared" si="21"/>
        <v>0</v>
      </c>
      <c r="AB78">
        <v>4.33</v>
      </c>
      <c r="AC78" s="243">
        <f t="shared" si="18"/>
        <v>0</v>
      </c>
      <c r="AF78" s="243">
        <f t="shared" si="22"/>
        <v>0</v>
      </c>
    </row>
    <row r="79" spans="1:32">
      <c r="A79" t="s">
        <v>1292</v>
      </c>
      <c r="B79" t="s">
        <v>1268</v>
      </c>
      <c r="C79" s="243">
        <v>0</v>
      </c>
      <c r="D79" s="243">
        <v>0</v>
      </c>
      <c r="E79" s="243">
        <v>0</v>
      </c>
      <c r="F79" s="243">
        <v>0</v>
      </c>
      <c r="G79" s="243">
        <v>0</v>
      </c>
      <c r="H79" s="243">
        <v>0</v>
      </c>
      <c r="I79" s="243">
        <v>0</v>
      </c>
      <c r="J79" s="243">
        <v>0</v>
      </c>
      <c r="K79" s="243">
        <v>0</v>
      </c>
      <c r="L79" s="243">
        <v>0</v>
      </c>
      <c r="M79" s="243">
        <v>0</v>
      </c>
      <c r="N79" s="243">
        <v>0</v>
      </c>
      <c r="O79" s="243">
        <f t="shared" si="19"/>
        <v>0</v>
      </c>
      <c r="P79">
        <v>4.33</v>
      </c>
      <c r="Q79" s="243">
        <f t="shared" si="16"/>
        <v>0</v>
      </c>
      <c r="T79" s="243"/>
      <c r="U79" s="243">
        <f t="shared" si="20"/>
        <v>0</v>
      </c>
      <c r="V79">
        <v>4.33</v>
      </c>
      <c r="W79" s="243">
        <f t="shared" si="17"/>
        <v>0</v>
      </c>
      <c r="Z79" s="243"/>
      <c r="AA79" s="243">
        <f t="shared" si="21"/>
        <v>0</v>
      </c>
      <c r="AB79">
        <v>4.33</v>
      </c>
      <c r="AC79" s="243">
        <f t="shared" si="18"/>
        <v>0</v>
      </c>
      <c r="AF79" s="243">
        <f t="shared" si="22"/>
        <v>0</v>
      </c>
    </row>
    <row r="80" spans="1:32">
      <c r="B80" t="s">
        <v>1270</v>
      </c>
      <c r="C80" s="243">
        <v>0</v>
      </c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>
        <v>0</v>
      </c>
      <c r="L80" s="243">
        <v>0</v>
      </c>
      <c r="M80" s="243">
        <v>0</v>
      </c>
      <c r="N80" s="243">
        <v>0</v>
      </c>
      <c r="O80" s="243">
        <f t="shared" si="19"/>
        <v>0</v>
      </c>
      <c r="P80">
        <v>4.33</v>
      </c>
      <c r="Q80" s="243">
        <f t="shared" si="16"/>
        <v>0</v>
      </c>
      <c r="T80" s="243"/>
      <c r="U80" s="243">
        <f t="shared" si="20"/>
        <v>0</v>
      </c>
      <c r="V80">
        <v>4.33</v>
      </c>
      <c r="W80" s="243">
        <f t="shared" si="17"/>
        <v>0</v>
      </c>
      <c r="Z80" s="243"/>
      <c r="AA80" s="243">
        <f t="shared" si="21"/>
        <v>0</v>
      </c>
      <c r="AB80">
        <v>4.33</v>
      </c>
      <c r="AC80" s="243">
        <f t="shared" si="18"/>
        <v>0</v>
      </c>
      <c r="AF80" s="243">
        <f t="shared" si="22"/>
        <v>0</v>
      </c>
    </row>
    <row r="81" spans="1:32">
      <c r="B81" t="s">
        <v>1271</v>
      </c>
      <c r="C81" s="243">
        <v>0</v>
      </c>
      <c r="D81" s="243">
        <v>0</v>
      </c>
      <c r="E81" s="243">
        <v>0</v>
      </c>
      <c r="F81" s="243">
        <v>0</v>
      </c>
      <c r="G81" s="243">
        <v>0</v>
      </c>
      <c r="H81" s="243">
        <v>0</v>
      </c>
      <c r="I81" s="243">
        <v>0</v>
      </c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3">
        <f t="shared" si="19"/>
        <v>0</v>
      </c>
      <c r="P81">
        <v>4.33</v>
      </c>
      <c r="Q81" s="243">
        <f t="shared" si="16"/>
        <v>0</v>
      </c>
      <c r="T81" s="243"/>
      <c r="U81" s="243">
        <f t="shared" si="20"/>
        <v>0</v>
      </c>
      <c r="V81">
        <v>4.33</v>
      </c>
      <c r="W81" s="243">
        <f t="shared" si="17"/>
        <v>0</v>
      </c>
      <c r="Z81" s="243"/>
      <c r="AA81" s="243">
        <f t="shared" si="21"/>
        <v>0</v>
      </c>
      <c r="AB81">
        <v>4.33</v>
      </c>
      <c r="AC81" s="243">
        <f t="shared" si="18"/>
        <v>0</v>
      </c>
      <c r="AF81" s="243">
        <f t="shared" si="22"/>
        <v>0</v>
      </c>
    </row>
    <row r="82" spans="1:32">
      <c r="A82" t="s">
        <v>1293</v>
      </c>
      <c r="B82" t="s">
        <v>1268</v>
      </c>
      <c r="C82" s="243">
        <v>0</v>
      </c>
      <c r="D82" s="243">
        <v>0</v>
      </c>
      <c r="E82" s="243">
        <v>0</v>
      </c>
      <c r="F82" s="243">
        <v>0</v>
      </c>
      <c r="G82" s="243">
        <v>0</v>
      </c>
      <c r="H82" s="243">
        <v>2246.5</v>
      </c>
      <c r="I82" s="243">
        <v>0</v>
      </c>
      <c r="J82" s="243">
        <v>0</v>
      </c>
      <c r="K82" s="243">
        <v>0</v>
      </c>
      <c r="L82" s="243">
        <v>0</v>
      </c>
      <c r="M82" s="243">
        <v>0</v>
      </c>
      <c r="N82" s="243">
        <v>0</v>
      </c>
      <c r="O82" s="243">
        <f t="shared" si="19"/>
        <v>2246.5</v>
      </c>
      <c r="R82" s="243">
        <f>+O82+Q82</f>
        <v>2246.5</v>
      </c>
      <c r="T82" s="243"/>
      <c r="U82" s="243">
        <f t="shared" si="20"/>
        <v>0</v>
      </c>
      <c r="X82" s="243">
        <f>+U82+W82</f>
        <v>0</v>
      </c>
      <c r="Z82" s="243"/>
      <c r="AA82" s="243">
        <f t="shared" si="21"/>
        <v>2246.5</v>
      </c>
      <c r="AD82" s="243">
        <f>+AA82+AC82</f>
        <v>2246.5</v>
      </c>
      <c r="AF82" s="243">
        <f t="shared" si="22"/>
        <v>0</v>
      </c>
    </row>
    <row r="83" spans="1:32">
      <c r="B83" t="s">
        <v>1270</v>
      </c>
      <c r="C83" s="243">
        <v>0</v>
      </c>
      <c r="D83" s="243">
        <v>0</v>
      </c>
      <c r="E83" s="243">
        <v>0</v>
      </c>
      <c r="F83" s="243">
        <v>0</v>
      </c>
      <c r="G83" s="243">
        <v>0</v>
      </c>
      <c r="H83" s="243">
        <v>430</v>
      </c>
      <c r="I83" s="243">
        <v>0</v>
      </c>
      <c r="J83" s="243">
        <v>0</v>
      </c>
      <c r="K83" s="243">
        <v>0</v>
      </c>
      <c r="L83" s="243">
        <v>0</v>
      </c>
      <c r="M83" s="243">
        <v>0</v>
      </c>
      <c r="N83" s="243">
        <v>0</v>
      </c>
      <c r="O83" s="243">
        <f t="shared" si="19"/>
        <v>430</v>
      </c>
      <c r="R83" s="243">
        <f>+O83+Q83</f>
        <v>430</v>
      </c>
      <c r="T83" s="243"/>
      <c r="U83" s="243">
        <f t="shared" si="20"/>
        <v>0</v>
      </c>
      <c r="X83" s="243">
        <f>+U83+W83</f>
        <v>0</v>
      </c>
      <c r="Z83" s="243"/>
      <c r="AA83" s="243">
        <f t="shared" si="21"/>
        <v>430</v>
      </c>
      <c r="AD83" s="243">
        <f>+AA83+AC83</f>
        <v>430</v>
      </c>
      <c r="AF83" s="243">
        <f t="shared" si="22"/>
        <v>0</v>
      </c>
    </row>
    <row r="84" spans="1:32">
      <c r="B84" t="s">
        <v>1271</v>
      </c>
      <c r="C84" s="243">
        <v>0</v>
      </c>
      <c r="D84" s="243">
        <v>0</v>
      </c>
      <c r="E84" s="243">
        <v>0</v>
      </c>
      <c r="F84" s="243">
        <v>0</v>
      </c>
      <c r="G84" s="243">
        <v>0</v>
      </c>
      <c r="H84" s="243">
        <v>360</v>
      </c>
      <c r="I84" s="243">
        <v>0</v>
      </c>
      <c r="J84" s="243">
        <v>0</v>
      </c>
      <c r="K84" s="243">
        <v>0</v>
      </c>
      <c r="L84" s="243">
        <v>0</v>
      </c>
      <c r="M84" s="243">
        <v>0</v>
      </c>
      <c r="N84" s="243">
        <v>0</v>
      </c>
      <c r="O84" s="243">
        <f t="shared" si="19"/>
        <v>360</v>
      </c>
      <c r="R84" s="243">
        <f>+O84+Q84</f>
        <v>360</v>
      </c>
      <c r="T84" s="243"/>
      <c r="U84" s="243">
        <f t="shared" si="20"/>
        <v>0</v>
      </c>
      <c r="X84" s="243">
        <f>+U84+W84</f>
        <v>0</v>
      </c>
      <c r="Z84" s="243"/>
      <c r="AA84" s="243">
        <f t="shared" si="21"/>
        <v>360</v>
      </c>
      <c r="AD84" s="243">
        <f>+AA84+AC84</f>
        <v>360</v>
      </c>
      <c r="AF84" s="243">
        <f t="shared" si="22"/>
        <v>0</v>
      </c>
    </row>
    <row r="85" spans="1:32">
      <c r="A85" t="s">
        <v>1294</v>
      </c>
      <c r="B85" t="s">
        <v>1268</v>
      </c>
      <c r="C85" s="243">
        <v>0</v>
      </c>
      <c r="D85" s="243">
        <v>0</v>
      </c>
      <c r="E85" s="243">
        <v>0</v>
      </c>
      <c r="F85" s="243">
        <v>0</v>
      </c>
      <c r="G85" s="243">
        <v>0</v>
      </c>
      <c r="H85" s="243">
        <v>0</v>
      </c>
      <c r="I85" s="243">
        <v>0</v>
      </c>
      <c r="J85" s="243">
        <v>0</v>
      </c>
      <c r="K85" s="243">
        <v>0</v>
      </c>
      <c r="L85" s="243">
        <v>0</v>
      </c>
      <c r="M85" s="243">
        <v>0</v>
      </c>
      <c r="N85" s="243">
        <v>0</v>
      </c>
      <c r="O85" s="243">
        <f t="shared" si="19"/>
        <v>0</v>
      </c>
      <c r="P85" s="243">
        <f t="shared" ref="P85:P96" si="23">+O85</f>
        <v>0</v>
      </c>
      <c r="Q85" s="69">
        <f>+O85*3</f>
        <v>0</v>
      </c>
      <c r="T85" s="243"/>
      <c r="U85" s="243">
        <f t="shared" si="20"/>
        <v>0</v>
      </c>
      <c r="V85" s="243">
        <f t="shared" ref="V85:V96" si="24">+U85</f>
        <v>0</v>
      </c>
      <c r="W85" s="69">
        <f>+U85*3</f>
        <v>0</v>
      </c>
      <c r="Z85" s="243"/>
      <c r="AA85" s="243">
        <f t="shared" si="21"/>
        <v>0</v>
      </c>
      <c r="AB85" s="243">
        <f t="shared" ref="AB85:AB96" si="25">+AA85</f>
        <v>0</v>
      </c>
      <c r="AC85" s="69">
        <f>+AA85*3</f>
        <v>0</v>
      </c>
      <c r="AF85" s="243">
        <f t="shared" si="22"/>
        <v>0</v>
      </c>
    </row>
    <row r="86" spans="1:32">
      <c r="B86" t="s">
        <v>1270</v>
      </c>
      <c r="C86" s="243">
        <v>0</v>
      </c>
      <c r="D86" s="243">
        <v>0</v>
      </c>
      <c r="E86" s="243">
        <v>0</v>
      </c>
      <c r="F86" s="243">
        <v>0</v>
      </c>
      <c r="G86" s="243">
        <v>0</v>
      </c>
      <c r="H86" s="243">
        <v>0</v>
      </c>
      <c r="I86" s="243">
        <v>0</v>
      </c>
      <c r="J86" s="243">
        <v>0</v>
      </c>
      <c r="K86" s="243">
        <v>0</v>
      </c>
      <c r="L86" s="243">
        <v>0</v>
      </c>
      <c r="M86" s="243">
        <v>0</v>
      </c>
      <c r="N86" s="243">
        <v>0</v>
      </c>
      <c r="O86" s="243">
        <f t="shared" si="19"/>
        <v>0</v>
      </c>
      <c r="P86" s="243">
        <f t="shared" si="23"/>
        <v>0</v>
      </c>
      <c r="Q86" s="69">
        <f>+O86*3</f>
        <v>0</v>
      </c>
      <c r="R86" s="243"/>
      <c r="T86" s="243"/>
      <c r="U86" s="243">
        <f t="shared" si="20"/>
        <v>0</v>
      </c>
      <c r="V86" s="243">
        <f t="shared" si="24"/>
        <v>0</v>
      </c>
      <c r="W86" s="69">
        <f>+U86*3</f>
        <v>0</v>
      </c>
      <c r="X86" s="243"/>
      <c r="Z86" s="243"/>
      <c r="AA86" s="243">
        <f t="shared" si="21"/>
        <v>0</v>
      </c>
      <c r="AB86" s="243">
        <f t="shared" si="25"/>
        <v>0</v>
      </c>
      <c r="AC86" s="69">
        <f>+AA86*3</f>
        <v>0</v>
      </c>
      <c r="AD86" s="243"/>
      <c r="AF86" s="243">
        <f t="shared" si="22"/>
        <v>0</v>
      </c>
    </row>
    <row r="87" spans="1:32">
      <c r="B87" t="s">
        <v>1271</v>
      </c>
      <c r="C87" s="243">
        <v>0</v>
      </c>
      <c r="D87" s="243">
        <v>0</v>
      </c>
      <c r="E87" s="243">
        <v>0</v>
      </c>
      <c r="F87" s="243">
        <v>0</v>
      </c>
      <c r="G87" s="243">
        <v>0</v>
      </c>
      <c r="H87" s="243">
        <v>0</v>
      </c>
      <c r="I87" s="243">
        <v>0</v>
      </c>
      <c r="J87" s="243">
        <v>0</v>
      </c>
      <c r="K87" s="243">
        <v>0</v>
      </c>
      <c r="L87" s="243">
        <v>0</v>
      </c>
      <c r="M87" s="243">
        <v>0</v>
      </c>
      <c r="N87" s="243">
        <v>0</v>
      </c>
      <c r="O87" s="243">
        <f t="shared" si="19"/>
        <v>0</v>
      </c>
      <c r="P87" s="243">
        <f t="shared" si="23"/>
        <v>0</v>
      </c>
      <c r="Q87" s="69">
        <f>+O87*3</f>
        <v>0</v>
      </c>
      <c r="R87" s="243"/>
      <c r="T87" s="243"/>
      <c r="U87" s="243">
        <f t="shared" si="20"/>
        <v>0</v>
      </c>
      <c r="V87" s="243">
        <f t="shared" si="24"/>
        <v>0</v>
      </c>
      <c r="W87" s="69">
        <f>+U87*3</f>
        <v>0</v>
      </c>
      <c r="X87" s="243"/>
      <c r="Z87" s="243"/>
      <c r="AA87" s="243">
        <f t="shared" si="21"/>
        <v>0</v>
      </c>
      <c r="AB87" s="243">
        <f t="shared" si="25"/>
        <v>0</v>
      </c>
      <c r="AC87" s="69">
        <f>+AA87*3</f>
        <v>0</v>
      </c>
      <c r="AD87" s="243"/>
      <c r="AF87" s="243">
        <f t="shared" si="22"/>
        <v>0</v>
      </c>
    </row>
    <row r="88" spans="1:32">
      <c r="A88" t="s">
        <v>1295</v>
      </c>
      <c r="B88" t="s">
        <v>1268</v>
      </c>
      <c r="C88" s="243">
        <v>0</v>
      </c>
      <c r="D88" s="243">
        <v>0</v>
      </c>
      <c r="E88" s="243">
        <v>0</v>
      </c>
      <c r="F88" s="243">
        <v>0</v>
      </c>
      <c r="G88" s="243">
        <v>0</v>
      </c>
      <c r="H88" s="243">
        <v>0</v>
      </c>
      <c r="I88" s="243">
        <v>0</v>
      </c>
      <c r="J88" s="243">
        <v>0</v>
      </c>
      <c r="K88" s="243">
        <v>0</v>
      </c>
      <c r="L88" s="243">
        <v>0</v>
      </c>
      <c r="M88" s="243">
        <v>0</v>
      </c>
      <c r="N88" s="243">
        <v>0</v>
      </c>
      <c r="O88" s="243">
        <f t="shared" si="19"/>
        <v>0</v>
      </c>
      <c r="P88" s="243">
        <f t="shared" si="23"/>
        <v>0</v>
      </c>
      <c r="Q88" s="69">
        <f>+O88*4</f>
        <v>0</v>
      </c>
      <c r="R88" s="243"/>
      <c r="T88" s="243"/>
      <c r="U88" s="243">
        <f t="shared" si="20"/>
        <v>0</v>
      </c>
      <c r="V88" s="243">
        <f t="shared" si="24"/>
        <v>0</v>
      </c>
      <c r="W88" s="69">
        <f>+U88*4</f>
        <v>0</v>
      </c>
      <c r="X88" s="243"/>
      <c r="Z88" s="243"/>
      <c r="AA88" s="243">
        <f t="shared" si="21"/>
        <v>0</v>
      </c>
      <c r="AB88" s="243">
        <f t="shared" si="25"/>
        <v>0</v>
      </c>
      <c r="AC88" s="69">
        <f>+AA88*4</f>
        <v>0</v>
      </c>
      <c r="AD88" s="243"/>
      <c r="AF88" s="243">
        <f t="shared" si="22"/>
        <v>0</v>
      </c>
    </row>
    <row r="89" spans="1:32">
      <c r="B89" t="s">
        <v>1270</v>
      </c>
      <c r="C89" s="243">
        <v>0</v>
      </c>
      <c r="D89" s="243">
        <v>0</v>
      </c>
      <c r="E89" s="243">
        <v>0</v>
      </c>
      <c r="F89" s="243">
        <v>0</v>
      </c>
      <c r="G89" s="243">
        <v>0</v>
      </c>
      <c r="H89" s="243">
        <v>0</v>
      </c>
      <c r="I89" s="243">
        <v>0</v>
      </c>
      <c r="J89" s="243">
        <v>0</v>
      </c>
      <c r="K89" s="243">
        <v>0</v>
      </c>
      <c r="L89" s="243">
        <v>0</v>
      </c>
      <c r="M89" s="243">
        <v>0</v>
      </c>
      <c r="N89" s="243">
        <v>0</v>
      </c>
      <c r="O89" s="243">
        <f t="shared" si="19"/>
        <v>0</v>
      </c>
      <c r="P89" s="243">
        <f t="shared" si="23"/>
        <v>0</v>
      </c>
      <c r="Q89" s="69">
        <f>+O89*4</f>
        <v>0</v>
      </c>
      <c r="R89" s="243"/>
      <c r="T89" s="243"/>
      <c r="U89" s="243">
        <f t="shared" si="20"/>
        <v>0</v>
      </c>
      <c r="V89" s="243">
        <f t="shared" si="24"/>
        <v>0</v>
      </c>
      <c r="W89" s="69">
        <f>+U89*4</f>
        <v>0</v>
      </c>
      <c r="X89" s="243"/>
      <c r="Z89" s="243"/>
      <c r="AA89" s="243">
        <f t="shared" si="21"/>
        <v>0</v>
      </c>
      <c r="AB89" s="243">
        <f t="shared" si="25"/>
        <v>0</v>
      </c>
      <c r="AC89" s="69">
        <f>+AA89*4</f>
        <v>0</v>
      </c>
      <c r="AD89" s="243"/>
      <c r="AF89" s="243">
        <f t="shared" si="22"/>
        <v>0</v>
      </c>
    </row>
    <row r="90" spans="1:32">
      <c r="B90" t="s">
        <v>1271</v>
      </c>
      <c r="C90" s="243">
        <v>0</v>
      </c>
      <c r="D90" s="243">
        <v>0</v>
      </c>
      <c r="E90" s="243">
        <v>0</v>
      </c>
      <c r="F90" s="243">
        <v>0</v>
      </c>
      <c r="G90" s="243">
        <v>0</v>
      </c>
      <c r="H90" s="243">
        <v>0</v>
      </c>
      <c r="I90" s="243">
        <v>0</v>
      </c>
      <c r="J90" s="243">
        <v>0</v>
      </c>
      <c r="K90" s="243">
        <v>0</v>
      </c>
      <c r="L90" s="243">
        <v>0</v>
      </c>
      <c r="M90" s="243">
        <v>0</v>
      </c>
      <c r="N90" s="243">
        <v>0</v>
      </c>
      <c r="O90" s="243">
        <f t="shared" si="19"/>
        <v>0</v>
      </c>
      <c r="P90" s="243">
        <f t="shared" si="23"/>
        <v>0</v>
      </c>
      <c r="Q90" s="69">
        <f>+O90*4</f>
        <v>0</v>
      </c>
      <c r="R90" s="243"/>
      <c r="T90" s="243"/>
      <c r="U90" s="243">
        <f t="shared" si="20"/>
        <v>0</v>
      </c>
      <c r="V90" s="243">
        <f t="shared" si="24"/>
        <v>0</v>
      </c>
      <c r="W90" s="69">
        <f>+U90*4</f>
        <v>0</v>
      </c>
      <c r="X90" s="243"/>
      <c r="Z90" s="243"/>
      <c r="AA90" s="243">
        <f t="shared" si="21"/>
        <v>0</v>
      </c>
      <c r="AB90" s="243">
        <f t="shared" si="25"/>
        <v>0</v>
      </c>
      <c r="AC90" s="69">
        <f>+AA90*4</f>
        <v>0</v>
      </c>
      <c r="AD90" s="243"/>
      <c r="AF90" s="243">
        <f t="shared" si="22"/>
        <v>0</v>
      </c>
    </row>
    <row r="91" spans="1:32">
      <c r="A91" t="s">
        <v>1296</v>
      </c>
      <c r="B91" t="s">
        <v>1268</v>
      </c>
      <c r="C91" s="243">
        <v>0</v>
      </c>
      <c r="D91" s="243">
        <v>0</v>
      </c>
      <c r="E91" s="243">
        <v>0</v>
      </c>
      <c r="F91" s="243">
        <v>0</v>
      </c>
      <c r="G91" s="243">
        <v>0</v>
      </c>
      <c r="H91" s="243">
        <v>0</v>
      </c>
      <c r="I91" s="243">
        <v>0</v>
      </c>
      <c r="J91" s="243">
        <v>0</v>
      </c>
      <c r="K91" s="243">
        <v>0</v>
      </c>
      <c r="L91" s="243">
        <v>0</v>
      </c>
      <c r="M91" s="243">
        <v>0</v>
      </c>
      <c r="N91" s="243">
        <v>0</v>
      </c>
      <c r="O91" s="243">
        <f t="shared" si="19"/>
        <v>0</v>
      </c>
      <c r="P91" s="243">
        <f t="shared" si="23"/>
        <v>0</v>
      </c>
      <c r="Q91" s="69"/>
      <c r="R91" s="243">
        <f t="shared" ref="R91:S93" si="26">+P85+P88+P91+P94+P97+P100+P103+P106+P109+P112+P115</f>
        <v>0</v>
      </c>
      <c r="S91" s="243">
        <f t="shared" si="26"/>
        <v>0</v>
      </c>
      <c r="T91" s="243"/>
      <c r="U91" s="243">
        <f t="shared" si="20"/>
        <v>0</v>
      </c>
      <c r="V91" s="243">
        <f t="shared" si="24"/>
        <v>0</v>
      </c>
      <c r="W91" s="69"/>
      <c r="X91" s="243">
        <f t="shared" ref="X91:Y93" si="27">+V85+V88+V91+V94+V97+V100+V103+V106+V109+V112+V115</f>
        <v>0</v>
      </c>
      <c r="Y91" s="243">
        <f t="shared" si="27"/>
        <v>0</v>
      </c>
      <c r="Z91" s="243"/>
      <c r="AA91" s="243">
        <f t="shared" si="21"/>
        <v>0</v>
      </c>
      <c r="AB91" s="243">
        <f t="shared" si="25"/>
        <v>0</v>
      </c>
      <c r="AC91" s="69"/>
      <c r="AD91" s="243">
        <f t="shared" ref="AD91:AE93" si="28">+AB85+AB88+AB91+AB94+AB97+AB100+AB103+AB106+AB109+AB112+AB115</f>
        <v>0</v>
      </c>
      <c r="AE91" s="243">
        <f t="shared" si="28"/>
        <v>0</v>
      </c>
      <c r="AF91" s="243">
        <f t="shared" si="22"/>
        <v>0</v>
      </c>
    </row>
    <row r="92" spans="1:32">
      <c r="B92" t="s">
        <v>1270</v>
      </c>
      <c r="C92" s="243">
        <v>0</v>
      </c>
      <c r="D92" s="243">
        <v>0</v>
      </c>
      <c r="E92" s="243">
        <v>0</v>
      </c>
      <c r="F92" s="243">
        <v>0</v>
      </c>
      <c r="G92" s="243">
        <v>0</v>
      </c>
      <c r="H92" s="243">
        <v>0</v>
      </c>
      <c r="I92" s="243">
        <v>0</v>
      </c>
      <c r="J92" s="243">
        <v>0</v>
      </c>
      <c r="K92" s="243">
        <v>0</v>
      </c>
      <c r="L92" s="243">
        <v>0</v>
      </c>
      <c r="M92" s="243">
        <v>0</v>
      </c>
      <c r="N92" s="243">
        <v>0</v>
      </c>
      <c r="O92" s="243">
        <f t="shared" si="19"/>
        <v>0</v>
      </c>
      <c r="P92" s="243">
        <f t="shared" si="23"/>
        <v>0</v>
      </c>
      <c r="Q92" s="69"/>
      <c r="R92" s="243">
        <f t="shared" si="26"/>
        <v>0</v>
      </c>
      <c r="S92" s="243">
        <f t="shared" si="26"/>
        <v>0</v>
      </c>
      <c r="T92" s="243"/>
      <c r="U92" s="243">
        <f t="shared" si="20"/>
        <v>0</v>
      </c>
      <c r="V92" s="243">
        <f t="shared" si="24"/>
        <v>0</v>
      </c>
      <c r="W92" s="69"/>
      <c r="X92" s="243">
        <f t="shared" si="27"/>
        <v>0</v>
      </c>
      <c r="Y92" s="243">
        <f t="shared" si="27"/>
        <v>0</v>
      </c>
      <c r="Z92" s="243"/>
      <c r="AA92" s="243">
        <f t="shared" si="21"/>
        <v>0</v>
      </c>
      <c r="AB92" s="243">
        <f t="shared" si="25"/>
        <v>0</v>
      </c>
      <c r="AC92" s="69"/>
      <c r="AD92" s="243">
        <f t="shared" si="28"/>
        <v>0</v>
      </c>
      <c r="AE92" s="243">
        <f t="shared" si="28"/>
        <v>0</v>
      </c>
      <c r="AF92" s="243">
        <f t="shared" si="22"/>
        <v>0</v>
      </c>
    </row>
    <row r="93" spans="1:32">
      <c r="B93" t="s">
        <v>1271</v>
      </c>
      <c r="C93" s="243">
        <v>0</v>
      </c>
      <c r="D93" s="243">
        <v>0</v>
      </c>
      <c r="E93" s="243">
        <v>0</v>
      </c>
      <c r="F93" s="243">
        <v>0</v>
      </c>
      <c r="G93" s="243">
        <v>0</v>
      </c>
      <c r="H93" s="243">
        <v>0</v>
      </c>
      <c r="I93" s="243">
        <v>0</v>
      </c>
      <c r="J93" s="243">
        <v>0</v>
      </c>
      <c r="K93" s="243">
        <v>0</v>
      </c>
      <c r="L93" s="243">
        <v>0</v>
      </c>
      <c r="M93" s="243">
        <v>0</v>
      </c>
      <c r="N93" s="243">
        <v>0</v>
      </c>
      <c r="O93" s="243">
        <f t="shared" si="19"/>
        <v>0</v>
      </c>
      <c r="P93" s="243">
        <f t="shared" si="23"/>
        <v>0</v>
      </c>
      <c r="Q93" s="69"/>
      <c r="R93" s="243">
        <f t="shared" si="26"/>
        <v>0</v>
      </c>
      <c r="S93" s="243">
        <f t="shared" si="26"/>
        <v>0</v>
      </c>
      <c r="T93" s="243"/>
      <c r="U93" s="243">
        <f t="shared" si="20"/>
        <v>0</v>
      </c>
      <c r="V93" s="243">
        <f t="shared" si="24"/>
        <v>0</v>
      </c>
      <c r="W93" s="69"/>
      <c r="X93" s="243">
        <f t="shared" si="27"/>
        <v>0</v>
      </c>
      <c r="Y93" s="243">
        <f t="shared" si="27"/>
        <v>0</v>
      </c>
      <c r="Z93" s="243"/>
      <c r="AA93" s="243">
        <f t="shared" si="21"/>
        <v>0</v>
      </c>
      <c r="AB93" s="243">
        <f t="shared" si="25"/>
        <v>0</v>
      </c>
      <c r="AC93" s="69"/>
      <c r="AD93" s="243">
        <f t="shared" si="28"/>
        <v>0</v>
      </c>
      <c r="AE93" s="243">
        <f t="shared" si="28"/>
        <v>0</v>
      </c>
      <c r="AF93" s="243">
        <f t="shared" si="22"/>
        <v>0</v>
      </c>
    </row>
    <row r="94" spans="1:32">
      <c r="A94" t="s">
        <v>1297</v>
      </c>
      <c r="B94" t="s">
        <v>1268</v>
      </c>
      <c r="C94" s="243">
        <v>0</v>
      </c>
      <c r="D94" s="243">
        <v>0</v>
      </c>
      <c r="E94" s="243">
        <v>0</v>
      </c>
      <c r="F94" s="243">
        <v>0</v>
      </c>
      <c r="G94" s="243">
        <v>0</v>
      </c>
      <c r="H94" s="243">
        <v>0</v>
      </c>
      <c r="I94" s="243">
        <v>0</v>
      </c>
      <c r="J94" s="243">
        <v>0</v>
      </c>
      <c r="K94" s="243">
        <v>0</v>
      </c>
      <c r="L94" s="243">
        <v>0</v>
      </c>
      <c r="M94" s="243">
        <v>0</v>
      </c>
      <c r="N94" s="243">
        <v>0</v>
      </c>
      <c r="O94" s="243">
        <f t="shared" si="19"/>
        <v>0</v>
      </c>
      <c r="P94" s="243">
        <f t="shared" si="23"/>
        <v>0</v>
      </c>
      <c r="Q94" s="69">
        <f>+O94</f>
        <v>0</v>
      </c>
      <c r="R94" s="243"/>
      <c r="T94" s="243"/>
      <c r="U94" s="243">
        <f t="shared" si="20"/>
        <v>0</v>
      </c>
      <c r="V94" s="243">
        <f t="shared" si="24"/>
        <v>0</v>
      </c>
      <c r="W94" s="69">
        <f>+U94</f>
        <v>0</v>
      </c>
      <c r="X94" s="243"/>
      <c r="Z94" s="243"/>
      <c r="AA94" s="243">
        <f t="shared" si="21"/>
        <v>0</v>
      </c>
      <c r="AB94" s="243">
        <f t="shared" si="25"/>
        <v>0</v>
      </c>
      <c r="AC94" s="69">
        <f>+AA94</f>
        <v>0</v>
      </c>
      <c r="AD94" s="243"/>
      <c r="AF94" s="243">
        <f t="shared" si="22"/>
        <v>0</v>
      </c>
    </row>
    <row r="95" spans="1:32">
      <c r="B95" t="s">
        <v>1270</v>
      </c>
      <c r="C95" s="243">
        <v>0</v>
      </c>
      <c r="D95" s="243">
        <v>0</v>
      </c>
      <c r="E95" s="243">
        <v>0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f t="shared" si="19"/>
        <v>0</v>
      </c>
      <c r="P95" s="243">
        <f t="shared" si="23"/>
        <v>0</v>
      </c>
      <c r="Q95" s="69">
        <f>+O95</f>
        <v>0</v>
      </c>
      <c r="R95" s="243"/>
      <c r="T95" s="243"/>
      <c r="U95" s="243">
        <f t="shared" si="20"/>
        <v>0</v>
      </c>
      <c r="V95" s="243">
        <f t="shared" si="24"/>
        <v>0</v>
      </c>
      <c r="W95" s="69">
        <f>+U95</f>
        <v>0</v>
      </c>
      <c r="X95" s="243"/>
      <c r="Z95" s="243"/>
      <c r="AA95" s="243">
        <f t="shared" si="21"/>
        <v>0</v>
      </c>
      <c r="AB95" s="243">
        <f t="shared" si="25"/>
        <v>0</v>
      </c>
      <c r="AC95" s="69">
        <f>+AA95</f>
        <v>0</v>
      </c>
      <c r="AD95" s="243"/>
      <c r="AF95" s="243">
        <f t="shared" si="22"/>
        <v>0</v>
      </c>
    </row>
    <row r="96" spans="1:32">
      <c r="B96" t="s">
        <v>1271</v>
      </c>
      <c r="C96" s="243">
        <v>0</v>
      </c>
      <c r="D96" s="243">
        <v>0</v>
      </c>
      <c r="E96" s="243">
        <v>0</v>
      </c>
      <c r="F96" s="243">
        <v>0</v>
      </c>
      <c r="G96" s="243">
        <v>0</v>
      </c>
      <c r="H96" s="243">
        <v>0</v>
      </c>
      <c r="I96" s="243">
        <v>0</v>
      </c>
      <c r="J96" s="243">
        <v>0</v>
      </c>
      <c r="K96" s="243">
        <v>0</v>
      </c>
      <c r="L96" s="243">
        <v>0</v>
      </c>
      <c r="M96" s="243">
        <v>0</v>
      </c>
      <c r="N96" s="243">
        <v>0</v>
      </c>
      <c r="O96" s="243">
        <f t="shared" si="19"/>
        <v>0</v>
      </c>
      <c r="P96" s="243">
        <f t="shared" si="23"/>
        <v>0</v>
      </c>
      <c r="Q96" s="69">
        <f>+O96</f>
        <v>0</v>
      </c>
      <c r="R96" s="243"/>
      <c r="T96" s="243"/>
      <c r="U96" s="243">
        <f t="shared" si="20"/>
        <v>0</v>
      </c>
      <c r="V96" s="243">
        <f t="shared" si="24"/>
        <v>0</v>
      </c>
      <c r="W96" s="69">
        <f>+U96</f>
        <v>0</v>
      </c>
      <c r="X96" s="243"/>
      <c r="Z96" s="243"/>
      <c r="AA96" s="243">
        <f t="shared" si="21"/>
        <v>0</v>
      </c>
      <c r="AB96" s="243">
        <f t="shared" si="25"/>
        <v>0</v>
      </c>
      <c r="AC96" s="69">
        <f>+AA96</f>
        <v>0</v>
      </c>
      <c r="AD96" s="243"/>
      <c r="AF96" s="243">
        <f t="shared" si="22"/>
        <v>0</v>
      </c>
    </row>
    <row r="97" spans="1:32">
      <c r="A97" t="s">
        <v>1298</v>
      </c>
      <c r="B97" t="s">
        <v>1268</v>
      </c>
      <c r="C97" s="243">
        <v>0</v>
      </c>
      <c r="D97" s="243">
        <v>0</v>
      </c>
      <c r="E97" s="243">
        <v>0</v>
      </c>
      <c r="F97" s="243">
        <v>0</v>
      </c>
      <c r="G97" s="243">
        <v>0</v>
      </c>
      <c r="H97" s="243">
        <v>0</v>
      </c>
      <c r="I97" s="243">
        <v>0</v>
      </c>
      <c r="J97" s="243">
        <v>0</v>
      </c>
      <c r="K97" s="243">
        <v>0</v>
      </c>
      <c r="L97" s="243">
        <v>0</v>
      </c>
      <c r="M97" s="243">
        <v>0</v>
      </c>
      <c r="N97" s="243">
        <v>0</v>
      </c>
      <c r="O97" s="243">
        <f t="shared" si="19"/>
        <v>0</v>
      </c>
      <c r="P97" s="243">
        <f t="shared" ref="P97:P105" si="29">+O97*2</f>
        <v>0</v>
      </c>
      <c r="Q97" s="69">
        <f>+O97*6</f>
        <v>0</v>
      </c>
      <c r="R97" s="243"/>
      <c r="T97" s="243"/>
      <c r="U97" s="243">
        <f t="shared" si="20"/>
        <v>0</v>
      </c>
      <c r="V97" s="243">
        <f t="shared" ref="V97:V105" si="30">+U97*2</f>
        <v>0</v>
      </c>
      <c r="W97" s="69">
        <f>+U97*6</f>
        <v>0</v>
      </c>
      <c r="X97" s="243"/>
      <c r="Z97" s="243"/>
      <c r="AA97" s="243">
        <f t="shared" si="21"/>
        <v>0</v>
      </c>
      <c r="AB97" s="243">
        <f t="shared" ref="AB97:AB105" si="31">+AA97*2</f>
        <v>0</v>
      </c>
      <c r="AC97" s="69">
        <f>+AA97*6</f>
        <v>0</v>
      </c>
      <c r="AD97" s="243"/>
      <c r="AF97" s="243">
        <f t="shared" si="22"/>
        <v>0</v>
      </c>
    </row>
    <row r="98" spans="1:32">
      <c r="B98" t="s">
        <v>1270</v>
      </c>
      <c r="C98" s="243">
        <v>0</v>
      </c>
      <c r="D98" s="243">
        <v>0</v>
      </c>
      <c r="E98" s="243">
        <v>0</v>
      </c>
      <c r="F98" s="243">
        <v>0</v>
      </c>
      <c r="G98" s="243">
        <v>0</v>
      </c>
      <c r="H98" s="243">
        <v>0</v>
      </c>
      <c r="I98" s="243">
        <v>0</v>
      </c>
      <c r="J98" s="243">
        <v>0</v>
      </c>
      <c r="K98" s="243">
        <v>0</v>
      </c>
      <c r="L98" s="243">
        <v>0</v>
      </c>
      <c r="M98" s="243">
        <v>0</v>
      </c>
      <c r="N98" s="243">
        <v>0</v>
      </c>
      <c r="O98" s="243">
        <f t="shared" si="19"/>
        <v>0</v>
      </c>
      <c r="P98" s="243">
        <f t="shared" si="29"/>
        <v>0</v>
      </c>
      <c r="Q98" s="69">
        <f>+O98*6</f>
        <v>0</v>
      </c>
      <c r="R98" s="243"/>
      <c r="T98" s="243"/>
      <c r="U98" s="243">
        <f t="shared" si="20"/>
        <v>0</v>
      </c>
      <c r="V98" s="243">
        <f t="shared" si="30"/>
        <v>0</v>
      </c>
      <c r="W98" s="69">
        <f>+U98*6</f>
        <v>0</v>
      </c>
      <c r="X98" s="243"/>
      <c r="Z98" s="243"/>
      <c r="AA98" s="243">
        <f t="shared" si="21"/>
        <v>0</v>
      </c>
      <c r="AB98" s="243">
        <f t="shared" si="31"/>
        <v>0</v>
      </c>
      <c r="AC98" s="69">
        <f>+AA98*6</f>
        <v>0</v>
      </c>
      <c r="AD98" s="243"/>
      <c r="AF98" s="243">
        <f t="shared" si="22"/>
        <v>0</v>
      </c>
    </row>
    <row r="99" spans="1:32">
      <c r="B99" t="s">
        <v>1271</v>
      </c>
      <c r="C99" s="243">
        <v>0</v>
      </c>
      <c r="D99" s="243">
        <v>0</v>
      </c>
      <c r="E99" s="243">
        <v>0</v>
      </c>
      <c r="F99" s="243">
        <v>0</v>
      </c>
      <c r="G99" s="243">
        <v>0</v>
      </c>
      <c r="H99" s="243">
        <v>0</v>
      </c>
      <c r="I99" s="243">
        <v>0</v>
      </c>
      <c r="J99" s="243">
        <v>0</v>
      </c>
      <c r="K99" s="243">
        <v>0</v>
      </c>
      <c r="L99" s="243">
        <v>0</v>
      </c>
      <c r="M99" s="243">
        <v>0</v>
      </c>
      <c r="N99" s="243">
        <v>0</v>
      </c>
      <c r="O99" s="243">
        <f t="shared" si="19"/>
        <v>0</v>
      </c>
      <c r="P99" s="243">
        <f t="shared" si="29"/>
        <v>0</v>
      </c>
      <c r="Q99" s="69">
        <f>+O99*6</f>
        <v>0</v>
      </c>
      <c r="R99" s="243"/>
      <c r="T99" s="243"/>
      <c r="U99" s="243">
        <f t="shared" si="20"/>
        <v>0</v>
      </c>
      <c r="V99" s="243">
        <f t="shared" si="30"/>
        <v>0</v>
      </c>
      <c r="W99" s="69">
        <f>+U99*6</f>
        <v>0</v>
      </c>
      <c r="X99" s="243"/>
      <c r="Z99" s="243"/>
      <c r="AA99" s="243">
        <f t="shared" si="21"/>
        <v>0</v>
      </c>
      <c r="AB99" s="243">
        <f t="shared" si="31"/>
        <v>0</v>
      </c>
      <c r="AC99" s="69">
        <f>+AA99*6</f>
        <v>0</v>
      </c>
      <c r="AD99" s="243"/>
      <c r="AF99" s="243">
        <f t="shared" si="22"/>
        <v>0</v>
      </c>
    </row>
    <row r="100" spans="1:32">
      <c r="A100" t="s">
        <v>1299</v>
      </c>
      <c r="B100" t="s">
        <v>1268</v>
      </c>
      <c r="C100" s="243">
        <v>0</v>
      </c>
      <c r="D100" s="243">
        <v>0</v>
      </c>
      <c r="E100" s="243">
        <v>0</v>
      </c>
      <c r="F100" s="243">
        <v>0</v>
      </c>
      <c r="G100" s="243">
        <v>0</v>
      </c>
      <c r="H100" s="243">
        <v>0</v>
      </c>
      <c r="I100" s="243">
        <v>0</v>
      </c>
      <c r="J100" s="243">
        <v>0</v>
      </c>
      <c r="K100" s="243">
        <v>0</v>
      </c>
      <c r="L100" s="243">
        <v>0</v>
      </c>
      <c r="M100" s="243">
        <v>0</v>
      </c>
      <c r="N100" s="243">
        <v>0</v>
      </c>
      <c r="O100" s="243">
        <f t="shared" si="19"/>
        <v>0</v>
      </c>
      <c r="P100" s="69">
        <f t="shared" si="29"/>
        <v>0</v>
      </c>
      <c r="Q100" s="69"/>
      <c r="R100" s="243"/>
      <c r="T100" s="243"/>
      <c r="U100" s="243">
        <f t="shared" si="20"/>
        <v>0</v>
      </c>
      <c r="V100" s="69">
        <f t="shared" si="30"/>
        <v>0</v>
      </c>
      <c r="W100" s="69"/>
      <c r="X100" s="243"/>
      <c r="Z100" s="243"/>
      <c r="AA100" s="243">
        <f t="shared" si="21"/>
        <v>0</v>
      </c>
      <c r="AB100" s="69">
        <f t="shared" si="31"/>
        <v>0</v>
      </c>
      <c r="AC100" s="69"/>
      <c r="AD100" s="243"/>
      <c r="AF100" s="243">
        <f t="shared" si="22"/>
        <v>0</v>
      </c>
    </row>
    <row r="101" spans="1:32">
      <c r="B101" t="s">
        <v>1270</v>
      </c>
      <c r="C101" s="243">
        <v>0</v>
      </c>
      <c r="D101" s="243">
        <v>0</v>
      </c>
      <c r="E101" s="243">
        <v>0</v>
      </c>
      <c r="F101" s="243">
        <v>0</v>
      </c>
      <c r="G101" s="243">
        <v>0</v>
      </c>
      <c r="H101" s="243">
        <v>0</v>
      </c>
      <c r="I101" s="243">
        <v>0</v>
      </c>
      <c r="J101" s="243">
        <v>0</v>
      </c>
      <c r="K101" s="243">
        <v>0</v>
      </c>
      <c r="L101" s="243">
        <v>0</v>
      </c>
      <c r="M101" s="243">
        <v>0</v>
      </c>
      <c r="N101" s="243">
        <v>0</v>
      </c>
      <c r="O101" s="243">
        <f t="shared" si="19"/>
        <v>0</v>
      </c>
      <c r="P101" s="69">
        <f t="shared" si="29"/>
        <v>0</v>
      </c>
      <c r="Q101" s="69"/>
      <c r="R101" s="243"/>
      <c r="T101" s="243"/>
      <c r="U101" s="243">
        <f t="shared" si="20"/>
        <v>0</v>
      </c>
      <c r="V101" s="69">
        <f t="shared" si="30"/>
        <v>0</v>
      </c>
      <c r="W101" s="69"/>
      <c r="X101" s="243"/>
      <c r="Z101" s="243"/>
      <c r="AA101" s="243">
        <f t="shared" si="21"/>
        <v>0</v>
      </c>
      <c r="AB101" s="69">
        <f t="shared" si="31"/>
        <v>0</v>
      </c>
      <c r="AC101" s="69"/>
      <c r="AD101" s="243"/>
      <c r="AF101" s="243">
        <f t="shared" si="22"/>
        <v>0</v>
      </c>
    </row>
    <row r="102" spans="1:32">
      <c r="B102" t="s">
        <v>1271</v>
      </c>
      <c r="C102" s="243">
        <v>0</v>
      </c>
      <c r="D102" s="243">
        <v>0</v>
      </c>
      <c r="E102" s="243">
        <v>0</v>
      </c>
      <c r="F102" s="243">
        <v>0</v>
      </c>
      <c r="G102" s="243">
        <v>0</v>
      </c>
      <c r="H102" s="243">
        <v>0</v>
      </c>
      <c r="I102" s="243">
        <v>0</v>
      </c>
      <c r="J102" s="243">
        <v>0</v>
      </c>
      <c r="K102" s="243">
        <v>0</v>
      </c>
      <c r="L102" s="243">
        <v>0</v>
      </c>
      <c r="M102" s="243">
        <v>0</v>
      </c>
      <c r="N102" s="243">
        <v>0</v>
      </c>
      <c r="O102" s="243">
        <f t="shared" si="19"/>
        <v>0</v>
      </c>
      <c r="P102" s="69">
        <f t="shared" si="29"/>
        <v>0</v>
      </c>
      <c r="Q102" s="69"/>
      <c r="R102" s="243"/>
      <c r="T102" s="243"/>
      <c r="U102" s="243">
        <f t="shared" si="20"/>
        <v>0</v>
      </c>
      <c r="V102" s="69">
        <f t="shared" si="30"/>
        <v>0</v>
      </c>
      <c r="W102" s="69"/>
      <c r="X102" s="243"/>
      <c r="Z102" s="243"/>
      <c r="AA102" s="243">
        <f t="shared" si="21"/>
        <v>0</v>
      </c>
      <c r="AB102" s="69">
        <f t="shared" si="31"/>
        <v>0</v>
      </c>
      <c r="AC102" s="69"/>
      <c r="AD102" s="243"/>
      <c r="AF102" s="243">
        <f t="shared" si="22"/>
        <v>0</v>
      </c>
    </row>
    <row r="103" spans="1:32">
      <c r="A103" t="s">
        <v>1300</v>
      </c>
      <c r="B103" t="s">
        <v>1268</v>
      </c>
      <c r="C103" s="243">
        <v>0</v>
      </c>
      <c r="D103" s="243">
        <v>0</v>
      </c>
      <c r="E103" s="243">
        <v>0</v>
      </c>
      <c r="F103" s="243">
        <v>0</v>
      </c>
      <c r="G103" s="243">
        <v>0</v>
      </c>
      <c r="H103" s="243">
        <v>0</v>
      </c>
      <c r="I103" s="243">
        <v>0</v>
      </c>
      <c r="J103" s="243">
        <v>0</v>
      </c>
      <c r="K103" s="243">
        <v>0</v>
      </c>
      <c r="L103" s="243">
        <v>0</v>
      </c>
      <c r="M103" s="243">
        <v>0</v>
      </c>
      <c r="N103" s="243">
        <v>0</v>
      </c>
      <c r="O103" s="243">
        <f t="shared" si="19"/>
        <v>0</v>
      </c>
      <c r="P103" s="69">
        <f t="shared" si="29"/>
        <v>0</v>
      </c>
      <c r="Q103" s="69">
        <f>+O103*2</f>
        <v>0</v>
      </c>
      <c r="R103" s="243"/>
      <c r="T103" s="243"/>
      <c r="U103" s="243">
        <f t="shared" si="20"/>
        <v>0</v>
      </c>
      <c r="V103" s="69">
        <f t="shared" si="30"/>
        <v>0</v>
      </c>
      <c r="W103" s="69">
        <f>+U103*2</f>
        <v>0</v>
      </c>
      <c r="X103" s="243"/>
      <c r="Z103" s="243"/>
      <c r="AA103" s="243">
        <f t="shared" si="21"/>
        <v>0</v>
      </c>
      <c r="AB103" s="69">
        <f t="shared" si="31"/>
        <v>0</v>
      </c>
      <c r="AC103" s="69">
        <f>+AA103*2</f>
        <v>0</v>
      </c>
      <c r="AD103" s="243"/>
      <c r="AF103" s="243">
        <f t="shared" si="22"/>
        <v>0</v>
      </c>
    </row>
    <row r="104" spans="1:32">
      <c r="B104" t="s">
        <v>1270</v>
      </c>
      <c r="C104" s="243">
        <v>0</v>
      </c>
      <c r="D104" s="243">
        <v>0</v>
      </c>
      <c r="E104" s="243">
        <v>0</v>
      </c>
      <c r="F104" s="243">
        <v>0</v>
      </c>
      <c r="G104" s="243">
        <v>0</v>
      </c>
      <c r="H104" s="243">
        <v>0</v>
      </c>
      <c r="I104" s="243">
        <v>0</v>
      </c>
      <c r="J104" s="243">
        <v>0</v>
      </c>
      <c r="K104" s="243">
        <v>0</v>
      </c>
      <c r="L104" s="243">
        <v>0</v>
      </c>
      <c r="M104" s="243">
        <v>0</v>
      </c>
      <c r="N104" s="243">
        <v>0</v>
      </c>
      <c r="O104" s="243">
        <f t="shared" si="19"/>
        <v>0</v>
      </c>
      <c r="P104" s="69">
        <f t="shared" si="29"/>
        <v>0</v>
      </c>
      <c r="Q104" s="69">
        <f>+O104*2</f>
        <v>0</v>
      </c>
      <c r="R104" s="243"/>
      <c r="T104" s="243"/>
      <c r="U104" s="243">
        <f t="shared" si="20"/>
        <v>0</v>
      </c>
      <c r="V104" s="69">
        <f t="shared" si="30"/>
        <v>0</v>
      </c>
      <c r="W104" s="69">
        <f>+U104*2</f>
        <v>0</v>
      </c>
      <c r="X104" s="243"/>
      <c r="Z104" s="243"/>
      <c r="AA104" s="243">
        <f t="shared" si="21"/>
        <v>0</v>
      </c>
      <c r="AB104" s="69">
        <f t="shared" si="31"/>
        <v>0</v>
      </c>
      <c r="AC104" s="69">
        <f>+AA104*2</f>
        <v>0</v>
      </c>
      <c r="AD104" s="243"/>
      <c r="AF104" s="243">
        <f t="shared" si="22"/>
        <v>0</v>
      </c>
    </row>
    <row r="105" spans="1:32">
      <c r="B105" t="s">
        <v>1271</v>
      </c>
      <c r="C105" s="243">
        <v>0</v>
      </c>
      <c r="D105" s="243">
        <v>0</v>
      </c>
      <c r="E105" s="243">
        <v>0</v>
      </c>
      <c r="F105" s="243">
        <v>0</v>
      </c>
      <c r="G105" s="243">
        <v>0</v>
      </c>
      <c r="H105" s="243">
        <v>0</v>
      </c>
      <c r="I105" s="243">
        <v>0</v>
      </c>
      <c r="J105" s="243">
        <v>0</v>
      </c>
      <c r="K105" s="243">
        <v>0</v>
      </c>
      <c r="L105" s="243">
        <v>0</v>
      </c>
      <c r="M105" s="243">
        <v>0</v>
      </c>
      <c r="N105" s="243">
        <v>0</v>
      </c>
      <c r="O105" s="243">
        <f t="shared" si="19"/>
        <v>0</v>
      </c>
      <c r="P105" s="69">
        <f t="shared" si="29"/>
        <v>0</v>
      </c>
      <c r="Q105" s="69">
        <f>+O105*2</f>
        <v>0</v>
      </c>
      <c r="R105" s="243"/>
      <c r="T105" s="243"/>
      <c r="U105" s="243">
        <f t="shared" si="20"/>
        <v>0</v>
      </c>
      <c r="V105" s="69">
        <f t="shared" si="30"/>
        <v>0</v>
      </c>
      <c r="W105" s="69">
        <f>+U105*2</f>
        <v>0</v>
      </c>
      <c r="X105" s="243"/>
      <c r="Z105" s="243"/>
      <c r="AA105" s="243">
        <f t="shared" si="21"/>
        <v>0</v>
      </c>
      <c r="AB105" s="69">
        <f t="shared" si="31"/>
        <v>0</v>
      </c>
      <c r="AC105" s="69">
        <f>+AA105*2</f>
        <v>0</v>
      </c>
      <c r="AD105" s="243"/>
      <c r="AF105" s="243">
        <f t="shared" si="22"/>
        <v>0</v>
      </c>
    </row>
    <row r="106" spans="1:32">
      <c r="A106" t="s">
        <v>1301</v>
      </c>
      <c r="B106" t="s">
        <v>1268</v>
      </c>
      <c r="C106" s="243">
        <v>0</v>
      </c>
      <c r="D106" s="243">
        <v>0</v>
      </c>
      <c r="E106" s="243">
        <v>0</v>
      </c>
      <c r="F106" s="243">
        <v>0</v>
      </c>
      <c r="G106" s="243">
        <v>0</v>
      </c>
      <c r="H106" s="243">
        <v>0</v>
      </c>
      <c r="I106" s="243">
        <v>0</v>
      </c>
      <c r="J106" s="243">
        <v>0</v>
      </c>
      <c r="K106" s="243">
        <v>0</v>
      </c>
      <c r="L106" s="243">
        <v>0</v>
      </c>
      <c r="M106" s="243">
        <v>0</v>
      </c>
      <c r="N106" s="243">
        <v>0</v>
      </c>
      <c r="O106" s="243">
        <f t="shared" si="19"/>
        <v>0</v>
      </c>
      <c r="P106" s="69">
        <f t="shared" ref="P106:P111" si="32">+O106*3</f>
        <v>0</v>
      </c>
      <c r="Q106" s="69"/>
      <c r="R106" s="243"/>
      <c r="T106" s="243"/>
      <c r="U106" s="243">
        <f t="shared" si="20"/>
        <v>0</v>
      </c>
      <c r="V106" s="69">
        <f t="shared" ref="V106:V111" si="33">+U106*3</f>
        <v>0</v>
      </c>
      <c r="W106" s="69"/>
      <c r="X106" s="243"/>
      <c r="Z106" s="243"/>
      <c r="AA106" s="243">
        <f t="shared" si="21"/>
        <v>0</v>
      </c>
      <c r="AB106" s="69">
        <f t="shared" ref="AB106:AB111" si="34">+AA106*3</f>
        <v>0</v>
      </c>
      <c r="AC106" s="69"/>
      <c r="AD106" s="243"/>
      <c r="AF106" s="243">
        <f t="shared" si="22"/>
        <v>0</v>
      </c>
    </row>
    <row r="107" spans="1:32">
      <c r="B107" t="s">
        <v>1270</v>
      </c>
      <c r="C107" s="243">
        <v>0</v>
      </c>
      <c r="D107" s="243">
        <v>0</v>
      </c>
      <c r="E107" s="243">
        <v>0</v>
      </c>
      <c r="F107" s="243">
        <v>0</v>
      </c>
      <c r="G107" s="243">
        <v>0</v>
      </c>
      <c r="H107" s="243">
        <v>0</v>
      </c>
      <c r="I107" s="243">
        <v>0</v>
      </c>
      <c r="J107" s="243">
        <v>0</v>
      </c>
      <c r="K107" s="243">
        <v>0</v>
      </c>
      <c r="L107" s="243">
        <v>0</v>
      </c>
      <c r="M107" s="243">
        <v>0</v>
      </c>
      <c r="N107" s="243">
        <v>0</v>
      </c>
      <c r="O107" s="243">
        <f t="shared" si="19"/>
        <v>0</v>
      </c>
      <c r="P107" s="69">
        <f t="shared" si="32"/>
        <v>0</v>
      </c>
      <c r="Q107" s="69"/>
      <c r="R107" s="243"/>
      <c r="T107" s="243"/>
      <c r="U107" s="243">
        <f t="shared" si="20"/>
        <v>0</v>
      </c>
      <c r="V107" s="69">
        <f t="shared" si="33"/>
        <v>0</v>
      </c>
      <c r="W107" s="69"/>
      <c r="X107" s="243"/>
      <c r="Z107" s="243"/>
      <c r="AA107" s="243">
        <f t="shared" si="21"/>
        <v>0</v>
      </c>
      <c r="AB107" s="69">
        <f t="shared" si="34"/>
        <v>0</v>
      </c>
      <c r="AC107" s="69"/>
      <c r="AD107" s="243"/>
      <c r="AF107" s="243">
        <f t="shared" si="22"/>
        <v>0</v>
      </c>
    </row>
    <row r="108" spans="1:32">
      <c r="B108" t="s">
        <v>1271</v>
      </c>
      <c r="C108" s="243">
        <v>0</v>
      </c>
      <c r="D108" s="243">
        <v>0</v>
      </c>
      <c r="E108" s="243">
        <v>0</v>
      </c>
      <c r="F108" s="243">
        <v>0</v>
      </c>
      <c r="G108" s="243">
        <v>0</v>
      </c>
      <c r="H108" s="243">
        <v>0</v>
      </c>
      <c r="I108" s="243">
        <v>0</v>
      </c>
      <c r="J108" s="243">
        <v>0</v>
      </c>
      <c r="K108" s="243">
        <v>0</v>
      </c>
      <c r="L108" s="243">
        <v>0</v>
      </c>
      <c r="M108" s="243">
        <v>0</v>
      </c>
      <c r="N108" s="243">
        <v>0</v>
      </c>
      <c r="O108" s="243">
        <f t="shared" si="19"/>
        <v>0</v>
      </c>
      <c r="P108" s="69">
        <f t="shared" si="32"/>
        <v>0</v>
      </c>
      <c r="Q108" s="69"/>
      <c r="R108" s="243"/>
      <c r="T108" s="243"/>
      <c r="U108" s="243">
        <f t="shared" si="20"/>
        <v>0</v>
      </c>
      <c r="V108" s="69">
        <f t="shared" si="33"/>
        <v>0</v>
      </c>
      <c r="W108" s="69"/>
      <c r="X108" s="243"/>
      <c r="Z108" s="243"/>
      <c r="AA108" s="243">
        <f t="shared" si="21"/>
        <v>0</v>
      </c>
      <c r="AB108" s="69">
        <f t="shared" si="34"/>
        <v>0</v>
      </c>
      <c r="AC108" s="69"/>
      <c r="AD108" s="243"/>
      <c r="AF108" s="243">
        <f t="shared" si="22"/>
        <v>0</v>
      </c>
    </row>
    <row r="109" spans="1:32">
      <c r="A109" t="s">
        <v>1302</v>
      </c>
      <c r="B109" t="s">
        <v>1268</v>
      </c>
      <c r="C109" s="243">
        <v>0</v>
      </c>
      <c r="D109" s="243">
        <v>0</v>
      </c>
      <c r="E109" s="243">
        <v>0</v>
      </c>
      <c r="F109" s="243">
        <v>0</v>
      </c>
      <c r="G109" s="243">
        <v>0</v>
      </c>
      <c r="H109" s="243">
        <v>0</v>
      </c>
      <c r="I109" s="243">
        <v>0</v>
      </c>
      <c r="J109" s="243">
        <v>0</v>
      </c>
      <c r="K109" s="243">
        <v>0</v>
      </c>
      <c r="L109" s="243">
        <v>0</v>
      </c>
      <c r="M109" s="243">
        <v>0</v>
      </c>
      <c r="N109" s="243">
        <v>0</v>
      </c>
      <c r="O109" s="243">
        <f t="shared" si="19"/>
        <v>0</v>
      </c>
      <c r="P109" s="69">
        <f t="shared" si="32"/>
        <v>0</v>
      </c>
      <c r="Q109" s="69">
        <f>+O109*3</f>
        <v>0</v>
      </c>
      <c r="R109" s="243"/>
      <c r="T109" s="243"/>
      <c r="U109" s="243">
        <f t="shared" si="20"/>
        <v>0</v>
      </c>
      <c r="V109" s="69">
        <f t="shared" si="33"/>
        <v>0</v>
      </c>
      <c r="W109" s="69">
        <f>+U109*3</f>
        <v>0</v>
      </c>
      <c r="X109" s="243"/>
      <c r="Z109" s="243"/>
      <c r="AA109" s="243">
        <f t="shared" si="21"/>
        <v>0</v>
      </c>
      <c r="AB109" s="69">
        <f t="shared" si="34"/>
        <v>0</v>
      </c>
      <c r="AC109" s="69">
        <f>+AA109*3</f>
        <v>0</v>
      </c>
      <c r="AD109" s="243"/>
      <c r="AF109" s="243">
        <f t="shared" si="22"/>
        <v>0</v>
      </c>
    </row>
    <row r="110" spans="1:32">
      <c r="B110" t="s">
        <v>1270</v>
      </c>
      <c r="C110" s="243">
        <v>0</v>
      </c>
      <c r="D110" s="243">
        <v>0</v>
      </c>
      <c r="E110" s="243">
        <v>0</v>
      </c>
      <c r="F110" s="243">
        <v>0</v>
      </c>
      <c r="G110" s="243">
        <v>0</v>
      </c>
      <c r="H110" s="243">
        <v>0</v>
      </c>
      <c r="I110" s="243">
        <v>0</v>
      </c>
      <c r="J110" s="243">
        <v>0</v>
      </c>
      <c r="K110" s="243">
        <v>0</v>
      </c>
      <c r="L110" s="243">
        <v>0</v>
      </c>
      <c r="M110" s="243">
        <v>0</v>
      </c>
      <c r="N110" s="243">
        <v>0</v>
      </c>
      <c r="O110" s="243">
        <f t="shared" si="19"/>
        <v>0</v>
      </c>
      <c r="P110" s="69">
        <f t="shared" si="32"/>
        <v>0</v>
      </c>
      <c r="Q110" s="69">
        <f>+O110*3</f>
        <v>0</v>
      </c>
      <c r="R110" s="243"/>
      <c r="T110" s="243"/>
      <c r="U110" s="243">
        <f t="shared" si="20"/>
        <v>0</v>
      </c>
      <c r="V110" s="69">
        <f t="shared" si="33"/>
        <v>0</v>
      </c>
      <c r="W110" s="69">
        <f>+U110*3</f>
        <v>0</v>
      </c>
      <c r="X110" s="243"/>
      <c r="Z110" s="243"/>
      <c r="AA110" s="243">
        <f t="shared" si="21"/>
        <v>0</v>
      </c>
      <c r="AB110" s="69">
        <f t="shared" si="34"/>
        <v>0</v>
      </c>
      <c r="AC110" s="69">
        <f>+AA110*3</f>
        <v>0</v>
      </c>
      <c r="AD110" s="243"/>
      <c r="AF110" s="243">
        <f t="shared" si="22"/>
        <v>0</v>
      </c>
    </row>
    <row r="111" spans="1:32">
      <c r="B111" t="s">
        <v>1271</v>
      </c>
      <c r="C111" s="243">
        <v>0</v>
      </c>
      <c r="D111" s="243">
        <v>0</v>
      </c>
      <c r="E111" s="243">
        <v>0</v>
      </c>
      <c r="F111" s="243">
        <v>0</v>
      </c>
      <c r="G111" s="243">
        <v>0</v>
      </c>
      <c r="H111" s="243">
        <v>0</v>
      </c>
      <c r="I111" s="243">
        <v>0</v>
      </c>
      <c r="J111" s="243">
        <v>0</v>
      </c>
      <c r="K111" s="243">
        <v>0</v>
      </c>
      <c r="L111" s="243">
        <v>0</v>
      </c>
      <c r="M111" s="243">
        <v>0</v>
      </c>
      <c r="N111" s="243">
        <v>0</v>
      </c>
      <c r="O111" s="243">
        <f t="shared" si="19"/>
        <v>0</v>
      </c>
      <c r="P111" s="69">
        <f t="shared" si="32"/>
        <v>0</v>
      </c>
      <c r="Q111" s="69">
        <f>+O111*3</f>
        <v>0</v>
      </c>
      <c r="R111" s="243"/>
      <c r="T111" s="243"/>
      <c r="U111" s="243">
        <f t="shared" si="20"/>
        <v>0</v>
      </c>
      <c r="V111" s="69">
        <f t="shared" si="33"/>
        <v>0</v>
      </c>
      <c r="W111" s="69">
        <f>+U111*3</f>
        <v>0</v>
      </c>
      <c r="X111" s="243"/>
      <c r="Z111" s="243"/>
      <c r="AA111" s="243">
        <f t="shared" si="21"/>
        <v>0</v>
      </c>
      <c r="AB111" s="69">
        <f t="shared" si="34"/>
        <v>0</v>
      </c>
      <c r="AC111" s="69">
        <f>+AA111*3</f>
        <v>0</v>
      </c>
      <c r="AD111" s="243"/>
      <c r="AF111" s="243">
        <f t="shared" si="22"/>
        <v>0</v>
      </c>
    </row>
    <row r="112" spans="1:32">
      <c r="A112" t="s">
        <v>1303</v>
      </c>
      <c r="B112" t="s">
        <v>1268</v>
      </c>
      <c r="C112" s="243">
        <v>0</v>
      </c>
      <c r="D112" s="243">
        <v>0</v>
      </c>
      <c r="E112" s="243">
        <v>0</v>
      </c>
      <c r="F112" s="243">
        <v>0</v>
      </c>
      <c r="G112" s="243">
        <v>0</v>
      </c>
      <c r="H112" s="243">
        <v>0</v>
      </c>
      <c r="I112" s="243">
        <v>0</v>
      </c>
      <c r="J112" s="243">
        <v>0</v>
      </c>
      <c r="K112" s="243">
        <v>0</v>
      </c>
      <c r="L112" s="243">
        <v>0</v>
      </c>
      <c r="M112" s="243">
        <v>0</v>
      </c>
      <c r="N112" s="243">
        <v>0</v>
      </c>
      <c r="O112" s="243">
        <f t="shared" si="19"/>
        <v>0</v>
      </c>
      <c r="P112" s="69">
        <f t="shared" ref="P112:P117" si="35">+O112*4</f>
        <v>0</v>
      </c>
      <c r="Q112" s="69"/>
      <c r="R112" s="243"/>
      <c r="T112" s="243"/>
      <c r="U112" s="243">
        <f t="shared" si="20"/>
        <v>0</v>
      </c>
      <c r="V112" s="69">
        <f t="shared" ref="V112:V117" si="36">+U112*4</f>
        <v>0</v>
      </c>
      <c r="W112" s="69"/>
      <c r="X112" s="243"/>
      <c r="Z112" s="243"/>
      <c r="AA112" s="243">
        <f t="shared" si="21"/>
        <v>0</v>
      </c>
      <c r="AB112" s="69">
        <f t="shared" ref="AB112:AB117" si="37">+AA112*4</f>
        <v>0</v>
      </c>
      <c r="AC112" s="69"/>
      <c r="AD112" s="243"/>
      <c r="AF112" s="243">
        <f t="shared" si="22"/>
        <v>0</v>
      </c>
    </row>
    <row r="113" spans="1:32">
      <c r="B113" t="s">
        <v>1270</v>
      </c>
      <c r="C113" s="243">
        <v>0</v>
      </c>
      <c r="D113" s="243">
        <v>0</v>
      </c>
      <c r="E113" s="243">
        <v>0</v>
      </c>
      <c r="F113" s="243">
        <v>0</v>
      </c>
      <c r="G113" s="243">
        <v>0</v>
      </c>
      <c r="H113" s="243">
        <v>0</v>
      </c>
      <c r="I113" s="243">
        <v>0</v>
      </c>
      <c r="J113" s="243">
        <v>0</v>
      </c>
      <c r="K113" s="243">
        <v>0</v>
      </c>
      <c r="L113" s="243">
        <v>0</v>
      </c>
      <c r="M113" s="243">
        <v>0</v>
      </c>
      <c r="N113" s="243">
        <v>0</v>
      </c>
      <c r="O113" s="243">
        <f t="shared" si="19"/>
        <v>0</v>
      </c>
      <c r="P113" s="69">
        <f t="shared" si="35"/>
        <v>0</v>
      </c>
      <c r="Q113" s="69"/>
      <c r="R113" s="243"/>
      <c r="T113" s="243"/>
      <c r="U113" s="243">
        <f t="shared" si="20"/>
        <v>0</v>
      </c>
      <c r="V113" s="69">
        <f t="shared" si="36"/>
        <v>0</v>
      </c>
      <c r="W113" s="69"/>
      <c r="X113" s="243"/>
      <c r="Z113" s="243"/>
      <c r="AA113" s="243">
        <f t="shared" si="21"/>
        <v>0</v>
      </c>
      <c r="AB113" s="69">
        <f t="shared" si="37"/>
        <v>0</v>
      </c>
      <c r="AC113" s="69"/>
      <c r="AD113" s="243"/>
      <c r="AF113" s="243">
        <f t="shared" si="22"/>
        <v>0</v>
      </c>
    </row>
    <row r="114" spans="1:32">
      <c r="B114" t="s">
        <v>1271</v>
      </c>
      <c r="C114" s="243">
        <v>0</v>
      </c>
      <c r="D114" s="243">
        <v>0</v>
      </c>
      <c r="E114" s="243">
        <v>0</v>
      </c>
      <c r="F114" s="243">
        <v>0</v>
      </c>
      <c r="G114" s="243">
        <v>0</v>
      </c>
      <c r="H114" s="243">
        <v>0</v>
      </c>
      <c r="I114" s="243">
        <v>0</v>
      </c>
      <c r="J114" s="243">
        <v>0</v>
      </c>
      <c r="K114" s="243">
        <v>0</v>
      </c>
      <c r="L114" s="243">
        <v>0</v>
      </c>
      <c r="M114" s="243">
        <v>0</v>
      </c>
      <c r="N114" s="243">
        <v>0</v>
      </c>
      <c r="O114" s="243">
        <f t="shared" si="19"/>
        <v>0</v>
      </c>
      <c r="P114" s="69">
        <f t="shared" si="35"/>
        <v>0</v>
      </c>
      <c r="Q114" s="69"/>
      <c r="R114" s="243"/>
      <c r="T114" s="243"/>
      <c r="U114" s="243">
        <f t="shared" si="20"/>
        <v>0</v>
      </c>
      <c r="V114" s="69">
        <f t="shared" si="36"/>
        <v>0</v>
      </c>
      <c r="W114" s="69"/>
      <c r="X114" s="243"/>
      <c r="Z114" s="243"/>
      <c r="AA114" s="243">
        <f t="shared" si="21"/>
        <v>0</v>
      </c>
      <c r="AB114" s="69">
        <f t="shared" si="37"/>
        <v>0</v>
      </c>
      <c r="AC114" s="69"/>
      <c r="AD114" s="243"/>
      <c r="AF114" s="243">
        <f t="shared" si="22"/>
        <v>0</v>
      </c>
    </row>
    <row r="115" spans="1:32">
      <c r="A115" t="s">
        <v>1304</v>
      </c>
      <c r="B115" t="s">
        <v>1268</v>
      </c>
      <c r="C115" s="243">
        <v>0</v>
      </c>
      <c r="D115" s="243">
        <v>0</v>
      </c>
      <c r="E115" s="243">
        <v>0</v>
      </c>
      <c r="F115" s="243">
        <v>0</v>
      </c>
      <c r="G115" s="243">
        <v>0</v>
      </c>
      <c r="H115" s="243">
        <v>0</v>
      </c>
      <c r="I115" s="243">
        <v>0</v>
      </c>
      <c r="J115" s="243">
        <v>0</v>
      </c>
      <c r="K115" s="243">
        <v>0</v>
      </c>
      <c r="L115" s="243">
        <v>0</v>
      </c>
      <c r="M115" s="243">
        <v>0</v>
      </c>
      <c r="N115" s="243">
        <v>0</v>
      </c>
      <c r="O115" s="243">
        <f t="shared" si="19"/>
        <v>0</v>
      </c>
      <c r="P115" s="69">
        <f t="shared" si="35"/>
        <v>0</v>
      </c>
      <c r="Q115" s="69">
        <f>+O115*4</f>
        <v>0</v>
      </c>
      <c r="R115" s="243"/>
      <c r="T115" s="243"/>
      <c r="U115" s="243">
        <f t="shared" si="20"/>
        <v>0</v>
      </c>
      <c r="V115" s="69">
        <f t="shared" si="36"/>
        <v>0</v>
      </c>
      <c r="W115" s="69">
        <f>+U115*4</f>
        <v>0</v>
      </c>
      <c r="X115" s="243"/>
      <c r="Z115" s="243"/>
      <c r="AA115" s="243">
        <f t="shared" si="21"/>
        <v>0</v>
      </c>
      <c r="AB115" s="69">
        <f t="shared" si="37"/>
        <v>0</v>
      </c>
      <c r="AC115" s="69">
        <f>+AA115*4</f>
        <v>0</v>
      </c>
      <c r="AD115" s="243"/>
      <c r="AF115" s="243">
        <f t="shared" si="22"/>
        <v>0</v>
      </c>
    </row>
    <row r="116" spans="1:32">
      <c r="B116" t="s">
        <v>1270</v>
      </c>
      <c r="C116" s="243">
        <v>0</v>
      </c>
      <c r="D116" s="243">
        <v>0</v>
      </c>
      <c r="E116" s="243">
        <v>0</v>
      </c>
      <c r="F116" s="243">
        <v>0</v>
      </c>
      <c r="G116" s="243">
        <v>0</v>
      </c>
      <c r="H116" s="243">
        <v>0</v>
      </c>
      <c r="I116" s="243">
        <v>0</v>
      </c>
      <c r="J116" s="243">
        <v>0</v>
      </c>
      <c r="K116" s="243">
        <v>0</v>
      </c>
      <c r="L116" s="243">
        <v>0</v>
      </c>
      <c r="M116" s="243">
        <v>0</v>
      </c>
      <c r="N116" s="243">
        <v>0</v>
      </c>
      <c r="O116" s="243">
        <f t="shared" si="19"/>
        <v>0</v>
      </c>
      <c r="P116" s="69">
        <f t="shared" si="35"/>
        <v>0</v>
      </c>
      <c r="Q116" s="69">
        <f>+O116*4</f>
        <v>0</v>
      </c>
      <c r="R116" s="243"/>
      <c r="T116" s="243"/>
      <c r="U116" s="243">
        <f t="shared" si="20"/>
        <v>0</v>
      </c>
      <c r="V116" s="69">
        <f t="shared" si="36"/>
        <v>0</v>
      </c>
      <c r="W116" s="69">
        <f>+U116*4</f>
        <v>0</v>
      </c>
      <c r="X116" s="243"/>
      <c r="Z116" s="243"/>
      <c r="AA116" s="243">
        <f t="shared" si="21"/>
        <v>0</v>
      </c>
      <c r="AB116" s="69">
        <f t="shared" si="37"/>
        <v>0</v>
      </c>
      <c r="AC116" s="69">
        <f>+AA116*4</f>
        <v>0</v>
      </c>
      <c r="AD116" s="243"/>
      <c r="AF116" s="243">
        <f t="shared" si="22"/>
        <v>0</v>
      </c>
    </row>
    <row r="117" spans="1:32">
      <c r="B117" t="s">
        <v>1271</v>
      </c>
      <c r="C117" s="243">
        <v>0</v>
      </c>
      <c r="D117" s="243">
        <v>0</v>
      </c>
      <c r="E117" s="243">
        <v>0</v>
      </c>
      <c r="F117" s="243">
        <v>0</v>
      </c>
      <c r="G117" s="243">
        <v>0</v>
      </c>
      <c r="H117" s="243">
        <v>0</v>
      </c>
      <c r="I117" s="243">
        <v>0</v>
      </c>
      <c r="J117" s="243">
        <v>0</v>
      </c>
      <c r="K117" s="243">
        <v>0</v>
      </c>
      <c r="L117" s="243">
        <v>0</v>
      </c>
      <c r="M117" s="243">
        <v>0</v>
      </c>
      <c r="N117" s="243">
        <v>0</v>
      </c>
      <c r="O117" s="243">
        <f t="shared" si="19"/>
        <v>0</v>
      </c>
      <c r="P117" s="69">
        <f t="shared" si="35"/>
        <v>0</v>
      </c>
      <c r="Q117" s="69">
        <f>+O117*4</f>
        <v>0</v>
      </c>
      <c r="R117" s="243"/>
      <c r="T117" s="243"/>
      <c r="U117" s="243">
        <f t="shared" si="20"/>
        <v>0</v>
      </c>
      <c r="V117" s="69">
        <f t="shared" si="36"/>
        <v>0</v>
      </c>
      <c r="W117" s="69">
        <f>+U117*4</f>
        <v>0</v>
      </c>
      <c r="X117" s="243"/>
      <c r="Z117" s="243"/>
      <c r="AA117" s="243">
        <f t="shared" si="21"/>
        <v>0</v>
      </c>
      <c r="AB117" s="69">
        <f t="shared" si="37"/>
        <v>0</v>
      </c>
      <c r="AC117" s="69">
        <f>+AA117*4</f>
        <v>0</v>
      </c>
      <c r="AD117" s="243"/>
      <c r="AF117" s="243">
        <f t="shared" si="22"/>
        <v>0</v>
      </c>
    </row>
    <row r="118" spans="1:32">
      <c r="A118" t="s">
        <v>1305</v>
      </c>
      <c r="B118" t="s">
        <v>1268</v>
      </c>
      <c r="C118" s="243">
        <v>0</v>
      </c>
      <c r="D118" s="243">
        <v>0</v>
      </c>
      <c r="E118" s="243">
        <v>0</v>
      </c>
      <c r="F118" s="243">
        <v>0</v>
      </c>
      <c r="G118" s="243">
        <v>0</v>
      </c>
      <c r="H118" s="243">
        <v>73</v>
      </c>
      <c r="I118" s="243">
        <v>0</v>
      </c>
      <c r="J118" s="243">
        <v>0</v>
      </c>
      <c r="K118" s="243">
        <v>0</v>
      </c>
      <c r="L118" s="243">
        <v>0</v>
      </c>
      <c r="M118" s="243">
        <v>0</v>
      </c>
      <c r="N118" s="243">
        <v>0</v>
      </c>
      <c r="O118" s="243">
        <f t="shared" si="19"/>
        <v>73</v>
      </c>
      <c r="R118" s="243">
        <f t="shared" ref="R118:R144" si="38">+O118+Q118</f>
        <v>73</v>
      </c>
      <c r="T118" s="243"/>
      <c r="U118" s="243">
        <f t="shared" si="20"/>
        <v>0</v>
      </c>
      <c r="X118" s="243">
        <f t="shared" ref="X118:X144" si="39">+U118+W118</f>
        <v>0</v>
      </c>
      <c r="Z118" s="243"/>
      <c r="AA118" s="243">
        <f t="shared" si="21"/>
        <v>73</v>
      </c>
      <c r="AD118" s="243">
        <f t="shared" ref="AD118:AD144" si="40">+AA118+AC118</f>
        <v>73</v>
      </c>
      <c r="AF118" s="243">
        <f t="shared" si="22"/>
        <v>0</v>
      </c>
    </row>
    <row r="119" spans="1:32">
      <c r="B119" t="s">
        <v>1270</v>
      </c>
      <c r="C119" s="243">
        <v>0</v>
      </c>
      <c r="D119" s="243">
        <v>0</v>
      </c>
      <c r="E119" s="243">
        <v>0</v>
      </c>
      <c r="F119" s="243">
        <v>0</v>
      </c>
      <c r="G119" s="243">
        <v>0</v>
      </c>
      <c r="H119" s="243">
        <v>7</v>
      </c>
      <c r="I119" s="243">
        <v>0</v>
      </c>
      <c r="J119" s="243">
        <v>0</v>
      </c>
      <c r="K119" s="243">
        <v>0</v>
      </c>
      <c r="L119" s="243">
        <v>0</v>
      </c>
      <c r="M119" s="243">
        <v>0</v>
      </c>
      <c r="N119" s="243">
        <v>0</v>
      </c>
      <c r="O119" s="243">
        <f t="shared" si="19"/>
        <v>7</v>
      </c>
      <c r="R119" s="243">
        <f t="shared" si="38"/>
        <v>7</v>
      </c>
      <c r="T119" s="243"/>
      <c r="U119" s="243">
        <f t="shared" si="20"/>
        <v>0</v>
      </c>
      <c r="X119" s="243">
        <f t="shared" si="39"/>
        <v>0</v>
      </c>
      <c r="Z119" s="243"/>
      <c r="AA119" s="243">
        <f t="shared" si="21"/>
        <v>7</v>
      </c>
      <c r="AD119" s="243">
        <f t="shared" si="40"/>
        <v>7</v>
      </c>
      <c r="AF119" s="243">
        <f t="shared" si="22"/>
        <v>0</v>
      </c>
    </row>
    <row r="120" spans="1:32">
      <c r="B120" t="s">
        <v>1271</v>
      </c>
      <c r="C120" s="243">
        <v>0</v>
      </c>
      <c r="D120" s="243">
        <v>0</v>
      </c>
      <c r="E120" s="243">
        <v>0</v>
      </c>
      <c r="F120" s="243">
        <v>0</v>
      </c>
      <c r="G120" s="243">
        <v>0</v>
      </c>
      <c r="H120" s="243">
        <v>6</v>
      </c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f t="shared" si="19"/>
        <v>6</v>
      </c>
      <c r="R120" s="243">
        <f t="shared" si="38"/>
        <v>6</v>
      </c>
      <c r="T120" s="243"/>
      <c r="U120" s="243">
        <f t="shared" si="20"/>
        <v>0</v>
      </c>
      <c r="X120" s="243">
        <f t="shared" si="39"/>
        <v>0</v>
      </c>
      <c r="Z120" s="243"/>
      <c r="AA120" s="243">
        <f t="shared" si="21"/>
        <v>6</v>
      </c>
      <c r="AD120" s="243">
        <f t="shared" si="40"/>
        <v>6</v>
      </c>
      <c r="AF120" s="243">
        <f t="shared" si="22"/>
        <v>0</v>
      </c>
    </row>
    <row r="121" spans="1:32">
      <c r="A121" t="s">
        <v>1306</v>
      </c>
      <c r="B121" t="s">
        <v>1268</v>
      </c>
      <c r="C121" s="243">
        <v>0</v>
      </c>
      <c r="D121" s="243">
        <v>0</v>
      </c>
      <c r="E121" s="243">
        <v>0</v>
      </c>
      <c r="F121" s="243">
        <v>0</v>
      </c>
      <c r="G121" s="243">
        <v>0</v>
      </c>
      <c r="H121" s="243">
        <v>11</v>
      </c>
      <c r="I121" s="243">
        <v>0</v>
      </c>
      <c r="J121" s="243">
        <v>0</v>
      </c>
      <c r="K121" s="243">
        <v>0</v>
      </c>
      <c r="L121" s="243">
        <v>0</v>
      </c>
      <c r="M121" s="243">
        <v>0</v>
      </c>
      <c r="N121" s="243">
        <v>0</v>
      </c>
      <c r="O121" s="243">
        <f t="shared" si="19"/>
        <v>11</v>
      </c>
      <c r="R121" s="243">
        <f t="shared" si="38"/>
        <v>11</v>
      </c>
      <c r="T121" s="243"/>
      <c r="U121" s="243">
        <f t="shared" si="20"/>
        <v>0</v>
      </c>
      <c r="X121" s="243">
        <f t="shared" si="39"/>
        <v>0</v>
      </c>
      <c r="Z121" s="243"/>
      <c r="AA121" s="243">
        <f t="shared" si="21"/>
        <v>11</v>
      </c>
      <c r="AD121" s="243">
        <f t="shared" si="40"/>
        <v>11</v>
      </c>
      <c r="AF121" s="243">
        <f t="shared" si="22"/>
        <v>0</v>
      </c>
    </row>
    <row r="122" spans="1:32">
      <c r="B122" t="s">
        <v>1270</v>
      </c>
      <c r="C122" s="243">
        <v>0</v>
      </c>
      <c r="D122" s="243">
        <v>0</v>
      </c>
      <c r="E122" s="243">
        <v>0</v>
      </c>
      <c r="F122" s="243">
        <v>0</v>
      </c>
      <c r="G122" s="243">
        <v>0</v>
      </c>
      <c r="H122" s="243">
        <v>0</v>
      </c>
      <c r="I122" s="243">
        <v>0</v>
      </c>
      <c r="J122" s="243">
        <v>0</v>
      </c>
      <c r="K122" s="243">
        <v>0</v>
      </c>
      <c r="L122" s="243">
        <v>0</v>
      </c>
      <c r="M122" s="243">
        <v>0</v>
      </c>
      <c r="N122" s="243">
        <v>0</v>
      </c>
      <c r="O122" s="243">
        <f t="shared" si="19"/>
        <v>0</v>
      </c>
      <c r="R122" s="243">
        <f t="shared" si="38"/>
        <v>0</v>
      </c>
      <c r="T122" s="243"/>
      <c r="U122" s="243">
        <f t="shared" si="20"/>
        <v>0</v>
      </c>
      <c r="X122" s="243">
        <f t="shared" si="39"/>
        <v>0</v>
      </c>
      <c r="Z122" s="243"/>
      <c r="AA122" s="243">
        <f t="shared" si="21"/>
        <v>0</v>
      </c>
      <c r="AD122" s="243">
        <f t="shared" si="40"/>
        <v>0</v>
      </c>
      <c r="AF122" s="243">
        <f t="shared" si="22"/>
        <v>0</v>
      </c>
    </row>
    <row r="123" spans="1:32">
      <c r="B123" t="s">
        <v>1271</v>
      </c>
      <c r="C123" s="243">
        <v>0</v>
      </c>
      <c r="D123" s="243">
        <v>0</v>
      </c>
      <c r="E123" s="243">
        <v>0</v>
      </c>
      <c r="F123" s="243">
        <v>0</v>
      </c>
      <c r="G123" s="243">
        <v>0</v>
      </c>
      <c r="H123" s="243">
        <v>0</v>
      </c>
      <c r="I123" s="243">
        <v>0</v>
      </c>
      <c r="J123" s="243">
        <v>0</v>
      </c>
      <c r="K123" s="243">
        <v>0</v>
      </c>
      <c r="L123" s="243">
        <v>0</v>
      </c>
      <c r="M123" s="243">
        <v>0</v>
      </c>
      <c r="N123" s="243">
        <v>0</v>
      </c>
      <c r="O123" s="243">
        <f t="shared" si="19"/>
        <v>0</v>
      </c>
      <c r="R123" s="243">
        <f t="shared" si="38"/>
        <v>0</v>
      </c>
      <c r="T123" s="243"/>
      <c r="U123" s="243">
        <f t="shared" si="20"/>
        <v>0</v>
      </c>
      <c r="X123" s="243">
        <f t="shared" si="39"/>
        <v>0</v>
      </c>
      <c r="Z123" s="243"/>
      <c r="AA123" s="243">
        <f t="shared" si="21"/>
        <v>0</v>
      </c>
      <c r="AD123" s="243">
        <f t="shared" si="40"/>
        <v>0</v>
      </c>
      <c r="AF123" s="243">
        <f t="shared" si="22"/>
        <v>0</v>
      </c>
    </row>
    <row r="124" spans="1:32">
      <c r="A124" t="s">
        <v>1307</v>
      </c>
      <c r="B124" t="s">
        <v>1268</v>
      </c>
      <c r="C124" s="243">
        <v>0</v>
      </c>
      <c r="D124" s="243">
        <v>0</v>
      </c>
      <c r="E124" s="243">
        <v>0</v>
      </c>
      <c r="F124" s="243">
        <v>0</v>
      </c>
      <c r="G124" s="243">
        <v>0</v>
      </c>
      <c r="H124" s="243">
        <v>46</v>
      </c>
      <c r="I124" s="243">
        <v>0</v>
      </c>
      <c r="J124" s="243">
        <v>0</v>
      </c>
      <c r="K124" s="243">
        <v>0</v>
      </c>
      <c r="L124" s="243">
        <v>0</v>
      </c>
      <c r="M124" s="243">
        <v>0</v>
      </c>
      <c r="N124" s="243">
        <v>0</v>
      </c>
      <c r="O124" s="243">
        <f t="shared" si="19"/>
        <v>46</v>
      </c>
      <c r="R124" s="243">
        <f t="shared" si="38"/>
        <v>46</v>
      </c>
      <c r="T124" s="243"/>
      <c r="U124" s="243">
        <f t="shared" si="20"/>
        <v>0</v>
      </c>
      <c r="X124" s="243">
        <f t="shared" si="39"/>
        <v>0</v>
      </c>
      <c r="Z124" s="243"/>
      <c r="AA124" s="243">
        <f t="shared" si="21"/>
        <v>46</v>
      </c>
      <c r="AD124" s="243">
        <f t="shared" si="40"/>
        <v>46</v>
      </c>
      <c r="AF124" s="243">
        <f t="shared" si="22"/>
        <v>0</v>
      </c>
    </row>
    <row r="125" spans="1:32">
      <c r="B125" t="s">
        <v>1270</v>
      </c>
      <c r="C125" s="243">
        <v>0</v>
      </c>
      <c r="D125" s="243">
        <v>0</v>
      </c>
      <c r="E125" s="243">
        <v>0</v>
      </c>
      <c r="F125" s="243">
        <v>0</v>
      </c>
      <c r="G125" s="243">
        <v>0</v>
      </c>
      <c r="H125" s="243">
        <v>4</v>
      </c>
      <c r="I125" s="243">
        <v>0</v>
      </c>
      <c r="J125" s="243">
        <v>0</v>
      </c>
      <c r="K125" s="243">
        <v>0</v>
      </c>
      <c r="L125" s="243">
        <v>0</v>
      </c>
      <c r="M125" s="243">
        <v>0</v>
      </c>
      <c r="N125" s="243">
        <v>0</v>
      </c>
      <c r="O125" s="243">
        <f t="shared" si="19"/>
        <v>4</v>
      </c>
      <c r="R125" s="243">
        <f t="shared" si="38"/>
        <v>4</v>
      </c>
      <c r="T125" s="243"/>
      <c r="U125" s="243">
        <f t="shared" si="20"/>
        <v>0</v>
      </c>
      <c r="X125" s="243">
        <f t="shared" si="39"/>
        <v>0</v>
      </c>
      <c r="Z125" s="243"/>
      <c r="AA125" s="243">
        <f t="shared" si="21"/>
        <v>4</v>
      </c>
      <c r="AD125" s="243">
        <f t="shared" si="40"/>
        <v>4</v>
      </c>
      <c r="AF125" s="243">
        <f t="shared" si="22"/>
        <v>0</v>
      </c>
    </row>
    <row r="126" spans="1:32">
      <c r="B126" t="s">
        <v>1271</v>
      </c>
      <c r="C126" s="243">
        <v>0</v>
      </c>
      <c r="D126" s="243">
        <v>0</v>
      </c>
      <c r="E126" s="243">
        <v>0</v>
      </c>
      <c r="F126" s="243">
        <v>0</v>
      </c>
      <c r="G126" s="243">
        <v>0</v>
      </c>
      <c r="H126" s="243">
        <v>6</v>
      </c>
      <c r="I126" s="243">
        <v>0</v>
      </c>
      <c r="J126" s="243">
        <v>0</v>
      </c>
      <c r="K126" s="243">
        <v>0</v>
      </c>
      <c r="L126" s="243">
        <v>0</v>
      </c>
      <c r="M126" s="243">
        <v>0</v>
      </c>
      <c r="N126" s="243">
        <v>0</v>
      </c>
      <c r="O126" s="243">
        <f t="shared" si="19"/>
        <v>6</v>
      </c>
      <c r="R126" s="243">
        <f t="shared" si="38"/>
        <v>6</v>
      </c>
      <c r="T126" s="243"/>
      <c r="U126" s="243">
        <f t="shared" si="20"/>
        <v>0</v>
      </c>
      <c r="X126" s="243">
        <f t="shared" si="39"/>
        <v>0</v>
      </c>
      <c r="Z126" s="243"/>
      <c r="AA126" s="243">
        <f t="shared" si="21"/>
        <v>6</v>
      </c>
      <c r="AD126" s="243">
        <f t="shared" si="40"/>
        <v>6</v>
      </c>
      <c r="AF126" s="243">
        <f t="shared" si="22"/>
        <v>0</v>
      </c>
    </row>
    <row r="127" spans="1:32">
      <c r="A127" t="s">
        <v>1308</v>
      </c>
      <c r="B127" t="s">
        <v>1268</v>
      </c>
      <c r="C127" s="243">
        <v>0</v>
      </c>
      <c r="D127" s="243">
        <v>0</v>
      </c>
      <c r="E127" s="243">
        <v>0</v>
      </c>
      <c r="F127" s="243">
        <v>0</v>
      </c>
      <c r="G127" s="243">
        <v>0</v>
      </c>
      <c r="H127" s="243">
        <v>1</v>
      </c>
      <c r="I127" s="243">
        <v>0</v>
      </c>
      <c r="J127" s="243">
        <v>0</v>
      </c>
      <c r="K127" s="243">
        <v>0</v>
      </c>
      <c r="L127" s="243">
        <v>0</v>
      </c>
      <c r="M127" s="243">
        <v>0</v>
      </c>
      <c r="N127" s="243">
        <v>0</v>
      </c>
      <c r="O127" s="243">
        <f t="shared" si="19"/>
        <v>1</v>
      </c>
      <c r="R127" s="243">
        <f t="shared" si="38"/>
        <v>1</v>
      </c>
      <c r="T127" s="243"/>
      <c r="U127" s="243">
        <f t="shared" si="20"/>
        <v>0</v>
      </c>
      <c r="X127" s="243">
        <f t="shared" si="39"/>
        <v>0</v>
      </c>
      <c r="Z127" s="243"/>
      <c r="AA127" s="243">
        <f t="shared" si="21"/>
        <v>1</v>
      </c>
      <c r="AD127" s="243">
        <f t="shared" si="40"/>
        <v>1</v>
      </c>
      <c r="AF127" s="243">
        <f t="shared" si="22"/>
        <v>0</v>
      </c>
    </row>
    <row r="128" spans="1:32">
      <c r="B128" t="s">
        <v>1270</v>
      </c>
      <c r="C128" s="243">
        <v>0</v>
      </c>
      <c r="D128" s="243">
        <v>0</v>
      </c>
      <c r="E128" s="243">
        <v>0</v>
      </c>
      <c r="F128" s="243">
        <v>0</v>
      </c>
      <c r="G128" s="243">
        <v>0</v>
      </c>
      <c r="H128" s="243">
        <v>0</v>
      </c>
      <c r="I128" s="243">
        <v>0</v>
      </c>
      <c r="J128" s="243">
        <v>0</v>
      </c>
      <c r="K128" s="243">
        <v>0</v>
      </c>
      <c r="L128" s="243">
        <v>0</v>
      </c>
      <c r="M128" s="243">
        <v>0</v>
      </c>
      <c r="N128" s="243">
        <v>0</v>
      </c>
      <c r="O128" s="243">
        <f t="shared" si="19"/>
        <v>0</v>
      </c>
      <c r="R128" s="243">
        <f t="shared" si="38"/>
        <v>0</v>
      </c>
      <c r="T128" s="243"/>
      <c r="U128" s="243">
        <f t="shared" si="20"/>
        <v>0</v>
      </c>
      <c r="X128" s="243">
        <f t="shared" si="39"/>
        <v>0</v>
      </c>
      <c r="Z128" s="243"/>
      <c r="AA128" s="243">
        <f t="shared" si="21"/>
        <v>0</v>
      </c>
      <c r="AD128" s="243">
        <f t="shared" si="40"/>
        <v>0</v>
      </c>
      <c r="AF128" s="243">
        <f t="shared" si="22"/>
        <v>0</v>
      </c>
    </row>
    <row r="129" spans="1:32">
      <c r="B129" t="s">
        <v>1271</v>
      </c>
      <c r="C129" s="243">
        <v>0</v>
      </c>
      <c r="D129" s="243">
        <v>0</v>
      </c>
      <c r="E129" s="243">
        <v>0</v>
      </c>
      <c r="F129" s="243">
        <v>0</v>
      </c>
      <c r="G129" s="243">
        <v>0</v>
      </c>
      <c r="H129" s="243">
        <v>0</v>
      </c>
      <c r="I129" s="243">
        <v>0</v>
      </c>
      <c r="J129" s="243">
        <v>0</v>
      </c>
      <c r="K129" s="243">
        <v>0</v>
      </c>
      <c r="L129" s="243">
        <v>0</v>
      </c>
      <c r="M129" s="243">
        <v>0</v>
      </c>
      <c r="N129" s="243">
        <v>0</v>
      </c>
      <c r="O129" s="243">
        <f t="shared" si="19"/>
        <v>0</v>
      </c>
      <c r="R129" s="243">
        <f t="shared" si="38"/>
        <v>0</v>
      </c>
      <c r="T129" s="243"/>
      <c r="U129" s="243">
        <f t="shared" si="20"/>
        <v>0</v>
      </c>
      <c r="X129" s="243">
        <f t="shared" si="39"/>
        <v>0</v>
      </c>
      <c r="Z129" s="243"/>
      <c r="AA129" s="243">
        <f t="shared" si="21"/>
        <v>0</v>
      </c>
      <c r="AD129" s="243">
        <f t="shared" si="40"/>
        <v>0</v>
      </c>
      <c r="AF129" s="243">
        <f t="shared" si="22"/>
        <v>0</v>
      </c>
    </row>
    <row r="130" spans="1:32">
      <c r="A130" t="s">
        <v>1309</v>
      </c>
      <c r="B130" t="s">
        <v>1268</v>
      </c>
      <c r="C130" s="243">
        <v>0</v>
      </c>
      <c r="D130" s="243">
        <v>0</v>
      </c>
      <c r="E130" s="243">
        <v>0</v>
      </c>
      <c r="F130" s="243">
        <v>0</v>
      </c>
      <c r="G130" s="243">
        <v>0</v>
      </c>
      <c r="H130" s="243">
        <v>17</v>
      </c>
      <c r="I130" s="243">
        <v>0</v>
      </c>
      <c r="J130" s="243">
        <v>0</v>
      </c>
      <c r="K130" s="243">
        <v>0</v>
      </c>
      <c r="L130" s="243">
        <v>0</v>
      </c>
      <c r="M130" s="243">
        <v>0</v>
      </c>
      <c r="N130" s="243">
        <v>0</v>
      </c>
      <c r="O130" s="243">
        <f t="shared" si="19"/>
        <v>17</v>
      </c>
      <c r="R130" s="243">
        <f t="shared" si="38"/>
        <v>17</v>
      </c>
      <c r="T130" s="243"/>
      <c r="U130" s="243">
        <f t="shared" si="20"/>
        <v>0</v>
      </c>
      <c r="X130" s="243">
        <f t="shared" si="39"/>
        <v>0</v>
      </c>
      <c r="Z130" s="243"/>
      <c r="AA130" s="243">
        <f t="shared" si="21"/>
        <v>17</v>
      </c>
      <c r="AD130" s="243">
        <f t="shared" si="40"/>
        <v>17</v>
      </c>
      <c r="AF130" s="243">
        <f t="shared" si="22"/>
        <v>0</v>
      </c>
    </row>
    <row r="131" spans="1:32">
      <c r="B131" t="s">
        <v>1270</v>
      </c>
      <c r="C131" s="243">
        <v>0</v>
      </c>
      <c r="D131" s="243">
        <v>0</v>
      </c>
      <c r="E131" s="243">
        <v>0</v>
      </c>
      <c r="F131" s="243">
        <v>0</v>
      </c>
      <c r="G131" s="243">
        <v>0</v>
      </c>
      <c r="H131" s="243">
        <v>0</v>
      </c>
      <c r="I131" s="243">
        <v>0</v>
      </c>
      <c r="J131" s="243">
        <v>0</v>
      </c>
      <c r="K131" s="243">
        <v>0</v>
      </c>
      <c r="L131" s="243">
        <v>0</v>
      </c>
      <c r="M131" s="243">
        <v>0</v>
      </c>
      <c r="N131" s="243">
        <v>0</v>
      </c>
      <c r="O131" s="243">
        <f t="shared" si="19"/>
        <v>0</v>
      </c>
      <c r="R131" s="243">
        <f t="shared" si="38"/>
        <v>0</v>
      </c>
      <c r="T131" s="243"/>
      <c r="U131" s="243">
        <f t="shared" si="20"/>
        <v>0</v>
      </c>
      <c r="X131" s="243">
        <f t="shared" si="39"/>
        <v>0</v>
      </c>
      <c r="Z131" s="243"/>
      <c r="AA131" s="243">
        <f t="shared" si="21"/>
        <v>0</v>
      </c>
      <c r="AD131" s="243">
        <f t="shared" si="40"/>
        <v>0</v>
      </c>
      <c r="AF131" s="243">
        <f t="shared" si="22"/>
        <v>0</v>
      </c>
    </row>
    <row r="132" spans="1:32">
      <c r="B132" t="s">
        <v>1271</v>
      </c>
      <c r="C132" s="243">
        <v>0</v>
      </c>
      <c r="D132" s="243">
        <v>0</v>
      </c>
      <c r="E132" s="243">
        <v>0</v>
      </c>
      <c r="F132" s="243">
        <v>0</v>
      </c>
      <c r="G132" s="243">
        <v>0</v>
      </c>
      <c r="H132" s="243">
        <v>0</v>
      </c>
      <c r="I132" s="243">
        <v>0</v>
      </c>
      <c r="J132" s="243">
        <v>0</v>
      </c>
      <c r="K132" s="243">
        <v>0</v>
      </c>
      <c r="L132" s="243">
        <v>0</v>
      </c>
      <c r="M132" s="243">
        <v>0</v>
      </c>
      <c r="N132" s="243">
        <v>0</v>
      </c>
      <c r="O132" s="243">
        <f t="shared" si="19"/>
        <v>0</v>
      </c>
      <c r="R132" s="243">
        <f t="shared" si="38"/>
        <v>0</v>
      </c>
      <c r="T132" s="243"/>
      <c r="U132" s="243">
        <f t="shared" si="20"/>
        <v>0</v>
      </c>
      <c r="X132" s="243">
        <f t="shared" si="39"/>
        <v>0</v>
      </c>
      <c r="Z132" s="243"/>
      <c r="AA132" s="243">
        <f t="shared" si="21"/>
        <v>0</v>
      </c>
      <c r="AD132" s="243">
        <f t="shared" si="40"/>
        <v>0</v>
      </c>
      <c r="AF132" s="243">
        <f t="shared" si="22"/>
        <v>0</v>
      </c>
    </row>
    <row r="133" spans="1:32">
      <c r="A133" t="s">
        <v>1310</v>
      </c>
      <c r="B133" t="s">
        <v>1268</v>
      </c>
      <c r="C133" s="243">
        <v>0</v>
      </c>
      <c r="D133" s="243">
        <v>0</v>
      </c>
      <c r="E133" s="243">
        <v>0</v>
      </c>
      <c r="F133" s="243">
        <v>0</v>
      </c>
      <c r="G133" s="243">
        <v>0</v>
      </c>
      <c r="H133" s="243">
        <v>6</v>
      </c>
      <c r="I133" s="243">
        <v>0</v>
      </c>
      <c r="J133" s="243">
        <v>0</v>
      </c>
      <c r="K133" s="243">
        <v>0</v>
      </c>
      <c r="L133" s="243">
        <v>0</v>
      </c>
      <c r="M133" s="243">
        <v>0</v>
      </c>
      <c r="N133" s="243">
        <v>0</v>
      </c>
      <c r="O133" s="243">
        <f t="shared" si="19"/>
        <v>6</v>
      </c>
      <c r="R133" s="243">
        <f t="shared" si="38"/>
        <v>6</v>
      </c>
      <c r="T133" s="243"/>
      <c r="U133" s="243">
        <f t="shared" si="20"/>
        <v>0</v>
      </c>
      <c r="X133" s="243">
        <f t="shared" si="39"/>
        <v>0</v>
      </c>
      <c r="Z133" s="243"/>
      <c r="AA133" s="243">
        <f t="shared" si="21"/>
        <v>6</v>
      </c>
      <c r="AD133" s="243">
        <f t="shared" si="40"/>
        <v>6</v>
      </c>
      <c r="AF133" s="243">
        <f t="shared" si="22"/>
        <v>0</v>
      </c>
    </row>
    <row r="134" spans="1:32">
      <c r="B134" t="s">
        <v>1270</v>
      </c>
      <c r="C134" s="243">
        <v>0</v>
      </c>
      <c r="D134" s="243">
        <v>0</v>
      </c>
      <c r="E134" s="243">
        <v>0</v>
      </c>
      <c r="F134" s="243">
        <v>0</v>
      </c>
      <c r="G134" s="243">
        <v>0</v>
      </c>
      <c r="H134" s="243">
        <v>1</v>
      </c>
      <c r="I134" s="243">
        <v>0</v>
      </c>
      <c r="J134" s="243">
        <v>0</v>
      </c>
      <c r="K134" s="243">
        <v>0</v>
      </c>
      <c r="L134" s="243">
        <v>0</v>
      </c>
      <c r="M134" s="243">
        <v>0</v>
      </c>
      <c r="N134" s="243">
        <v>0</v>
      </c>
      <c r="O134" s="243">
        <f t="shared" si="19"/>
        <v>1</v>
      </c>
      <c r="R134" s="243">
        <f t="shared" si="38"/>
        <v>1</v>
      </c>
      <c r="T134" s="243"/>
      <c r="U134" s="243">
        <f t="shared" si="20"/>
        <v>0</v>
      </c>
      <c r="X134" s="243">
        <f t="shared" si="39"/>
        <v>0</v>
      </c>
      <c r="Z134" s="243"/>
      <c r="AA134" s="243">
        <f t="shared" si="21"/>
        <v>1</v>
      </c>
      <c r="AD134" s="243">
        <f t="shared" si="40"/>
        <v>1</v>
      </c>
      <c r="AF134" s="243">
        <f t="shared" si="22"/>
        <v>0</v>
      </c>
    </row>
    <row r="135" spans="1:32">
      <c r="B135" t="s">
        <v>1271</v>
      </c>
      <c r="C135" s="243">
        <v>0</v>
      </c>
      <c r="D135" s="243">
        <v>0</v>
      </c>
      <c r="E135" s="243">
        <v>0</v>
      </c>
      <c r="F135" s="243">
        <v>0</v>
      </c>
      <c r="G135" s="243">
        <v>0</v>
      </c>
      <c r="H135" s="243">
        <v>3</v>
      </c>
      <c r="I135" s="243">
        <v>0</v>
      </c>
      <c r="J135" s="243">
        <v>0</v>
      </c>
      <c r="K135" s="243">
        <v>0</v>
      </c>
      <c r="L135" s="243">
        <v>0</v>
      </c>
      <c r="M135" s="243">
        <v>0</v>
      </c>
      <c r="N135" s="243">
        <v>0</v>
      </c>
      <c r="O135" s="243">
        <f t="shared" si="19"/>
        <v>3</v>
      </c>
      <c r="R135" s="243">
        <f t="shared" si="38"/>
        <v>3</v>
      </c>
      <c r="T135" s="243"/>
      <c r="U135" s="243">
        <f t="shared" si="20"/>
        <v>0</v>
      </c>
      <c r="X135" s="243">
        <f t="shared" si="39"/>
        <v>0</v>
      </c>
      <c r="Z135" s="243"/>
      <c r="AA135" s="243">
        <f t="shared" si="21"/>
        <v>3</v>
      </c>
      <c r="AD135" s="243">
        <f t="shared" si="40"/>
        <v>3</v>
      </c>
      <c r="AF135" s="243">
        <f t="shared" si="22"/>
        <v>0</v>
      </c>
    </row>
    <row r="136" spans="1:32">
      <c r="A136" t="s">
        <v>1311</v>
      </c>
      <c r="B136" t="s">
        <v>1268</v>
      </c>
      <c r="C136" s="243">
        <v>0</v>
      </c>
      <c r="D136" s="243">
        <v>0</v>
      </c>
      <c r="E136" s="243">
        <v>0</v>
      </c>
      <c r="F136" s="243">
        <v>0</v>
      </c>
      <c r="G136" s="243">
        <v>0</v>
      </c>
      <c r="H136" s="243">
        <v>24</v>
      </c>
      <c r="I136" s="243">
        <v>0</v>
      </c>
      <c r="J136" s="243">
        <v>0</v>
      </c>
      <c r="K136" s="243">
        <v>0</v>
      </c>
      <c r="L136" s="243">
        <v>0</v>
      </c>
      <c r="M136" s="243">
        <v>0</v>
      </c>
      <c r="N136" s="243">
        <v>0</v>
      </c>
      <c r="O136" s="243">
        <f t="shared" ref="O136:O198" si="41">SUM(C136:N136)</f>
        <v>24</v>
      </c>
      <c r="R136" s="243">
        <f t="shared" si="38"/>
        <v>24</v>
      </c>
      <c r="T136" s="243"/>
      <c r="U136" s="243">
        <f t="shared" si="20"/>
        <v>0</v>
      </c>
      <c r="X136" s="243">
        <f t="shared" si="39"/>
        <v>0</v>
      </c>
      <c r="Z136" s="243"/>
      <c r="AA136" s="243">
        <f t="shared" si="21"/>
        <v>24</v>
      </c>
      <c r="AD136" s="243">
        <f t="shared" si="40"/>
        <v>24</v>
      </c>
      <c r="AF136" s="243">
        <f t="shared" ref="AF136:AF198" si="42">IF(B136="CHE",X136/12,0)</f>
        <v>0</v>
      </c>
    </row>
    <row r="137" spans="1:32">
      <c r="B137" t="s">
        <v>1270</v>
      </c>
      <c r="C137" s="243">
        <v>0</v>
      </c>
      <c r="D137" s="243">
        <v>0</v>
      </c>
      <c r="E137" s="243">
        <v>0</v>
      </c>
      <c r="F137" s="243">
        <v>0</v>
      </c>
      <c r="G137" s="243">
        <v>0</v>
      </c>
      <c r="H137" s="243">
        <v>0</v>
      </c>
      <c r="I137" s="243">
        <v>0</v>
      </c>
      <c r="J137" s="243">
        <v>0</v>
      </c>
      <c r="K137" s="243">
        <v>0</v>
      </c>
      <c r="L137" s="243">
        <v>0</v>
      </c>
      <c r="M137" s="243">
        <v>0</v>
      </c>
      <c r="N137" s="243">
        <v>0</v>
      </c>
      <c r="O137" s="243">
        <f t="shared" si="41"/>
        <v>0</v>
      </c>
      <c r="R137" s="243">
        <f t="shared" si="38"/>
        <v>0</v>
      </c>
      <c r="T137" s="243"/>
      <c r="U137" s="243">
        <f t="shared" si="20"/>
        <v>0</v>
      </c>
      <c r="X137" s="243">
        <f t="shared" si="39"/>
        <v>0</v>
      </c>
      <c r="Z137" s="243"/>
      <c r="AA137" s="243">
        <f t="shared" si="21"/>
        <v>0</v>
      </c>
      <c r="AD137" s="243">
        <f t="shared" si="40"/>
        <v>0</v>
      </c>
      <c r="AF137" s="243">
        <f t="shared" si="42"/>
        <v>0</v>
      </c>
    </row>
    <row r="138" spans="1:32">
      <c r="B138" t="s">
        <v>1271</v>
      </c>
      <c r="C138" s="243">
        <v>0</v>
      </c>
      <c r="D138" s="243">
        <v>0</v>
      </c>
      <c r="E138" s="243">
        <v>0</v>
      </c>
      <c r="F138" s="243">
        <v>0</v>
      </c>
      <c r="G138" s="243">
        <v>0</v>
      </c>
      <c r="H138" s="243">
        <v>0</v>
      </c>
      <c r="I138" s="243">
        <v>0</v>
      </c>
      <c r="J138" s="243">
        <v>0</v>
      </c>
      <c r="K138" s="243">
        <v>0</v>
      </c>
      <c r="L138" s="243">
        <v>0</v>
      </c>
      <c r="M138" s="243">
        <v>0</v>
      </c>
      <c r="N138" s="243">
        <v>0</v>
      </c>
      <c r="O138" s="243">
        <f t="shared" si="41"/>
        <v>0</v>
      </c>
      <c r="R138" s="243">
        <f t="shared" si="38"/>
        <v>0</v>
      </c>
      <c r="T138" s="243"/>
      <c r="U138" s="243">
        <f t="shared" si="20"/>
        <v>0</v>
      </c>
      <c r="X138" s="243">
        <f t="shared" si="39"/>
        <v>0</v>
      </c>
      <c r="Z138" s="243"/>
      <c r="AA138" s="243">
        <f t="shared" si="21"/>
        <v>0</v>
      </c>
      <c r="AD138" s="243">
        <f t="shared" si="40"/>
        <v>0</v>
      </c>
      <c r="AF138" s="243">
        <f t="shared" si="42"/>
        <v>0</v>
      </c>
    </row>
    <row r="139" spans="1:32">
      <c r="A139" t="s">
        <v>1312</v>
      </c>
      <c r="B139" t="s">
        <v>1268</v>
      </c>
      <c r="C139" s="243">
        <v>0</v>
      </c>
      <c r="D139" s="243">
        <v>0</v>
      </c>
      <c r="E139" s="243">
        <v>0</v>
      </c>
      <c r="F139" s="243">
        <v>0</v>
      </c>
      <c r="G139" s="243">
        <v>0</v>
      </c>
      <c r="H139" s="243">
        <v>28</v>
      </c>
      <c r="I139" s="243">
        <v>0</v>
      </c>
      <c r="J139" s="243">
        <v>0</v>
      </c>
      <c r="K139" s="243">
        <v>0</v>
      </c>
      <c r="L139" s="243">
        <v>0</v>
      </c>
      <c r="M139" s="243">
        <v>0</v>
      </c>
      <c r="N139" s="243">
        <v>0</v>
      </c>
      <c r="O139" s="243">
        <f t="shared" si="41"/>
        <v>28</v>
      </c>
      <c r="R139" s="243">
        <f t="shared" si="38"/>
        <v>28</v>
      </c>
      <c r="T139" s="243"/>
      <c r="U139" s="243">
        <f t="shared" ref="U139:U202" si="43">+D139</f>
        <v>0</v>
      </c>
      <c r="X139" s="243">
        <f t="shared" si="39"/>
        <v>0</v>
      </c>
      <c r="Z139" s="243"/>
      <c r="AA139" s="243">
        <f t="shared" ref="AA139:AA202" si="44">+H139</f>
        <v>28</v>
      </c>
      <c r="AD139" s="243">
        <f t="shared" si="40"/>
        <v>28</v>
      </c>
      <c r="AF139" s="243">
        <f t="shared" si="42"/>
        <v>0</v>
      </c>
    </row>
    <row r="140" spans="1:32">
      <c r="B140" t="s">
        <v>1270</v>
      </c>
      <c r="C140" s="243">
        <v>0</v>
      </c>
      <c r="D140" s="243">
        <v>0</v>
      </c>
      <c r="E140" s="243">
        <v>0</v>
      </c>
      <c r="F140" s="243">
        <v>0</v>
      </c>
      <c r="G140" s="243">
        <v>0</v>
      </c>
      <c r="H140" s="243">
        <v>3</v>
      </c>
      <c r="I140" s="243">
        <v>0</v>
      </c>
      <c r="J140" s="243">
        <v>0</v>
      </c>
      <c r="K140" s="243">
        <v>0</v>
      </c>
      <c r="L140" s="243">
        <v>0</v>
      </c>
      <c r="M140" s="243">
        <v>0</v>
      </c>
      <c r="N140" s="243">
        <v>0</v>
      </c>
      <c r="O140" s="243">
        <f t="shared" si="41"/>
        <v>3</v>
      </c>
      <c r="R140" s="243">
        <f t="shared" si="38"/>
        <v>3</v>
      </c>
      <c r="T140" s="243"/>
      <c r="U140" s="243">
        <f t="shared" si="43"/>
        <v>0</v>
      </c>
      <c r="X140" s="243">
        <f t="shared" si="39"/>
        <v>0</v>
      </c>
      <c r="Z140" s="243"/>
      <c r="AA140" s="243">
        <f t="shared" si="44"/>
        <v>3</v>
      </c>
      <c r="AD140" s="243">
        <f t="shared" si="40"/>
        <v>3</v>
      </c>
      <c r="AF140" s="243">
        <f t="shared" si="42"/>
        <v>0</v>
      </c>
    </row>
    <row r="141" spans="1:32">
      <c r="B141" t="s">
        <v>1271</v>
      </c>
      <c r="C141" s="243">
        <v>0</v>
      </c>
      <c r="D141" s="243">
        <v>0</v>
      </c>
      <c r="E141" s="243">
        <v>0</v>
      </c>
      <c r="F141" s="243">
        <v>0</v>
      </c>
      <c r="G141" s="243">
        <v>0</v>
      </c>
      <c r="H141" s="243">
        <v>5</v>
      </c>
      <c r="I141" s="243">
        <v>0</v>
      </c>
      <c r="J141" s="243">
        <v>0</v>
      </c>
      <c r="K141" s="243">
        <v>0</v>
      </c>
      <c r="L141" s="243">
        <v>0</v>
      </c>
      <c r="M141" s="243">
        <v>0</v>
      </c>
      <c r="N141" s="243">
        <v>0</v>
      </c>
      <c r="O141" s="243">
        <f t="shared" si="41"/>
        <v>5</v>
      </c>
      <c r="R141" s="243">
        <f t="shared" si="38"/>
        <v>5</v>
      </c>
      <c r="T141" s="243"/>
      <c r="U141" s="243">
        <f t="shared" si="43"/>
        <v>0</v>
      </c>
      <c r="X141" s="243">
        <f t="shared" si="39"/>
        <v>0</v>
      </c>
      <c r="Z141" s="243"/>
      <c r="AA141" s="243">
        <f t="shared" si="44"/>
        <v>5</v>
      </c>
      <c r="AD141" s="243">
        <f t="shared" si="40"/>
        <v>5</v>
      </c>
      <c r="AF141" s="243">
        <f t="shared" si="42"/>
        <v>0</v>
      </c>
    </row>
    <row r="142" spans="1:32">
      <c r="A142" t="s">
        <v>1313</v>
      </c>
      <c r="B142" t="s">
        <v>1268</v>
      </c>
      <c r="C142" s="243">
        <v>0</v>
      </c>
      <c r="D142" s="243">
        <v>0</v>
      </c>
      <c r="E142" s="243">
        <v>0</v>
      </c>
      <c r="F142" s="243">
        <v>0</v>
      </c>
      <c r="G142" s="243">
        <v>0</v>
      </c>
      <c r="H142" s="243">
        <v>31</v>
      </c>
      <c r="I142" s="243">
        <v>0</v>
      </c>
      <c r="J142" s="243">
        <v>0</v>
      </c>
      <c r="K142" s="243">
        <v>0</v>
      </c>
      <c r="L142" s="243">
        <v>0</v>
      </c>
      <c r="M142" s="243">
        <v>0</v>
      </c>
      <c r="N142" s="243">
        <v>0</v>
      </c>
      <c r="O142" s="243">
        <f t="shared" si="41"/>
        <v>31</v>
      </c>
      <c r="R142" s="243">
        <f t="shared" si="38"/>
        <v>31</v>
      </c>
      <c r="T142" s="243"/>
      <c r="U142" s="243">
        <f t="shared" si="43"/>
        <v>0</v>
      </c>
      <c r="X142" s="243">
        <f t="shared" si="39"/>
        <v>0</v>
      </c>
      <c r="Z142" s="243"/>
      <c r="AA142" s="243">
        <f t="shared" si="44"/>
        <v>31</v>
      </c>
      <c r="AD142" s="243">
        <f t="shared" si="40"/>
        <v>31</v>
      </c>
      <c r="AF142" s="243">
        <f t="shared" si="42"/>
        <v>0</v>
      </c>
    </row>
    <row r="143" spans="1:32">
      <c r="B143" t="s">
        <v>1270</v>
      </c>
      <c r="C143" s="243">
        <v>0</v>
      </c>
      <c r="D143" s="243">
        <v>0</v>
      </c>
      <c r="E143" s="243">
        <v>0</v>
      </c>
      <c r="F143" s="243">
        <v>0</v>
      </c>
      <c r="G143" s="243">
        <v>0</v>
      </c>
      <c r="H143" s="243">
        <v>7</v>
      </c>
      <c r="I143" s="243">
        <v>0</v>
      </c>
      <c r="J143" s="243">
        <v>0</v>
      </c>
      <c r="K143" s="243">
        <v>0</v>
      </c>
      <c r="L143" s="243">
        <v>0</v>
      </c>
      <c r="M143" s="243">
        <v>0</v>
      </c>
      <c r="N143" s="243">
        <v>0</v>
      </c>
      <c r="O143" s="243">
        <f t="shared" si="41"/>
        <v>7</v>
      </c>
      <c r="R143" s="243">
        <f t="shared" si="38"/>
        <v>7</v>
      </c>
      <c r="T143" s="243"/>
      <c r="U143" s="243">
        <f t="shared" si="43"/>
        <v>0</v>
      </c>
      <c r="X143" s="243">
        <f t="shared" si="39"/>
        <v>0</v>
      </c>
      <c r="Z143" s="243"/>
      <c r="AA143" s="243">
        <f t="shared" si="44"/>
        <v>7</v>
      </c>
      <c r="AD143" s="243">
        <f t="shared" si="40"/>
        <v>7</v>
      </c>
      <c r="AF143" s="243">
        <f t="shared" si="42"/>
        <v>0</v>
      </c>
    </row>
    <row r="144" spans="1:32">
      <c r="B144" t="s">
        <v>1271</v>
      </c>
      <c r="C144" s="243">
        <v>0</v>
      </c>
      <c r="D144" s="243">
        <v>0</v>
      </c>
      <c r="E144" s="243">
        <v>0</v>
      </c>
      <c r="F144" s="243">
        <v>0</v>
      </c>
      <c r="G144" s="243">
        <v>0</v>
      </c>
      <c r="H144" s="243">
        <v>10</v>
      </c>
      <c r="I144" s="243">
        <v>0</v>
      </c>
      <c r="J144" s="243">
        <v>0</v>
      </c>
      <c r="K144" s="243">
        <v>0</v>
      </c>
      <c r="L144" s="243">
        <v>0</v>
      </c>
      <c r="M144" s="243">
        <v>0</v>
      </c>
      <c r="N144" s="243">
        <v>0</v>
      </c>
      <c r="O144" s="243">
        <f t="shared" si="41"/>
        <v>10</v>
      </c>
      <c r="R144" s="243">
        <f t="shared" si="38"/>
        <v>10</v>
      </c>
      <c r="T144" s="243"/>
      <c r="U144" s="243">
        <f t="shared" si="43"/>
        <v>0</v>
      </c>
      <c r="X144" s="243">
        <f t="shared" si="39"/>
        <v>0</v>
      </c>
      <c r="Z144" s="243"/>
      <c r="AA144" s="243">
        <f t="shared" si="44"/>
        <v>10</v>
      </c>
      <c r="AD144" s="243">
        <f t="shared" si="40"/>
        <v>10</v>
      </c>
      <c r="AF144" s="243">
        <f t="shared" si="42"/>
        <v>0</v>
      </c>
    </row>
    <row r="145" spans="1:32">
      <c r="A145" t="s">
        <v>1314</v>
      </c>
      <c r="B145" t="s">
        <v>1268</v>
      </c>
      <c r="C145" s="243">
        <v>0</v>
      </c>
      <c r="D145" s="243">
        <v>0</v>
      </c>
      <c r="E145" s="243">
        <v>0</v>
      </c>
      <c r="F145" s="243">
        <v>0</v>
      </c>
      <c r="G145" s="243">
        <v>0</v>
      </c>
      <c r="H145" s="243">
        <v>107.25</v>
      </c>
      <c r="I145" s="243">
        <v>0</v>
      </c>
      <c r="J145" s="243">
        <v>0</v>
      </c>
      <c r="K145" s="243">
        <v>0</v>
      </c>
      <c r="L145" s="243">
        <v>0</v>
      </c>
      <c r="M145" s="243">
        <v>0</v>
      </c>
      <c r="N145" s="243">
        <v>0</v>
      </c>
      <c r="O145" s="243">
        <f t="shared" si="41"/>
        <v>107.25</v>
      </c>
      <c r="R145" s="243">
        <f t="shared" ref="R145:R178" si="45">+O145+Q145</f>
        <v>107.25</v>
      </c>
      <c r="T145" s="243"/>
      <c r="U145" s="243">
        <f t="shared" si="43"/>
        <v>0</v>
      </c>
      <c r="X145" s="243">
        <f t="shared" ref="X145:X178" si="46">+U145+W145</f>
        <v>0</v>
      </c>
      <c r="Z145" s="243"/>
      <c r="AA145" s="243">
        <f t="shared" si="44"/>
        <v>107.25</v>
      </c>
      <c r="AD145" s="243">
        <f t="shared" ref="AD145:AD178" si="47">+AA145+AC145</f>
        <v>107.25</v>
      </c>
      <c r="AF145" s="243">
        <f t="shared" si="42"/>
        <v>0</v>
      </c>
    </row>
    <row r="146" spans="1:32">
      <c r="B146" t="s">
        <v>1270</v>
      </c>
      <c r="C146" s="243">
        <v>0</v>
      </c>
      <c r="D146" s="243">
        <v>0</v>
      </c>
      <c r="E146" s="243">
        <v>0</v>
      </c>
      <c r="F146" s="243">
        <v>0</v>
      </c>
      <c r="G146" s="243">
        <v>0</v>
      </c>
      <c r="H146" s="243">
        <v>6.5</v>
      </c>
      <c r="I146" s="243">
        <v>0</v>
      </c>
      <c r="J146" s="243">
        <v>0</v>
      </c>
      <c r="K146" s="243">
        <v>0</v>
      </c>
      <c r="L146" s="243">
        <v>0</v>
      </c>
      <c r="M146" s="243">
        <v>0</v>
      </c>
      <c r="N146" s="243">
        <v>0</v>
      </c>
      <c r="O146" s="243">
        <f t="shared" si="41"/>
        <v>6.5</v>
      </c>
      <c r="R146" s="243">
        <f t="shared" si="45"/>
        <v>6.5</v>
      </c>
      <c r="T146" s="243"/>
      <c r="U146" s="243">
        <f t="shared" si="43"/>
        <v>0</v>
      </c>
      <c r="X146" s="243">
        <f t="shared" si="46"/>
        <v>0</v>
      </c>
      <c r="Z146" s="243"/>
      <c r="AA146" s="243">
        <f t="shared" si="44"/>
        <v>6.5</v>
      </c>
      <c r="AD146" s="243">
        <f t="shared" si="47"/>
        <v>6.5</v>
      </c>
      <c r="AF146" s="243">
        <f t="shared" si="42"/>
        <v>0</v>
      </c>
    </row>
    <row r="147" spans="1:32">
      <c r="B147" t="s">
        <v>1271</v>
      </c>
      <c r="C147" s="243">
        <v>0</v>
      </c>
      <c r="D147" s="243">
        <v>0</v>
      </c>
      <c r="E147" s="243">
        <v>0</v>
      </c>
      <c r="F147" s="243">
        <v>0</v>
      </c>
      <c r="G147" s="243">
        <v>0</v>
      </c>
      <c r="H147" s="243">
        <v>0</v>
      </c>
      <c r="I147" s="243">
        <v>0</v>
      </c>
      <c r="J147" s="243">
        <v>0</v>
      </c>
      <c r="K147" s="243">
        <v>0</v>
      </c>
      <c r="L147" s="243">
        <v>0</v>
      </c>
      <c r="M147" s="243">
        <v>0</v>
      </c>
      <c r="N147" s="243">
        <v>0</v>
      </c>
      <c r="O147" s="243">
        <f t="shared" si="41"/>
        <v>0</v>
      </c>
      <c r="R147" s="243">
        <f t="shared" si="45"/>
        <v>0</v>
      </c>
      <c r="T147" s="243"/>
      <c r="U147" s="243">
        <f t="shared" si="43"/>
        <v>0</v>
      </c>
      <c r="X147" s="243">
        <f t="shared" si="46"/>
        <v>0</v>
      </c>
      <c r="Z147" s="243"/>
      <c r="AA147" s="243">
        <f t="shared" si="44"/>
        <v>0</v>
      </c>
      <c r="AD147" s="243">
        <f t="shared" si="47"/>
        <v>0</v>
      </c>
      <c r="AF147" s="243">
        <f t="shared" si="42"/>
        <v>0</v>
      </c>
    </row>
    <row r="148" spans="1:32">
      <c r="A148" s="459" t="s">
        <v>1377</v>
      </c>
      <c r="B148" t="s">
        <v>1268</v>
      </c>
      <c r="C148" s="243">
        <v>0</v>
      </c>
      <c r="D148" s="243">
        <v>0</v>
      </c>
      <c r="E148" s="243">
        <v>0</v>
      </c>
      <c r="F148" s="243">
        <v>0</v>
      </c>
      <c r="G148" s="243">
        <v>0</v>
      </c>
      <c r="H148" s="243">
        <v>12</v>
      </c>
      <c r="I148" s="243">
        <v>0</v>
      </c>
      <c r="J148" s="243">
        <v>0</v>
      </c>
      <c r="K148" s="243">
        <v>0</v>
      </c>
      <c r="L148" s="243">
        <v>0</v>
      </c>
      <c r="M148" s="243">
        <v>0</v>
      </c>
      <c r="N148" s="243">
        <v>0</v>
      </c>
      <c r="O148" s="243">
        <f>SUM(C148:N148)</f>
        <v>12</v>
      </c>
      <c r="R148" s="243">
        <f>+O148+Q148</f>
        <v>12</v>
      </c>
      <c r="T148" s="243"/>
      <c r="U148" s="243">
        <f t="shared" si="43"/>
        <v>0</v>
      </c>
      <c r="X148" s="243">
        <f>+U148+W148</f>
        <v>0</v>
      </c>
      <c r="Z148" s="243"/>
      <c r="AA148" s="243">
        <f t="shared" si="44"/>
        <v>12</v>
      </c>
      <c r="AD148" s="243">
        <f>+AA148+AC148</f>
        <v>12</v>
      </c>
      <c r="AF148" s="243">
        <f>IF(B148="CHE",X148/12,0)</f>
        <v>0</v>
      </c>
    </row>
    <row r="149" spans="1:32">
      <c r="B149" t="s">
        <v>1270</v>
      </c>
      <c r="C149" s="243">
        <v>0</v>
      </c>
      <c r="D149" s="243">
        <v>0</v>
      </c>
      <c r="E149" s="243">
        <v>0</v>
      </c>
      <c r="F149" s="243">
        <v>0</v>
      </c>
      <c r="G149" s="243">
        <v>0</v>
      </c>
      <c r="H149" s="243">
        <v>0</v>
      </c>
      <c r="I149" s="243">
        <v>0</v>
      </c>
      <c r="J149" s="243">
        <v>0</v>
      </c>
      <c r="K149" s="243">
        <v>0</v>
      </c>
      <c r="L149" s="243">
        <v>0</v>
      </c>
      <c r="M149" s="243">
        <v>0</v>
      </c>
      <c r="N149" s="243">
        <v>0</v>
      </c>
      <c r="O149" s="243">
        <f>SUM(C149:N149)</f>
        <v>0</v>
      </c>
      <c r="R149" s="243">
        <f>+O149+Q149</f>
        <v>0</v>
      </c>
      <c r="T149" s="243"/>
      <c r="U149" s="243">
        <f t="shared" si="43"/>
        <v>0</v>
      </c>
      <c r="X149" s="243">
        <f>+U149+W149</f>
        <v>0</v>
      </c>
      <c r="Z149" s="243"/>
      <c r="AA149" s="243">
        <f t="shared" si="44"/>
        <v>0</v>
      </c>
      <c r="AD149" s="243">
        <f>+AA149+AC149</f>
        <v>0</v>
      </c>
      <c r="AF149" s="243">
        <f>IF(B149="CHE",X149/12,0)</f>
        <v>0</v>
      </c>
    </row>
    <row r="150" spans="1:32">
      <c r="B150" t="s">
        <v>1271</v>
      </c>
      <c r="C150" s="243">
        <v>0</v>
      </c>
      <c r="D150" s="243">
        <v>0</v>
      </c>
      <c r="E150" s="243">
        <v>0</v>
      </c>
      <c r="F150" s="243">
        <v>0</v>
      </c>
      <c r="G150" s="243">
        <v>0</v>
      </c>
      <c r="H150" s="243">
        <v>0</v>
      </c>
      <c r="I150" s="243">
        <v>0</v>
      </c>
      <c r="J150" s="243">
        <v>0</v>
      </c>
      <c r="K150" s="243">
        <v>0</v>
      </c>
      <c r="L150" s="243">
        <v>0</v>
      </c>
      <c r="M150" s="243">
        <v>0</v>
      </c>
      <c r="N150" s="243">
        <v>0</v>
      </c>
      <c r="O150" s="243">
        <f>SUM(C150:N150)</f>
        <v>0</v>
      </c>
      <c r="R150" s="243">
        <f>+O150+Q150</f>
        <v>0</v>
      </c>
      <c r="T150" s="243"/>
      <c r="U150" s="243">
        <f t="shared" si="43"/>
        <v>0</v>
      </c>
      <c r="X150" s="243">
        <f>+U150+W150</f>
        <v>0</v>
      </c>
      <c r="Z150" s="243"/>
      <c r="AA150" s="243">
        <f t="shared" si="44"/>
        <v>0</v>
      </c>
      <c r="AD150" s="243">
        <f>+AA150+AC150</f>
        <v>0</v>
      </c>
      <c r="AF150" s="243">
        <f>IF(B150="CHE",X150/12,0)</f>
        <v>0</v>
      </c>
    </row>
    <row r="151" spans="1:32">
      <c r="A151" t="s">
        <v>1315</v>
      </c>
      <c r="B151" t="s">
        <v>1268</v>
      </c>
      <c r="C151" s="243">
        <v>0</v>
      </c>
      <c r="D151" s="243">
        <v>0</v>
      </c>
      <c r="E151" s="243">
        <v>0</v>
      </c>
      <c r="F151" s="243">
        <v>0</v>
      </c>
      <c r="G151" s="243">
        <v>0</v>
      </c>
      <c r="H151" s="243">
        <v>0</v>
      </c>
      <c r="I151" s="243">
        <v>0</v>
      </c>
      <c r="J151" s="243">
        <v>0</v>
      </c>
      <c r="K151" s="243">
        <v>0</v>
      </c>
      <c r="L151" s="243">
        <v>0</v>
      </c>
      <c r="M151" s="243">
        <v>0</v>
      </c>
      <c r="N151" s="243">
        <v>0</v>
      </c>
      <c r="O151" s="243">
        <f t="shared" si="41"/>
        <v>0</v>
      </c>
      <c r="R151" s="243">
        <f t="shared" si="45"/>
        <v>0</v>
      </c>
      <c r="T151" s="243"/>
      <c r="U151" s="243">
        <f t="shared" si="43"/>
        <v>0</v>
      </c>
      <c r="X151" s="243">
        <f t="shared" si="46"/>
        <v>0</v>
      </c>
      <c r="Z151" s="243"/>
      <c r="AA151" s="243">
        <f t="shared" si="44"/>
        <v>0</v>
      </c>
      <c r="AD151" s="243">
        <f t="shared" si="47"/>
        <v>0</v>
      </c>
      <c r="AF151" s="243">
        <f t="shared" si="42"/>
        <v>0</v>
      </c>
    </row>
    <row r="152" spans="1:32">
      <c r="B152" t="s">
        <v>1270</v>
      </c>
      <c r="C152" s="243">
        <v>0</v>
      </c>
      <c r="D152" s="243">
        <v>0</v>
      </c>
      <c r="E152" s="243">
        <v>0</v>
      </c>
      <c r="F152" s="243">
        <v>0</v>
      </c>
      <c r="G152" s="243">
        <v>0</v>
      </c>
      <c r="H152" s="243">
        <v>0</v>
      </c>
      <c r="I152" s="243">
        <v>0</v>
      </c>
      <c r="J152" s="243">
        <v>0</v>
      </c>
      <c r="K152" s="243">
        <v>0</v>
      </c>
      <c r="L152" s="243">
        <v>0</v>
      </c>
      <c r="M152" s="243">
        <v>0</v>
      </c>
      <c r="N152" s="243">
        <v>0</v>
      </c>
      <c r="O152" s="243">
        <f t="shared" si="41"/>
        <v>0</v>
      </c>
      <c r="R152" s="243">
        <f t="shared" si="45"/>
        <v>0</v>
      </c>
      <c r="T152" s="243"/>
      <c r="U152" s="243">
        <f t="shared" si="43"/>
        <v>0</v>
      </c>
      <c r="X152" s="243">
        <f t="shared" si="46"/>
        <v>0</v>
      </c>
      <c r="Z152" s="243"/>
      <c r="AA152" s="243">
        <f t="shared" si="44"/>
        <v>0</v>
      </c>
      <c r="AD152" s="243">
        <f t="shared" si="47"/>
        <v>0</v>
      </c>
      <c r="AF152" s="243">
        <f t="shared" si="42"/>
        <v>0</v>
      </c>
    </row>
    <row r="153" spans="1:32">
      <c r="B153" t="s">
        <v>1271</v>
      </c>
      <c r="C153" s="243">
        <v>0</v>
      </c>
      <c r="D153" s="243">
        <v>0</v>
      </c>
      <c r="E153" s="243">
        <v>0</v>
      </c>
      <c r="F153" s="243">
        <v>0</v>
      </c>
      <c r="G153" s="243">
        <v>0</v>
      </c>
      <c r="H153" s="243">
        <v>0</v>
      </c>
      <c r="I153" s="243">
        <v>0</v>
      </c>
      <c r="J153" s="243">
        <v>0</v>
      </c>
      <c r="K153" s="243">
        <v>0</v>
      </c>
      <c r="L153" s="243">
        <v>0</v>
      </c>
      <c r="M153" s="243">
        <v>0</v>
      </c>
      <c r="N153" s="243">
        <v>0</v>
      </c>
      <c r="O153" s="243">
        <f t="shared" si="41"/>
        <v>0</v>
      </c>
      <c r="R153" s="243">
        <f t="shared" si="45"/>
        <v>0</v>
      </c>
      <c r="T153" s="243"/>
      <c r="U153" s="243">
        <f t="shared" si="43"/>
        <v>0</v>
      </c>
      <c r="X153" s="243">
        <f t="shared" si="46"/>
        <v>0</v>
      </c>
      <c r="Z153" s="243"/>
      <c r="AA153" s="243">
        <f t="shared" si="44"/>
        <v>0</v>
      </c>
      <c r="AD153" s="243">
        <f t="shared" si="47"/>
        <v>0</v>
      </c>
      <c r="AF153" s="243">
        <f t="shared" si="42"/>
        <v>0</v>
      </c>
    </row>
    <row r="154" spans="1:32">
      <c r="A154" t="s">
        <v>1316</v>
      </c>
      <c r="B154" t="s">
        <v>1268</v>
      </c>
      <c r="C154" s="243">
        <v>0</v>
      </c>
      <c r="D154" s="243">
        <v>0</v>
      </c>
      <c r="E154" s="243">
        <v>0</v>
      </c>
      <c r="F154" s="243">
        <v>0</v>
      </c>
      <c r="G154" s="243">
        <v>0</v>
      </c>
      <c r="H154" s="243">
        <v>7675.68</v>
      </c>
      <c r="I154" s="243">
        <v>0</v>
      </c>
      <c r="J154" s="243">
        <v>0</v>
      </c>
      <c r="K154" s="243">
        <v>0</v>
      </c>
      <c r="L154" s="243">
        <v>0</v>
      </c>
      <c r="M154" s="243">
        <v>0</v>
      </c>
      <c r="N154" s="243">
        <v>0</v>
      </c>
      <c r="O154" s="243">
        <f t="shared" si="41"/>
        <v>7675.68</v>
      </c>
      <c r="R154" s="243">
        <f t="shared" si="45"/>
        <v>7675.68</v>
      </c>
      <c r="T154" s="243"/>
      <c r="U154" s="243">
        <f t="shared" si="43"/>
        <v>0</v>
      </c>
      <c r="X154" s="243">
        <f t="shared" si="46"/>
        <v>0</v>
      </c>
      <c r="Z154" s="243"/>
      <c r="AA154" s="243">
        <f t="shared" si="44"/>
        <v>7675.68</v>
      </c>
      <c r="AD154" s="243">
        <f t="shared" si="47"/>
        <v>7675.68</v>
      </c>
      <c r="AF154" s="243">
        <f t="shared" si="42"/>
        <v>0</v>
      </c>
    </row>
    <row r="155" spans="1:32">
      <c r="B155" t="s">
        <v>1270</v>
      </c>
      <c r="C155" s="243">
        <v>0</v>
      </c>
      <c r="D155" s="243">
        <v>0</v>
      </c>
      <c r="E155" s="243">
        <v>0</v>
      </c>
      <c r="F155" s="243">
        <v>0</v>
      </c>
      <c r="G155" s="243">
        <v>0</v>
      </c>
      <c r="H155" s="243">
        <v>0</v>
      </c>
      <c r="I155" s="243">
        <v>0</v>
      </c>
      <c r="J155" s="243">
        <v>0</v>
      </c>
      <c r="K155" s="243">
        <v>0</v>
      </c>
      <c r="L155" s="243">
        <v>0</v>
      </c>
      <c r="M155" s="243">
        <v>0</v>
      </c>
      <c r="N155" s="243">
        <v>0</v>
      </c>
      <c r="O155" s="243">
        <f t="shared" si="41"/>
        <v>0</v>
      </c>
      <c r="R155" s="243">
        <f t="shared" si="45"/>
        <v>0</v>
      </c>
      <c r="T155" s="243"/>
      <c r="U155" s="243">
        <f t="shared" si="43"/>
        <v>0</v>
      </c>
      <c r="X155" s="243">
        <f t="shared" si="46"/>
        <v>0</v>
      </c>
      <c r="Z155" s="243"/>
      <c r="AA155" s="243">
        <f t="shared" si="44"/>
        <v>0</v>
      </c>
      <c r="AD155" s="243">
        <f t="shared" si="47"/>
        <v>0</v>
      </c>
      <c r="AF155" s="243">
        <f t="shared" si="42"/>
        <v>0</v>
      </c>
    </row>
    <row r="156" spans="1:32">
      <c r="B156" t="s">
        <v>1271</v>
      </c>
      <c r="C156" s="243">
        <v>0</v>
      </c>
      <c r="D156" s="243">
        <v>0</v>
      </c>
      <c r="E156" s="243">
        <v>0</v>
      </c>
      <c r="F156" s="243">
        <v>0</v>
      </c>
      <c r="G156" s="243">
        <v>0</v>
      </c>
      <c r="H156" s="243">
        <v>0</v>
      </c>
      <c r="I156" s="243">
        <v>0</v>
      </c>
      <c r="J156" s="243">
        <v>0</v>
      </c>
      <c r="K156" s="243">
        <v>0</v>
      </c>
      <c r="L156" s="243">
        <v>0</v>
      </c>
      <c r="M156" s="243">
        <v>0</v>
      </c>
      <c r="N156" s="243">
        <v>0</v>
      </c>
      <c r="O156" s="243">
        <f t="shared" si="41"/>
        <v>0</v>
      </c>
      <c r="R156" s="243">
        <f t="shared" si="45"/>
        <v>0</v>
      </c>
      <c r="T156" s="243"/>
      <c r="U156" s="243">
        <f t="shared" si="43"/>
        <v>0</v>
      </c>
      <c r="X156" s="243">
        <f t="shared" si="46"/>
        <v>0</v>
      </c>
      <c r="Z156" s="243"/>
      <c r="AA156" s="243">
        <f t="shared" si="44"/>
        <v>0</v>
      </c>
      <c r="AD156" s="243">
        <f t="shared" si="47"/>
        <v>0</v>
      </c>
      <c r="AF156" s="243">
        <f t="shared" si="42"/>
        <v>0</v>
      </c>
    </row>
    <row r="157" spans="1:32">
      <c r="A157" t="s">
        <v>1317</v>
      </c>
      <c r="B157" t="s">
        <v>1268</v>
      </c>
      <c r="C157" s="243">
        <v>0</v>
      </c>
      <c r="D157" s="243">
        <v>0</v>
      </c>
      <c r="E157" s="243">
        <v>0</v>
      </c>
      <c r="F157" s="243">
        <v>0</v>
      </c>
      <c r="G157" s="243">
        <v>0</v>
      </c>
      <c r="H157" s="243">
        <v>0</v>
      </c>
      <c r="I157" s="243">
        <v>0</v>
      </c>
      <c r="J157" s="243">
        <v>0</v>
      </c>
      <c r="K157" s="243">
        <v>0</v>
      </c>
      <c r="L157" s="243">
        <v>0</v>
      </c>
      <c r="M157" s="243">
        <v>0</v>
      </c>
      <c r="N157" s="243">
        <v>0</v>
      </c>
      <c r="O157" s="243">
        <f t="shared" si="41"/>
        <v>0</v>
      </c>
      <c r="R157" s="243">
        <f t="shared" si="45"/>
        <v>0</v>
      </c>
      <c r="T157" s="243"/>
      <c r="U157" s="243">
        <f t="shared" si="43"/>
        <v>0</v>
      </c>
      <c r="X157" s="243">
        <f t="shared" si="46"/>
        <v>0</v>
      </c>
      <c r="Z157" s="243"/>
      <c r="AA157" s="243">
        <f t="shared" si="44"/>
        <v>0</v>
      </c>
      <c r="AD157" s="243">
        <f t="shared" si="47"/>
        <v>0</v>
      </c>
      <c r="AF157" s="243">
        <f t="shared" si="42"/>
        <v>0</v>
      </c>
    </row>
    <row r="158" spans="1:32">
      <c r="B158" t="s">
        <v>1270</v>
      </c>
      <c r="C158" s="243">
        <v>0</v>
      </c>
      <c r="D158" s="243">
        <v>0</v>
      </c>
      <c r="E158" s="243">
        <v>0</v>
      </c>
      <c r="F158" s="243">
        <v>0</v>
      </c>
      <c r="G158" s="243">
        <v>0</v>
      </c>
      <c r="H158" s="243">
        <v>0</v>
      </c>
      <c r="I158" s="243">
        <v>0</v>
      </c>
      <c r="J158" s="243">
        <v>0</v>
      </c>
      <c r="K158" s="243">
        <v>0</v>
      </c>
      <c r="L158" s="243">
        <v>0</v>
      </c>
      <c r="M158" s="243">
        <v>0</v>
      </c>
      <c r="N158" s="243">
        <v>0</v>
      </c>
      <c r="O158" s="243">
        <f t="shared" si="41"/>
        <v>0</v>
      </c>
      <c r="R158" s="243">
        <f t="shared" si="45"/>
        <v>0</v>
      </c>
      <c r="T158" s="243"/>
      <c r="U158" s="243">
        <f t="shared" si="43"/>
        <v>0</v>
      </c>
      <c r="X158" s="243">
        <f t="shared" si="46"/>
        <v>0</v>
      </c>
      <c r="Z158" s="243"/>
      <c r="AA158" s="243">
        <f t="shared" si="44"/>
        <v>0</v>
      </c>
      <c r="AD158" s="243">
        <f t="shared" si="47"/>
        <v>0</v>
      </c>
      <c r="AF158" s="243">
        <f t="shared" si="42"/>
        <v>0</v>
      </c>
    </row>
    <row r="159" spans="1:32">
      <c r="B159" t="s">
        <v>1271</v>
      </c>
      <c r="C159" s="243">
        <v>0</v>
      </c>
      <c r="D159" s="243">
        <v>0</v>
      </c>
      <c r="E159" s="243">
        <v>0</v>
      </c>
      <c r="F159" s="243">
        <v>0</v>
      </c>
      <c r="G159" s="243">
        <v>0</v>
      </c>
      <c r="H159" s="243">
        <v>0</v>
      </c>
      <c r="I159" s="243">
        <v>0</v>
      </c>
      <c r="J159" s="243">
        <v>0</v>
      </c>
      <c r="K159" s="243">
        <v>0</v>
      </c>
      <c r="L159" s="243">
        <v>0</v>
      </c>
      <c r="M159" s="243">
        <v>0</v>
      </c>
      <c r="N159" s="243">
        <v>0</v>
      </c>
      <c r="O159" s="243">
        <f t="shared" si="41"/>
        <v>0</v>
      </c>
      <c r="R159" s="243">
        <f t="shared" si="45"/>
        <v>0</v>
      </c>
      <c r="T159" s="243"/>
      <c r="U159" s="243">
        <f t="shared" si="43"/>
        <v>0</v>
      </c>
      <c r="X159" s="243">
        <f t="shared" si="46"/>
        <v>0</v>
      </c>
      <c r="Z159" s="243"/>
      <c r="AA159" s="243">
        <f t="shared" si="44"/>
        <v>0</v>
      </c>
      <c r="AD159" s="243">
        <f t="shared" si="47"/>
        <v>0</v>
      </c>
      <c r="AF159" s="243">
        <f t="shared" si="42"/>
        <v>0</v>
      </c>
    </row>
    <row r="160" spans="1:32">
      <c r="A160" t="s">
        <v>1318</v>
      </c>
      <c r="B160" t="s">
        <v>1268</v>
      </c>
      <c r="C160" s="243">
        <v>0</v>
      </c>
      <c r="D160" s="243">
        <v>0</v>
      </c>
      <c r="E160" s="243">
        <v>0</v>
      </c>
      <c r="F160" s="243">
        <v>0</v>
      </c>
      <c r="G160" s="243">
        <v>0</v>
      </c>
      <c r="H160" s="243">
        <v>82.75</v>
      </c>
      <c r="I160" s="243">
        <v>0</v>
      </c>
      <c r="J160" s="243">
        <v>0</v>
      </c>
      <c r="K160" s="243">
        <v>0</v>
      </c>
      <c r="L160" s="243">
        <v>0</v>
      </c>
      <c r="M160" s="243">
        <v>0</v>
      </c>
      <c r="N160" s="243">
        <v>0</v>
      </c>
      <c r="O160" s="243">
        <f t="shared" si="41"/>
        <v>82.75</v>
      </c>
      <c r="R160" s="243">
        <f t="shared" si="45"/>
        <v>82.75</v>
      </c>
      <c r="T160" s="243"/>
      <c r="U160" s="243">
        <f t="shared" si="43"/>
        <v>0</v>
      </c>
      <c r="X160" s="243">
        <f t="shared" si="46"/>
        <v>0</v>
      </c>
      <c r="Z160" s="243"/>
      <c r="AA160" s="243">
        <f t="shared" si="44"/>
        <v>82.75</v>
      </c>
      <c r="AD160" s="243">
        <f t="shared" si="47"/>
        <v>82.75</v>
      </c>
      <c r="AF160" s="243">
        <f t="shared" si="42"/>
        <v>0</v>
      </c>
    </row>
    <row r="161" spans="1:32">
      <c r="B161" t="s">
        <v>1270</v>
      </c>
      <c r="C161" s="243">
        <v>0</v>
      </c>
      <c r="D161" s="243">
        <v>0</v>
      </c>
      <c r="E161" s="243">
        <v>0</v>
      </c>
      <c r="F161" s="243">
        <v>0</v>
      </c>
      <c r="G161" s="243">
        <v>0</v>
      </c>
      <c r="H161" s="243">
        <v>0</v>
      </c>
      <c r="I161" s="243">
        <v>0</v>
      </c>
      <c r="J161" s="243">
        <v>0</v>
      </c>
      <c r="K161" s="243">
        <v>0</v>
      </c>
      <c r="L161" s="243">
        <v>0</v>
      </c>
      <c r="M161" s="243">
        <v>0</v>
      </c>
      <c r="N161" s="243">
        <v>0</v>
      </c>
      <c r="O161" s="243">
        <f t="shared" si="41"/>
        <v>0</v>
      </c>
      <c r="R161" s="243">
        <f t="shared" si="45"/>
        <v>0</v>
      </c>
      <c r="T161" s="243"/>
      <c r="U161" s="243">
        <f t="shared" si="43"/>
        <v>0</v>
      </c>
      <c r="X161" s="243">
        <f t="shared" si="46"/>
        <v>0</v>
      </c>
      <c r="Z161" s="243"/>
      <c r="AA161" s="243">
        <f t="shared" si="44"/>
        <v>0</v>
      </c>
      <c r="AD161" s="243">
        <f t="shared" si="47"/>
        <v>0</v>
      </c>
      <c r="AF161" s="243">
        <f t="shared" si="42"/>
        <v>0</v>
      </c>
    </row>
    <row r="162" spans="1:32">
      <c r="B162" t="s">
        <v>1271</v>
      </c>
      <c r="C162" s="243">
        <v>0</v>
      </c>
      <c r="D162" s="243">
        <v>0</v>
      </c>
      <c r="E162" s="243">
        <v>0</v>
      </c>
      <c r="F162" s="243">
        <v>0</v>
      </c>
      <c r="G162" s="243">
        <v>0</v>
      </c>
      <c r="H162" s="243">
        <v>0</v>
      </c>
      <c r="I162" s="243">
        <v>0</v>
      </c>
      <c r="J162" s="243">
        <v>0</v>
      </c>
      <c r="K162" s="243">
        <v>0</v>
      </c>
      <c r="L162" s="243">
        <v>0</v>
      </c>
      <c r="M162" s="243">
        <v>0</v>
      </c>
      <c r="N162" s="243">
        <v>0</v>
      </c>
      <c r="O162" s="243">
        <f t="shared" si="41"/>
        <v>0</v>
      </c>
      <c r="R162" s="243">
        <f t="shared" si="45"/>
        <v>0</v>
      </c>
      <c r="T162" s="243"/>
      <c r="U162" s="243">
        <f t="shared" si="43"/>
        <v>0</v>
      </c>
      <c r="X162" s="243">
        <f t="shared" si="46"/>
        <v>0</v>
      </c>
      <c r="Z162" s="243"/>
      <c r="AA162" s="243">
        <f t="shared" si="44"/>
        <v>0</v>
      </c>
      <c r="AD162" s="243">
        <f t="shared" si="47"/>
        <v>0</v>
      </c>
      <c r="AF162" s="243">
        <f t="shared" si="42"/>
        <v>0</v>
      </c>
    </row>
    <row r="163" spans="1:32">
      <c r="A163" t="s">
        <v>1319</v>
      </c>
      <c r="B163" t="s">
        <v>1268</v>
      </c>
      <c r="C163" s="243">
        <v>0</v>
      </c>
      <c r="D163" s="243">
        <v>0</v>
      </c>
      <c r="E163" s="243">
        <v>0</v>
      </c>
      <c r="F163" s="243">
        <v>0</v>
      </c>
      <c r="G163" s="243">
        <v>0</v>
      </c>
      <c r="H163" s="243">
        <v>0</v>
      </c>
      <c r="I163" s="243">
        <v>0</v>
      </c>
      <c r="J163" s="243">
        <v>0</v>
      </c>
      <c r="K163" s="243">
        <v>0</v>
      </c>
      <c r="L163" s="243">
        <v>0</v>
      </c>
      <c r="M163" s="243">
        <v>0</v>
      </c>
      <c r="N163" s="243">
        <v>0</v>
      </c>
      <c r="O163" s="243">
        <f t="shared" si="41"/>
        <v>0</v>
      </c>
      <c r="R163" s="243">
        <f t="shared" si="45"/>
        <v>0</v>
      </c>
      <c r="T163" s="243"/>
      <c r="U163" s="243">
        <f t="shared" si="43"/>
        <v>0</v>
      </c>
      <c r="X163" s="243">
        <f t="shared" si="46"/>
        <v>0</v>
      </c>
      <c r="Z163" s="243"/>
      <c r="AA163" s="243">
        <f t="shared" si="44"/>
        <v>0</v>
      </c>
      <c r="AD163" s="243">
        <f t="shared" si="47"/>
        <v>0</v>
      </c>
      <c r="AF163" s="243">
        <f t="shared" si="42"/>
        <v>0</v>
      </c>
    </row>
    <row r="164" spans="1:32">
      <c r="B164" t="s">
        <v>1270</v>
      </c>
      <c r="C164" s="243">
        <v>0</v>
      </c>
      <c r="D164" s="243">
        <v>0</v>
      </c>
      <c r="E164" s="243">
        <v>0</v>
      </c>
      <c r="F164" s="243">
        <v>0</v>
      </c>
      <c r="G164" s="243">
        <v>0</v>
      </c>
      <c r="H164" s="243">
        <v>0</v>
      </c>
      <c r="I164" s="243">
        <v>0</v>
      </c>
      <c r="J164" s="243">
        <v>0</v>
      </c>
      <c r="K164" s="243">
        <v>0</v>
      </c>
      <c r="L164" s="243">
        <v>0</v>
      </c>
      <c r="M164" s="243">
        <v>0</v>
      </c>
      <c r="N164" s="243">
        <v>0</v>
      </c>
      <c r="O164" s="243">
        <f t="shared" si="41"/>
        <v>0</v>
      </c>
      <c r="R164" s="243">
        <f t="shared" si="45"/>
        <v>0</v>
      </c>
      <c r="T164" s="243"/>
      <c r="U164" s="243">
        <f t="shared" si="43"/>
        <v>0</v>
      </c>
      <c r="X164" s="243">
        <f t="shared" si="46"/>
        <v>0</v>
      </c>
      <c r="Z164" s="243"/>
      <c r="AA164" s="243">
        <f t="shared" si="44"/>
        <v>0</v>
      </c>
      <c r="AD164" s="243">
        <f t="shared" si="47"/>
        <v>0</v>
      </c>
      <c r="AF164" s="243">
        <f t="shared" si="42"/>
        <v>0</v>
      </c>
    </row>
    <row r="165" spans="1:32">
      <c r="B165" t="s">
        <v>1271</v>
      </c>
      <c r="C165" s="243">
        <v>0</v>
      </c>
      <c r="D165" s="243">
        <v>0</v>
      </c>
      <c r="E165" s="243">
        <v>0</v>
      </c>
      <c r="F165" s="243">
        <v>0</v>
      </c>
      <c r="G165" s="243">
        <v>0</v>
      </c>
      <c r="H165" s="243">
        <v>0</v>
      </c>
      <c r="I165" s="243">
        <v>0</v>
      </c>
      <c r="J165" s="243">
        <v>0</v>
      </c>
      <c r="K165" s="243">
        <v>0</v>
      </c>
      <c r="L165" s="243">
        <v>0</v>
      </c>
      <c r="M165" s="243">
        <v>0</v>
      </c>
      <c r="N165" s="243">
        <v>0</v>
      </c>
      <c r="O165" s="243">
        <f t="shared" si="41"/>
        <v>0</v>
      </c>
      <c r="R165" s="243">
        <f t="shared" si="45"/>
        <v>0</v>
      </c>
      <c r="T165" s="243"/>
      <c r="U165" s="243">
        <f t="shared" si="43"/>
        <v>0</v>
      </c>
      <c r="X165" s="243">
        <f t="shared" si="46"/>
        <v>0</v>
      </c>
      <c r="Z165" s="243"/>
      <c r="AA165" s="243">
        <f t="shared" si="44"/>
        <v>0</v>
      </c>
      <c r="AD165" s="243">
        <f t="shared" si="47"/>
        <v>0</v>
      </c>
      <c r="AF165" s="243">
        <f t="shared" si="42"/>
        <v>0</v>
      </c>
    </row>
    <row r="166" spans="1:32">
      <c r="A166" t="s">
        <v>1320</v>
      </c>
      <c r="B166" t="s">
        <v>1268</v>
      </c>
      <c r="C166" s="243">
        <v>0</v>
      </c>
      <c r="D166" s="243">
        <v>0</v>
      </c>
      <c r="E166" s="243">
        <v>0</v>
      </c>
      <c r="F166" s="243">
        <v>0</v>
      </c>
      <c r="G166" s="243">
        <v>0</v>
      </c>
      <c r="H166" s="243">
        <v>5145</v>
      </c>
      <c r="I166" s="243">
        <v>0</v>
      </c>
      <c r="J166" s="243">
        <v>0</v>
      </c>
      <c r="K166" s="243">
        <v>0</v>
      </c>
      <c r="L166" s="243">
        <v>0</v>
      </c>
      <c r="M166" s="243">
        <v>0</v>
      </c>
      <c r="N166" s="243">
        <v>0</v>
      </c>
      <c r="O166" s="243">
        <f t="shared" si="41"/>
        <v>5145</v>
      </c>
      <c r="R166" s="243">
        <f t="shared" si="45"/>
        <v>5145</v>
      </c>
      <c r="T166" s="243"/>
      <c r="U166" s="243">
        <f t="shared" si="43"/>
        <v>0</v>
      </c>
      <c r="X166" s="243">
        <f t="shared" si="46"/>
        <v>0</v>
      </c>
      <c r="Z166" s="243"/>
      <c r="AA166" s="243">
        <f t="shared" si="44"/>
        <v>5145</v>
      </c>
      <c r="AD166" s="243">
        <f t="shared" si="47"/>
        <v>5145</v>
      </c>
      <c r="AF166" s="243">
        <f t="shared" si="42"/>
        <v>0</v>
      </c>
    </row>
    <row r="167" spans="1:32">
      <c r="B167" t="s">
        <v>1270</v>
      </c>
      <c r="C167" s="243">
        <v>0</v>
      </c>
      <c r="D167" s="243">
        <v>0</v>
      </c>
      <c r="E167" s="243">
        <v>0</v>
      </c>
      <c r="F167" s="243">
        <v>0</v>
      </c>
      <c r="G167" s="243">
        <v>0</v>
      </c>
      <c r="H167" s="243">
        <v>377</v>
      </c>
      <c r="I167" s="243">
        <v>0</v>
      </c>
      <c r="J167" s="243">
        <v>0</v>
      </c>
      <c r="K167" s="243">
        <v>0</v>
      </c>
      <c r="L167" s="243">
        <v>0</v>
      </c>
      <c r="M167" s="243">
        <v>0</v>
      </c>
      <c r="N167" s="243">
        <v>0</v>
      </c>
      <c r="O167" s="243">
        <f t="shared" si="41"/>
        <v>377</v>
      </c>
      <c r="R167" s="243">
        <f t="shared" si="45"/>
        <v>377</v>
      </c>
      <c r="T167" s="243"/>
      <c r="U167" s="243">
        <f t="shared" si="43"/>
        <v>0</v>
      </c>
      <c r="X167" s="243">
        <f t="shared" si="46"/>
        <v>0</v>
      </c>
      <c r="Z167" s="243"/>
      <c r="AA167" s="243">
        <f t="shared" si="44"/>
        <v>377</v>
      </c>
      <c r="AD167" s="243">
        <f t="shared" si="47"/>
        <v>377</v>
      </c>
      <c r="AF167" s="243">
        <f t="shared" si="42"/>
        <v>0</v>
      </c>
    </row>
    <row r="168" spans="1:32">
      <c r="B168" t="s">
        <v>1271</v>
      </c>
      <c r="C168" s="243">
        <v>0</v>
      </c>
      <c r="D168" s="243">
        <v>0</v>
      </c>
      <c r="E168" s="243">
        <v>0</v>
      </c>
      <c r="F168" s="243">
        <v>0</v>
      </c>
      <c r="G168" s="243">
        <v>0</v>
      </c>
      <c r="H168" s="243">
        <v>382</v>
      </c>
      <c r="I168" s="243">
        <v>0</v>
      </c>
      <c r="J168" s="243">
        <v>0</v>
      </c>
      <c r="K168" s="243">
        <v>0</v>
      </c>
      <c r="L168" s="243">
        <v>0</v>
      </c>
      <c r="M168" s="243">
        <v>0</v>
      </c>
      <c r="N168" s="243">
        <v>0</v>
      </c>
      <c r="O168" s="243">
        <f t="shared" si="41"/>
        <v>382</v>
      </c>
      <c r="R168" s="243">
        <f t="shared" si="45"/>
        <v>382</v>
      </c>
      <c r="T168" s="243"/>
      <c r="U168" s="243">
        <f t="shared" si="43"/>
        <v>0</v>
      </c>
      <c r="X168" s="243">
        <f t="shared" si="46"/>
        <v>0</v>
      </c>
      <c r="Z168" s="243"/>
      <c r="AA168" s="243">
        <f t="shared" si="44"/>
        <v>382</v>
      </c>
      <c r="AD168" s="243">
        <f t="shared" si="47"/>
        <v>382</v>
      </c>
      <c r="AF168" s="243">
        <f t="shared" si="42"/>
        <v>0</v>
      </c>
    </row>
    <row r="169" spans="1:32">
      <c r="A169" t="s">
        <v>1321</v>
      </c>
      <c r="B169" t="s">
        <v>1268</v>
      </c>
      <c r="C169" s="243">
        <v>0</v>
      </c>
      <c r="D169" s="243">
        <v>0</v>
      </c>
      <c r="E169" s="243">
        <v>0</v>
      </c>
      <c r="F169" s="243">
        <v>0</v>
      </c>
      <c r="G169" s="243">
        <v>0</v>
      </c>
      <c r="H169" s="243">
        <v>897.25</v>
      </c>
      <c r="I169" s="243">
        <v>0</v>
      </c>
      <c r="J169" s="243">
        <v>0</v>
      </c>
      <c r="K169" s="243">
        <v>0</v>
      </c>
      <c r="L169" s="243">
        <v>0</v>
      </c>
      <c r="M169" s="243">
        <v>0</v>
      </c>
      <c r="N169" s="243">
        <v>0</v>
      </c>
      <c r="O169" s="243">
        <f t="shared" si="41"/>
        <v>897.25</v>
      </c>
      <c r="R169" s="243">
        <f t="shared" si="45"/>
        <v>897.25</v>
      </c>
      <c r="T169" s="243"/>
      <c r="U169" s="243">
        <f t="shared" si="43"/>
        <v>0</v>
      </c>
      <c r="X169" s="243">
        <f t="shared" si="46"/>
        <v>0</v>
      </c>
      <c r="Z169" s="243"/>
      <c r="AA169" s="243">
        <f t="shared" si="44"/>
        <v>897.25</v>
      </c>
      <c r="AD169" s="243">
        <f t="shared" si="47"/>
        <v>897.25</v>
      </c>
      <c r="AF169" s="243">
        <f t="shared" si="42"/>
        <v>0</v>
      </c>
    </row>
    <row r="170" spans="1:32">
      <c r="B170" t="s">
        <v>1270</v>
      </c>
      <c r="C170" s="243">
        <v>0</v>
      </c>
      <c r="D170" s="243">
        <v>0</v>
      </c>
      <c r="E170" s="243">
        <v>0</v>
      </c>
      <c r="F170" s="243">
        <v>0</v>
      </c>
      <c r="G170" s="243">
        <v>0</v>
      </c>
      <c r="H170" s="243">
        <v>198</v>
      </c>
      <c r="I170" s="243">
        <v>0</v>
      </c>
      <c r="J170" s="243">
        <v>0</v>
      </c>
      <c r="K170" s="243">
        <v>0</v>
      </c>
      <c r="L170" s="243">
        <v>0</v>
      </c>
      <c r="M170" s="243">
        <v>0</v>
      </c>
      <c r="N170" s="243">
        <v>0</v>
      </c>
      <c r="O170" s="243">
        <f t="shared" si="41"/>
        <v>198</v>
      </c>
      <c r="R170" s="243">
        <f t="shared" si="45"/>
        <v>198</v>
      </c>
      <c r="T170" s="243"/>
      <c r="U170" s="243">
        <f t="shared" si="43"/>
        <v>0</v>
      </c>
      <c r="X170" s="243">
        <f t="shared" si="46"/>
        <v>0</v>
      </c>
      <c r="Z170" s="243"/>
      <c r="AA170" s="243">
        <f t="shared" si="44"/>
        <v>198</v>
      </c>
      <c r="AD170" s="243">
        <f t="shared" si="47"/>
        <v>198</v>
      </c>
      <c r="AF170" s="243">
        <f t="shared" si="42"/>
        <v>0</v>
      </c>
    </row>
    <row r="171" spans="1:32">
      <c r="B171" t="s">
        <v>1271</v>
      </c>
      <c r="C171" s="243">
        <v>0</v>
      </c>
      <c r="D171" s="243">
        <v>0</v>
      </c>
      <c r="E171" s="243">
        <v>0</v>
      </c>
      <c r="F171" s="243">
        <v>0</v>
      </c>
      <c r="G171" s="243">
        <v>0</v>
      </c>
      <c r="H171" s="243">
        <v>1005.5</v>
      </c>
      <c r="I171" s="243">
        <v>0</v>
      </c>
      <c r="J171" s="243">
        <v>0</v>
      </c>
      <c r="K171" s="243">
        <v>0</v>
      </c>
      <c r="L171" s="243">
        <v>0</v>
      </c>
      <c r="M171" s="243">
        <v>0</v>
      </c>
      <c r="N171" s="243">
        <v>0</v>
      </c>
      <c r="O171" s="243">
        <f t="shared" si="41"/>
        <v>1005.5</v>
      </c>
      <c r="R171" s="243">
        <f t="shared" si="45"/>
        <v>1005.5</v>
      </c>
      <c r="T171" s="243"/>
      <c r="U171" s="243">
        <f t="shared" si="43"/>
        <v>0</v>
      </c>
      <c r="X171" s="243">
        <f t="shared" si="46"/>
        <v>0</v>
      </c>
      <c r="Z171" s="243"/>
      <c r="AA171" s="243">
        <f t="shared" si="44"/>
        <v>1005.5</v>
      </c>
      <c r="AD171" s="243">
        <f t="shared" si="47"/>
        <v>1005.5</v>
      </c>
      <c r="AF171" s="243">
        <f t="shared" si="42"/>
        <v>0</v>
      </c>
    </row>
    <row r="172" spans="1:32">
      <c r="A172" t="s">
        <v>1322</v>
      </c>
      <c r="B172" t="s">
        <v>1268</v>
      </c>
      <c r="C172" s="243">
        <v>0</v>
      </c>
      <c r="D172" s="243">
        <v>0</v>
      </c>
      <c r="E172" s="243">
        <v>0</v>
      </c>
      <c r="F172" s="243">
        <v>0</v>
      </c>
      <c r="G172" s="243">
        <v>0</v>
      </c>
      <c r="H172" s="243">
        <v>290</v>
      </c>
      <c r="I172" s="243">
        <v>0</v>
      </c>
      <c r="J172" s="243">
        <v>0</v>
      </c>
      <c r="K172" s="243">
        <v>0</v>
      </c>
      <c r="L172" s="243">
        <v>0</v>
      </c>
      <c r="M172" s="243">
        <v>0</v>
      </c>
      <c r="N172" s="243">
        <v>0</v>
      </c>
      <c r="O172" s="243">
        <f t="shared" si="41"/>
        <v>290</v>
      </c>
      <c r="R172" s="243">
        <f t="shared" si="45"/>
        <v>290</v>
      </c>
      <c r="T172" s="243"/>
      <c r="U172" s="243">
        <f t="shared" si="43"/>
        <v>0</v>
      </c>
      <c r="X172" s="243">
        <f t="shared" si="46"/>
        <v>0</v>
      </c>
      <c r="Z172" s="243"/>
      <c r="AA172" s="243">
        <f t="shared" si="44"/>
        <v>290</v>
      </c>
      <c r="AD172" s="243">
        <f t="shared" si="47"/>
        <v>290</v>
      </c>
      <c r="AF172" s="243">
        <f t="shared" si="42"/>
        <v>0</v>
      </c>
    </row>
    <row r="173" spans="1:32">
      <c r="B173" t="s">
        <v>1270</v>
      </c>
      <c r="C173" s="243">
        <v>0</v>
      </c>
      <c r="D173" s="243">
        <v>0</v>
      </c>
      <c r="E173" s="243">
        <v>0</v>
      </c>
      <c r="F173" s="243">
        <v>0</v>
      </c>
      <c r="G173" s="243">
        <v>0</v>
      </c>
      <c r="H173" s="243">
        <v>5090</v>
      </c>
      <c r="I173" s="243">
        <v>0</v>
      </c>
      <c r="J173" s="243">
        <v>0</v>
      </c>
      <c r="K173" s="243">
        <v>0</v>
      </c>
      <c r="L173" s="243">
        <v>0</v>
      </c>
      <c r="M173" s="243">
        <v>0</v>
      </c>
      <c r="N173" s="243">
        <v>0</v>
      </c>
      <c r="O173" s="243">
        <f t="shared" si="41"/>
        <v>5090</v>
      </c>
      <c r="R173" s="243">
        <f t="shared" si="45"/>
        <v>5090</v>
      </c>
      <c r="T173" s="243"/>
      <c r="U173" s="243">
        <f t="shared" si="43"/>
        <v>0</v>
      </c>
      <c r="X173" s="243">
        <f t="shared" si="46"/>
        <v>0</v>
      </c>
      <c r="Z173" s="243"/>
      <c r="AA173" s="243">
        <f t="shared" si="44"/>
        <v>5090</v>
      </c>
      <c r="AD173" s="243">
        <f t="shared" si="47"/>
        <v>5090</v>
      </c>
      <c r="AF173" s="243">
        <f t="shared" si="42"/>
        <v>0</v>
      </c>
    </row>
    <row r="174" spans="1:32">
      <c r="B174" t="s">
        <v>1271</v>
      </c>
      <c r="C174" s="243">
        <v>0</v>
      </c>
      <c r="D174" s="243">
        <v>0</v>
      </c>
      <c r="E174" s="243">
        <v>0</v>
      </c>
      <c r="F174" s="243">
        <v>0</v>
      </c>
      <c r="G174" s="243">
        <v>0</v>
      </c>
      <c r="H174" s="243">
        <v>11730</v>
      </c>
      <c r="I174" s="243">
        <v>0</v>
      </c>
      <c r="J174" s="243">
        <v>0</v>
      </c>
      <c r="K174" s="243">
        <v>0</v>
      </c>
      <c r="L174" s="243">
        <v>0</v>
      </c>
      <c r="M174" s="243">
        <v>0</v>
      </c>
      <c r="N174" s="243">
        <v>0</v>
      </c>
      <c r="O174" s="243">
        <f t="shared" si="41"/>
        <v>11730</v>
      </c>
      <c r="R174" s="243">
        <f t="shared" si="45"/>
        <v>11730</v>
      </c>
      <c r="T174" s="243"/>
      <c r="U174" s="243">
        <f t="shared" si="43"/>
        <v>0</v>
      </c>
      <c r="X174" s="243">
        <f t="shared" si="46"/>
        <v>0</v>
      </c>
      <c r="Z174" s="243"/>
      <c r="AA174" s="243">
        <f t="shared" si="44"/>
        <v>11730</v>
      </c>
      <c r="AD174" s="243">
        <f t="shared" si="47"/>
        <v>11730</v>
      </c>
      <c r="AF174" s="243">
        <f t="shared" si="42"/>
        <v>0</v>
      </c>
    </row>
    <row r="175" spans="1:32">
      <c r="A175" t="s">
        <v>1323</v>
      </c>
      <c r="B175" t="s">
        <v>1268</v>
      </c>
      <c r="C175" s="243">
        <v>0</v>
      </c>
      <c r="D175" s="243">
        <v>0</v>
      </c>
      <c r="E175" s="243">
        <v>0</v>
      </c>
      <c r="F175" s="243">
        <v>0</v>
      </c>
      <c r="G175" s="243">
        <v>0</v>
      </c>
      <c r="H175" s="243">
        <v>0</v>
      </c>
      <c r="I175" s="243">
        <v>0</v>
      </c>
      <c r="J175" s="243">
        <v>0</v>
      </c>
      <c r="K175" s="243">
        <v>0</v>
      </c>
      <c r="L175" s="243">
        <v>0</v>
      </c>
      <c r="M175" s="243">
        <v>0</v>
      </c>
      <c r="N175" s="243">
        <v>0</v>
      </c>
      <c r="O175" s="243">
        <f t="shared" si="41"/>
        <v>0</v>
      </c>
      <c r="R175" s="243">
        <f t="shared" si="45"/>
        <v>0</v>
      </c>
      <c r="T175" s="243"/>
      <c r="U175" s="243">
        <f t="shared" si="43"/>
        <v>0</v>
      </c>
      <c r="X175" s="243">
        <f t="shared" si="46"/>
        <v>0</v>
      </c>
      <c r="Z175" s="243"/>
      <c r="AA175" s="243">
        <f t="shared" si="44"/>
        <v>0</v>
      </c>
      <c r="AD175" s="243">
        <f t="shared" si="47"/>
        <v>0</v>
      </c>
      <c r="AF175" s="243">
        <f t="shared" si="42"/>
        <v>0</v>
      </c>
    </row>
    <row r="176" spans="1:32">
      <c r="B176" t="s">
        <v>1270</v>
      </c>
      <c r="C176" s="243">
        <v>0</v>
      </c>
      <c r="D176" s="243">
        <v>0</v>
      </c>
      <c r="E176" s="243">
        <v>0</v>
      </c>
      <c r="F176" s="243">
        <v>0</v>
      </c>
      <c r="G176" s="243">
        <v>0</v>
      </c>
      <c r="H176" s="243">
        <v>0</v>
      </c>
      <c r="I176" s="243">
        <v>0</v>
      </c>
      <c r="J176" s="243">
        <v>0</v>
      </c>
      <c r="K176" s="243">
        <v>0</v>
      </c>
      <c r="L176" s="243">
        <v>0</v>
      </c>
      <c r="M176" s="243">
        <v>0</v>
      </c>
      <c r="N176" s="243">
        <v>0</v>
      </c>
      <c r="O176" s="243">
        <f t="shared" si="41"/>
        <v>0</v>
      </c>
      <c r="R176" s="243">
        <f t="shared" si="45"/>
        <v>0</v>
      </c>
      <c r="T176" s="243"/>
      <c r="U176" s="243">
        <f t="shared" si="43"/>
        <v>0</v>
      </c>
      <c r="X176" s="243">
        <f t="shared" si="46"/>
        <v>0</v>
      </c>
      <c r="Z176" s="243"/>
      <c r="AA176" s="243">
        <f t="shared" si="44"/>
        <v>0</v>
      </c>
      <c r="AD176" s="243">
        <f t="shared" si="47"/>
        <v>0</v>
      </c>
      <c r="AF176" s="243">
        <f t="shared" si="42"/>
        <v>0</v>
      </c>
    </row>
    <row r="177" spans="1:32">
      <c r="B177" t="s">
        <v>1271</v>
      </c>
      <c r="C177" s="243">
        <v>0</v>
      </c>
      <c r="D177" s="243">
        <v>0</v>
      </c>
      <c r="E177" s="243">
        <v>0</v>
      </c>
      <c r="F177" s="243">
        <v>0</v>
      </c>
      <c r="G177" s="243">
        <v>0</v>
      </c>
      <c r="H177" s="243">
        <v>0</v>
      </c>
      <c r="I177" s="243">
        <v>0</v>
      </c>
      <c r="J177" s="243">
        <v>0</v>
      </c>
      <c r="K177" s="243">
        <v>0</v>
      </c>
      <c r="L177" s="243">
        <v>0</v>
      </c>
      <c r="M177" s="243">
        <v>0</v>
      </c>
      <c r="N177" s="243">
        <v>0</v>
      </c>
      <c r="O177" s="243">
        <f t="shared" si="41"/>
        <v>0</v>
      </c>
      <c r="R177" s="243">
        <f t="shared" si="45"/>
        <v>0</v>
      </c>
      <c r="T177" s="243"/>
      <c r="U177" s="243">
        <f t="shared" si="43"/>
        <v>0</v>
      </c>
      <c r="X177" s="243">
        <f t="shared" si="46"/>
        <v>0</v>
      </c>
      <c r="Z177" s="243"/>
      <c r="AA177" s="243">
        <f t="shared" si="44"/>
        <v>0</v>
      </c>
      <c r="AD177" s="243">
        <f t="shared" si="47"/>
        <v>0</v>
      </c>
      <c r="AF177" s="243">
        <f t="shared" si="42"/>
        <v>0</v>
      </c>
    </row>
    <row r="178" spans="1:32">
      <c r="A178" t="s">
        <v>1324</v>
      </c>
      <c r="B178" t="s">
        <v>1268</v>
      </c>
      <c r="C178" s="243">
        <v>0</v>
      </c>
      <c r="D178" s="243">
        <v>0</v>
      </c>
      <c r="E178" s="243">
        <v>0</v>
      </c>
      <c r="F178" s="243">
        <v>0</v>
      </c>
      <c r="G178" s="243">
        <v>0</v>
      </c>
      <c r="H178" s="243">
        <v>77</v>
      </c>
      <c r="I178" s="243">
        <v>0</v>
      </c>
      <c r="J178" s="243">
        <v>0</v>
      </c>
      <c r="K178" s="243">
        <v>0</v>
      </c>
      <c r="L178" s="243">
        <v>0</v>
      </c>
      <c r="M178" s="243">
        <v>0</v>
      </c>
      <c r="N178" s="243">
        <v>0</v>
      </c>
      <c r="O178" s="243">
        <f t="shared" si="41"/>
        <v>77</v>
      </c>
      <c r="Q178" s="243">
        <f>-O178</f>
        <v>-77</v>
      </c>
      <c r="R178" s="243">
        <f t="shared" si="45"/>
        <v>0</v>
      </c>
      <c r="T178" s="243"/>
      <c r="U178" s="243">
        <f t="shared" si="43"/>
        <v>0</v>
      </c>
      <c r="W178" s="243">
        <f>-U178</f>
        <v>0</v>
      </c>
      <c r="X178" s="243">
        <f t="shared" si="46"/>
        <v>0</v>
      </c>
      <c r="Z178" s="243"/>
      <c r="AA178" s="243">
        <f t="shared" si="44"/>
        <v>77</v>
      </c>
      <c r="AC178" s="243">
        <f>-AA178</f>
        <v>-77</v>
      </c>
      <c r="AD178" s="243">
        <f t="shared" si="47"/>
        <v>0</v>
      </c>
      <c r="AF178" s="243">
        <f t="shared" si="42"/>
        <v>0</v>
      </c>
    </row>
    <row r="179" spans="1:32">
      <c r="B179" t="s">
        <v>1270</v>
      </c>
      <c r="C179" s="243">
        <v>0</v>
      </c>
      <c r="D179" s="243">
        <v>0</v>
      </c>
      <c r="E179" s="243">
        <v>0</v>
      </c>
      <c r="F179" s="243">
        <v>0</v>
      </c>
      <c r="G179" s="243">
        <v>0</v>
      </c>
      <c r="H179" s="243">
        <v>1</v>
      </c>
      <c r="I179" s="243">
        <v>0</v>
      </c>
      <c r="J179" s="243">
        <v>0</v>
      </c>
      <c r="K179" s="243">
        <v>0</v>
      </c>
      <c r="L179" s="243">
        <v>0</v>
      </c>
      <c r="M179" s="243">
        <v>0</v>
      </c>
      <c r="N179" s="243">
        <v>0</v>
      </c>
      <c r="O179" s="243">
        <f t="shared" si="41"/>
        <v>1</v>
      </c>
      <c r="Q179" s="243">
        <f>-O179</f>
        <v>-1</v>
      </c>
      <c r="R179" s="243">
        <f t="shared" ref="R179:R210" si="48">+O179+Q179</f>
        <v>0</v>
      </c>
      <c r="T179" s="243"/>
      <c r="U179" s="243">
        <f t="shared" si="43"/>
        <v>0</v>
      </c>
      <c r="W179" s="243">
        <f>-U179</f>
        <v>0</v>
      </c>
      <c r="X179" s="243">
        <f t="shared" ref="X179:X210" si="49">+U179+W179</f>
        <v>0</v>
      </c>
      <c r="Z179" s="243"/>
      <c r="AA179" s="243">
        <f t="shared" si="44"/>
        <v>1</v>
      </c>
      <c r="AC179" s="243">
        <f>-AA179</f>
        <v>-1</v>
      </c>
      <c r="AD179" s="243">
        <f t="shared" ref="AD179:AD210" si="50">+AA179+AC179</f>
        <v>0</v>
      </c>
      <c r="AF179" s="243">
        <f t="shared" si="42"/>
        <v>0</v>
      </c>
    </row>
    <row r="180" spans="1:32">
      <c r="B180" t="s">
        <v>1271</v>
      </c>
      <c r="C180" s="243">
        <v>0</v>
      </c>
      <c r="D180" s="243">
        <v>0</v>
      </c>
      <c r="E180" s="243">
        <v>0</v>
      </c>
      <c r="F180" s="243">
        <v>0</v>
      </c>
      <c r="G180" s="243">
        <v>0</v>
      </c>
      <c r="H180" s="243">
        <v>3</v>
      </c>
      <c r="I180" s="243">
        <v>0</v>
      </c>
      <c r="J180" s="243">
        <v>0</v>
      </c>
      <c r="K180" s="243">
        <v>0</v>
      </c>
      <c r="L180" s="243">
        <v>0</v>
      </c>
      <c r="M180" s="243">
        <v>0</v>
      </c>
      <c r="N180" s="243">
        <v>0</v>
      </c>
      <c r="O180" s="243">
        <f t="shared" si="41"/>
        <v>3</v>
      </c>
      <c r="Q180" s="243">
        <f>-O180</f>
        <v>-3</v>
      </c>
      <c r="R180" s="243">
        <f t="shared" si="48"/>
        <v>0</v>
      </c>
      <c r="T180" s="243"/>
      <c r="U180" s="243">
        <f t="shared" si="43"/>
        <v>0</v>
      </c>
      <c r="W180" s="243">
        <f>-U180</f>
        <v>0</v>
      </c>
      <c r="X180" s="243">
        <f t="shared" si="49"/>
        <v>0</v>
      </c>
      <c r="Z180" s="243"/>
      <c r="AA180" s="243">
        <f t="shared" si="44"/>
        <v>3</v>
      </c>
      <c r="AC180" s="243">
        <f>-AA180</f>
        <v>-3</v>
      </c>
      <c r="AD180" s="243">
        <f t="shared" si="50"/>
        <v>0</v>
      </c>
      <c r="AF180" s="243">
        <f t="shared" si="42"/>
        <v>0</v>
      </c>
    </row>
    <row r="181" spans="1:32">
      <c r="A181" t="s">
        <v>1325</v>
      </c>
      <c r="B181" t="s">
        <v>1268</v>
      </c>
      <c r="C181" s="243">
        <v>0</v>
      </c>
      <c r="D181" s="243">
        <v>0</v>
      </c>
      <c r="E181" s="243">
        <v>0</v>
      </c>
      <c r="F181" s="243">
        <v>0</v>
      </c>
      <c r="G181" s="243">
        <v>0</v>
      </c>
      <c r="H181" s="243">
        <v>9</v>
      </c>
      <c r="I181" s="243">
        <v>0</v>
      </c>
      <c r="J181" s="243">
        <v>0</v>
      </c>
      <c r="K181" s="243">
        <v>0</v>
      </c>
      <c r="L181" s="243">
        <v>0</v>
      </c>
      <c r="M181" s="243">
        <v>0</v>
      </c>
      <c r="N181" s="243">
        <v>0</v>
      </c>
      <c r="O181" s="243">
        <f t="shared" si="41"/>
        <v>9</v>
      </c>
      <c r="Q181" s="243">
        <f t="shared" ref="Q181:Q189" si="51">-O181</f>
        <v>-9</v>
      </c>
      <c r="R181" s="243">
        <f t="shared" si="48"/>
        <v>0</v>
      </c>
      <c r="T181" s="243"/>
      <c r="U181" s="243">
        <f t="shared" si="43"/>
        <v>0</v>
      </c>
      <c r="W181" s="243">
        <f t="shared" ref="W181:W189" si="52">-U181</f>
        <v>0</v>
      </c>
      <c r="X181" s="243">
        <f t="shared" si="49"/>
        <v>0</v>
      </c>
      <c r="Z181" s="243"/>
      <c r="AA181" s="243">
        <f t="shared" si="44"/>
        <v>9</v>
      </c>
      <c r="AC181" s="243">
        <f t="shared" ref="AC181:AC189" si="53">-AA181</f>
        <v>-9</v>
      </c>
      <c r="AD181" s="243">
        <f t="shared" si="50"/>
        <v>0</v>
      </c>
      <c r="AF181" s="243">
        <f t="shared" si="42"/>
        <v>0</v>
      </c>
    </row>
    <row r="182" spans="1:32">
      <c r="B182" t="s">
        <v>1270</v>
      </c>
      <c r="C182" s="243">
        <v>0</v>
      </c>
      <c r="D182" s="243">
        <v>0</v>
      </c>
      <c r="E182" s="243">
        <v>0</v>
      </c>
      <c r="F182" s="243">
        <v>0</v>
      </c>
      <c r="G182" s="243">
        <v>0</v>
      </c>
      <c r="H182" s="243">
        <v>0</v>
      </c>
      <c r="I182" s="243">
        <v>0</v>
      </c>
      <c r="J182" s="243">
        <v>0</v>
      </c>
      <c r="K182" s="243">
        <v>0</v>
      </c>
      <c r="L182" s="243">
        <v>0</v>
      </c>
      <c r="M182" s="243">
        <v>0</v>
      </c>
      <c r="N182" s="243">
        <v>0</v>
      </c>
      <c r="O182" s="243">
        <f t="shared" si="41"/>
        <v>0</v>
      </c>
      <c r="Q182" s="243">
        <f t="shared" si="51"/>
        <v>0</v>
      </c>
      <c r="R182" s="243">
        <f t="shared" si="48"/>
        <v>0</v>
      </c>
      <c r="T182" s="243"/>
      <c r="U182" s="243">
        <f t="shared" si="43"/>
        <v>0</v>
      </c>
      <c r="W182" s="243">
        <f t="shared" si="52"/>
        <v>0</v>
      </c>
      <c r="X182" s="243">
        <f t="shared" si="49"/>
        <v>0</v>
      </c>
      <c r="Z182" s="243"/>
      <c r="AA182" s="243">
        <f t="shared" si="44"/>
        <v>0</v>
      </c>
      <c r="AC182" s="243">
        <f t="shared" si="53"/>
        <v>0</v>
      </c>
      <c r="AD182" s="243">
        <f t="shared" si="50"/>
        <v>0</v>
      </c>
      <c r="AF182" s="243">
        <f t="shared" si="42"/>
        <v>0</v>
      </c>
    </row>
    <row r="183" spans="1:32">
      <c r="B183" t="s">
        <v>1271</v>
      </c>
      <c r="C183" s="243">
        <v>0</v>
      </c>
      <c r="D183" s="243">
        <v>0</v>
      </c>
      <c r="E183" s="243">
        <v>0</v>
      </c>
      <c r="F183" s="243">
        <v>0</v>
      </c>
      <c r="G183" s="243">
        <v>0</v>
      </c>
      <c r="H183" s="243">
        <v>0</v>
      </c>
      <c r="I183" s="243">
        <v>0</v>
      </c>
      <c r="J183" s="243">
        <v>0</v>
      </c>
      <c r="K183" s="243">
        <v>0</v>
      </c>
      <c r="L183" s="243">
        <v>0</v>
      </c>
      <c r="M183" s="243">
        <v>0</v>
      </c>
      <c r="N183" s="243">
        <v>0</v>
      </c>
      <c r="O183" s="243">
        <f t="shared" si="41"/>
        <v>0</v>
      </c>
      <c r="Q183" s="243">
        <f t="shared" si="51"/>
        <v>0</v>
      </c>
      <c r="R183" s="243">
        <f t="shared" si="48"/>
        <v>0</v>
      </c>
      <c r="T183" s="243"/>
      <c r="U183" s="243">
        <f t="shared" si="43"/>
        <v>0</v>
      </c>
      <c r="W183" s="243">
        <f t="shared" si="52"/>
        <v>0</v>
      </c>
      <c r="X183" s="243">
        <f t="shared" si="49"/>
        <v>0</v>
      </c>
      <c r="Z183" s="243"/>
      <c r="AA183" s="243">
        <f t="shared" si="44"/>
        <v>0</v>
      </c>
      <c r="AC183" s="243">
        <f t="shared" si="53"/>
        <v>0</v>
      </c>
      <c r="AD183" s="243">
        <f t="shared" si="50"/>
        <v>0</v>
      </c>
      <c r="AF183" s="243">
        <f t="shared" si="42"/>
        <v>0</v>
      </c>
    </row>
    <row r="184" spans="1:32">
      <c r="A184" t="s">
        <v>1326</v>
      </c>
      <c r="B184" t="s">
        <v>1268</v>
      </c>
      <c r="C184" s="243">
        <v>0</v>
      </c>
      <c r="D184" s="243">
        <v>0</v>
      </c>
      <c r="E184" s="243">
        <v>0</v>
      </c>
      <c r="F184" s="243">
        <v>0</v>
      </c>
      <c r="G184" s="243">
        <v>0</v>
      </c>
      <c r="H184" s="243">
        <v>46</v>
      </c>
      <c r="I184" s="243">
        <v>0</v>
      </c>
      <c r="J184" s="243">
        <v>0</v>
      </c>
      <c r="K184" s="243">
        <v>0</v>
      </c>
      <c r="L184" s="243">
        <v>0</v>
      </c>
      <c r="M184" s="243">
        <v>0</v>
      </c>
      <c r="N184" s="243">
        <v>0</v>
      </c>
      <c r="O184" s="243">
        <f t="shared" si="41"/>
        <v>46</v>
      </c>
      <c r="Q184" s="243">
        <f t="shared" si="51"/>
        <v>-46</v>
      </c>
      <c r="R184" s="243">
        <f t="shared" si="48"/>
        <v>0</v>
      </c>
      <c r="T184" s="243"/>
      <c r="U184" s="243">
        <f t="shared" si="43"/>
        <v>0</v>
      </c>
      <c r="W184" s="243">
        <f t="shared" si="52"/>
        <v>0</v>
      </c>
      <c r="X184" s="243">
        <f t="shared" si="49"/>
        <v>0</v>
      </c>
      <c r="Z184" s="243"/>
      <c r="AA184" s="243">
        <f t="shared" si="44"/>
        <v>46</v>
      </c>
      <c r="AC184" s="243">
        <f t="shared" si="53"/>
        <v>-46</v>
      </c>
      <c r="AD184" s="243">
        <f t="shared" si="50"/>
        <v>0</v>
      </c>
      <c r="AF184" s="243">
        <f t="shared" si="42"/>
        <v>0</v>
      </c>
    </row>
    <row r="185" spans="1:32">
      <c r="B185" t="s">
        <v>1270</v>
      </c>
      <c r="C185" s="243">
        <v>0</v>
      </c>
      <c r="D185" s="243">
        <v>0</v>
      </c>
      <c r="E185" s="243">
        <v>0</v>
      </c>
      <c r="F185" s="243">
        <v>0</v>
      </c>
      <c r="G185" s="243">
        <v>0</v>
      </c>
      <c r="H185" s="243">
        <v>3</v>
      </c>
      <c r="I185" s="243">
        <v>0</v>
      </c>
      <c r="J185" s="243">
        <v>0</v>
      </c>
      <c r="K185" s="243">
        <v>0</v>
      </c>
      <c r="L185" s="243">
        <v>0</v>
      </c>
      <c r="M185" s="243">
        <v>0</v>
      </c>
      <c r="N185" s="243">
        <v>0</v>
      </c>
      <c r="O185" s="243">
        <f t="shared" si="41"/>
        <v>3</v>
      </c>
      <c r="Q185" s="243">
        <f t="shared" si="51"/>
        <v>-3</v>
      </c>
      <c r="R185" s="243">
        <f t="shared" si="48"/>
        <v>0</v>
      </c>
      <c r="T185" s="243"/>
      <c r="U185" s="243">
        <f t="shared" si="43"/>
        <v>0</v>
      </c>
      <c r="W185" s="243">
        <f t="shared" si="52"/>
        <v>0</v>
      </c>
      <c r="X185" s="243">
        <f t="shared" si="49"/>
        <v>0</v>
      </c>
      <c r="Z185" s="243"/>
      <c r="AA185" s="243">
        <f t="shared" si="44"/>
        <v>3</v>
      </c>
      <c r="AC185" s="243">
        <f t="shared" si="53"/>
        <v>-3</v>
      </c>
      <c r="AD185" s="243">
        <f t="shared" si="50"/>
        <v>0</v>
      </c>
      <c r="AF185" s="243">
        <f t="shared" si="42"/>
        <v>0</v>
      </c>
    </row>
    <row r="186" spans="1:32">
      <c r="B186" t="s">
        <v>1271</v>
      </c>
      <c r="C186" s="243">
        <v>0</v>
      </c>
      <c r="D186" s="243">
        <v>0</v>
      </c>
      <c r="E186" s="243">
        <v>0</v>
      </c>
      <c r="F186" s="243">
        <v>0</v>
      </c>
      <c r="G186" s="243">
        <v>0</v>
      </c>
      <c r="H186" s="243">
        <v>5</v>
      </c>
      <c r="I186" s="243">
        <v>0</v>
      </c>
      <c r="J186" s="243">
        <v>0</v>
      </c>
      <c r="K186" s="243">
        <v>0</v>
      </c>
      <c r="L186" s="243">
        <v>0</v>
      </c>
      <c r="M186" s="243">
        <v>0</v>
      </c>
      <c r="N186" s="243">
        <v>0</v>
      </c>
      <c r="O186" s="243">
        <f t="shared" si="41"/>
        <v>5</v>
      </c>
      <c r="Q186" s="243">
        <f t="shared" si="51"/>
        <v>-5</v>
      </c>
      <c r="R186" s="243">
        <f t="shared" si="48"/>
        <v>0</v>
      </c>
      <c r="T186" s="243"/>
      <c r="U186" s="243">
        <f t="shared" si="43"/>
        <v>0</v>
      </c>
      <c r="W186" s="243">
        <f t="shared" si="52"/>
        <v>0</v>
      </c>
      <c r="X186" s="243">
        <f t="shared" si="49"/>
        <v>0</v>
      </c>
      <c r="Z186" s="243"/>
      <c r="AA186" s="243">
        <f t="shared" si="44"/>
        <v>5</v>
      </c>
      <c r="AC186" s="243">
        <f t="shared" si="53"/>
        <v>-5</v>
      </c>
      <c r="AD186" s="243">
        <f t="shared" si="50"/>
        <v>0</v>
      </c>
      <c r="AF186" s="243">
        <f t="shared" si="42"/>
        <v>0</v>
      </c>
    </row>
    <row r="187" spans="1:32">
      <c r="A187" t="s">
        <v>1327</v>
      </c>
      <c r="B187" t="s">
        <v>1268</v>
      </c>
      <c r="C187" s="243">
        <v>0</v>
      </c>
      <c r="D187" s="243">
        <v>0</v>
      </c>
      <c r="E187" s="243">
        <v>0</v>
      </c>
      <c r="F187" s="243">
        <v>0</v>
      </c>
      <c r="G187" s="243">
        <v>0</v>
      </c>
      <c r="H187" s="243">
        <v>1</v>
      </c>
      <c r="I187" s="243">
        <v>0</v>
      </c>
      <c r="J187" s="243">
        <v>0</v>
      </c>
      <c r="K187" s="243">
        <v>0</v>
      </c>
      <c r="L187" s="243">
        <v>0</v>
      </c>
      <c r="M187" s="243">
        <v>0</v>
      </c>
      <c r="N187" s="243">
        <v>0</v>
      </c>
      <c r="O187" s="243">
        <f t="shared" si="41"/>
        <v>1</v>
      </c>
      <c r="Q187" s="243">
        <f t="shared" si="51"/>
        <v>-1</v>
      </c>
      <c r="R187" s="243">
        <f t="shared" si="48"/>
        <v>0</v>
      </c>
      <c r="T187" s="243"/>
      <c r="U187" s="243">
        <f t="shared" si="43"/>
        <v>0</v>
      </c>
      <c r="W187" s="243">
        <f t="shared" si="52"/>
        <v>0</v>
      </c>
      <c r="X187" s="243">
        <f t="shared" si="49"/>
        <v>0</v>
      </c>
      <c r="Z187" s="243"/>
      <c r="AA187" s="243">
        <f t="shared" si="44"/>
        <v>1</v>
      </c>
      <c r="AC187" s="243">
        <f t="shared" si="53"/>
        <v>-1</v>
      </c>
      <c r="AD187" s="243">
        <f t="shared" si="50"/>
        <v>0</v>
      </c>
      <c r="AF187" s="243">
        <f t="shared" si="42"/>
        <v>0</v>
      </c>
    </row>
    <row r="188" spans="1:32">
      <c r="B188" t="s">
        <v>1270</v>
      </c>
      <c r="C188" s="243">
        <v>0</v>
      </c>
      <c r="D188" s="243">
        <v>0</v>
      </c>
      <c r="E188" s="243">
        <v>0</v>
      </c>
      <c r="F188" s="243">
        <v>0</v>
      </c>
      <c r="G188" s="243">
        <v>0</v>
      </c>
      <c r="H188" s="243">
        <v>0</v>
      </c>
      <c r="I188" s="243">
        <v>0</v>
      </c>
      <c r="J188" s="243">
        <v>0</v>
      </c>
      <c r="K188" s="243">
        <v>0</v>
      </c>
      <c r="L188" s="243">
        <v>0</v>
      </c>
      <c r="M188" s="243">
        <v>0</v>
      </c>
      <c r="N188" s="243">
        <v>0</v>
      </c>
      <c r="O188" s="243">
        <f t="shared" si="41"/>
        <v>0</v>
      </c>
      <c r="Q188" s="243">
        <f t="shared" si="51"/>
        <v>0</v>
      </c>
      <c r="R188" s="243">
        <f t="shared" si="48"/>
        <v>0</v>
      </c>
      <c r="T188" s="243"/>
      <c r="U188" s="243">
        <f t="shared" si="43"/>
        <v>0</v>
      </c>
      <c r="W188" s="243">
        <f t="shared" si="52"/>
        <v>0</v>
      </c>
      <c r="X188" s="243">
        <f t="shared" si="49"/>
        <v>0</v>
      </c>
      <c r="Z188" s="243"/>
      <c r="AA188" s="243">
        <f t="shared" si="44"/>
        <v>0</v>
      </c>
      <c r="AC188" s="243">
        <f t="shared" si="53"/>
        <v>0</v>
      </c>
      <c r="AD188" s="243">
        <f t="shared" si="50"/>
        <v>0</v>
      </c>
      <c r="AF188" s="243">
        <f t="shared" si="42"/>
        <v>0</v>
      </c>
    </row>
    <row r="189" spans="1:32">
      <c r="B189" t="s">
        <v>1271</v>
      </c>
      <c r="C189" s="243">
        <v>0</v>
      </c>
      <c r="D189" s="243">
        <v>0</v>
      </c>
      <c r="E189" s="243">
        <v>0</v>
      </c>
      <c r="F189" s="243">
        <v>0</v>
      </c>
      <c r="G189" s="243">
        <v>0</v>
      </c>
      <c r="H189" s="243">
        <v>0</v>
      </c>
      <c r="I189" s="243">
        <v>0</v>
      </c>
      <c r="J189" s="243">
        <v>0</v>
      </c>
      <c r="K189" s="243">
        <v>0</v>
      </c>
      <c r="L189" s="243">
        <v>0</v>
      </c>
      <c r="M189" s="243">
        <v>0</v>
      </c>
      <c r="N189" s="243">
        <v>0</v>
      </c>
      <c r="O189" s="243">
        <f t="shared" si="41"/>
        <v>0</v>
      </c>
      <c r="Q189" s="243">
        <f t="shared" si="51"/>
        <v>0</v>
      </c>
      <c r="R189" s="243">
        <f t="shared" si="48"/>
        <v>0</v>
      </c>
      <c r="T189" s="243"/>
      <c r="U189" s="243">
        <f t="shared" si="43"/>
        <v>0</v>
      </c>
      <c r="W189" s="243">
        <f t="shared" si="52"/>
        <v>0</v>
      </c>
      <c r="X189" s="243">
        <f t="shared" si="49"/>
        <v>0</v>
      </c>
      <c r="Z189" s="243"/>
      <c r="AA189" s="243">
        <f t="shared" si="44"/>
        <v>0</v>
      </c>
      <c r="AC189" s="243">
        <f t="shared" si="53"/>
        <v>0</v>
      </c>
      <c r="AD189" s="243">
        <f t="shared" si="50"/>
        <v>0</v>
      </c>
      <c r="AF189" s="243">
        <f t="shared" si="42"/>
        <v>0</v>
      </c>
    </row>
    <row r="190" spans="1:32">
      <c r="A190" s="459" t="s">
        <v>1328</v>
      </c>
      <c r="B190" t="s">
        <v>1268</v>
      </c>
      <c r="C190" s="243">
        <v>0</v>
      </c>
      <c r="D190" s="243">
        <v>0</v>
      </c>
      <c r="E190" s="243">
        <v>0</v>
      </c>
      <c r="F190" s="243">
        <v>0</v>
      </c>
      <c r="G190" s="243">
        <v>0</v>
      </c>
      <c r="H190" s="243">
        <v>419</v>
      </c>
      <c r="I190" s="243">
        <v>0</v>
      </c>
      <c r="J190" s="243">
        <v>0</v>
      </c>
      <c r="K190" s="243">
        <v>0</v>
      </c>
      <c r="L190" s="243">
        <v>0</v>
      </c>
      <c r="M190" s="243">
        <v>0</v>
      </c>
      <c r="N190" s="243">
        <v>0</v>
      </c>
      <c r="O190" s="243">
        <f>SUM(C190:N190)</f>
        <v>419</v>
      </c>
      <c r="R190" s="243">
        <f>+O190+Q190</f>
        <v>419</v>
      </c>
      <c r="T190" s="243"/>
      <c r="U190" s="243">
        <f t="shared" si="43"/>
        <v>0</v>
      </c>
      <c r="X190" s="243">
        <f>+U190+W190</f>
        <v>0</v>
      </c>
      <c r="Z190" s="243"/>
      <c r="AA190" s="243">
        <f t="shared" si="44"/>
        <v>419</v>
      </c>
      <c r="AD190" s="243">
        <f>+AA190+AC190</f>
        <v>419</v>
      </c>
      <c r="AF190" s="243">
        <f t="shared" si="42"/>
        <v>0</v>
      </c>
    </row>
    <row r="191" spans="1:32">
      <c r="B191" t="s">
        <v>1270</v>
      </c>
      <c r="C191" s="243">
        <v>0</v>
      </c>
      <c r="D191" s="243">
        <v>0</v>
      </c>
      <c r="E191" s="243">
        <v>0</v>
      </c>
      <c r="F191" s="243">
        <v>0</v>
      </c>
      <c r="G191" s="243">
        <v>0</v>
      </c>
      <c r="H191" s="243">
        <v>0</v>
      </c>
      <c r="I191" s="243">
        <v>0</v>
      </c>
      <c r="J191" s="243">
        <v>0</v>
      </c>
      <c r="K191" s="243">
        <v>0</v>
      </c>
      <c r="L191" s="243">
        <v>0</v>
      </c>
      <c r="M191" s="243">
        <v>0</v>
      </c>
      <c r="N191" s="243">
        <v>0</v>
      </c>
      <c r="O191" s="243">
        <f>SUM(C191:N191)</f>
        <v>0</v>
      </c>
      <c r="R191" s="243">
        <f>+O191+Q191</f>
        <v>0</v>
      </c>
      <c r="T191" s="243"/>
      <c r="U191" s="243">
        <f t="shared" si="43"/>
        <v>0</v>
      </c>
      <c r="X191" s="243">
        <f>+U191+W191</f>
        <v>0</v>
      </c>
      <c r="Z191" s="243"/>
      <c r="AA191" s="243">
        <f t="shared" si="44"/>
        <v>0</v>
      </c>
      <c r="AD191" s="243">
        <f>+AA191+AC191</f>
        <v>0</v>
      </c>
      <c r="AF191" s="243">
        <f t="shared" si="42"/>
        <v>0</v>
      </c>
    </row>
    <row r="192" spans="1:32">
      <c r="B192" t="s">
        <v>1271</v>
      </c>
      <c r="C192" s="243">
        <v>0</v>
      </c>
      <c r="D192" s="243">
        <v>0</v>
      </c>
      <c r="E192" s="243">
        <v>0</v>
      </c>
      <c r="F192" s="243">
        <v>0</v>
      </c>
      <c r="G192" s="243">
        <v>0</v>
      </c>
      <c r="H192" s="243">
        <v>0</v>
      </c>
      <c r="I192" s="243">
        <v>0</v>
      </c>
      <c r="J192" s="243">
        <v>0</v>
      </c>
      <c r="K192" s="243">
        <v>0</v>
      </c>
      <c r="L192" s="243">
        <v>0</v>
      </c>
      <c r="M192" s="243">
        <v>0</v>
      </c>
      <c r="N192" s="243">
        <v>0</v>
      </c>
      <c r="O192" s="243">
        <f>SUM(C192:N192)</f>
        <v>0</v>
      </c>
      <c r="R192" s="243">
        <f>+O192+Q192</f>
        <v>0</v>
      </c>
      <c r="T192" s="243"/>
      <c r="U192" s="243">
        <f t="shared" si="43"/>
        <v>0</v>
      </c>
      <c r="X192" s="243">
        <f>+U192+W192</f>
        <v>0</v>
      </c>
      <c r="Z192" s="243"/>
      <c r="AA192" s="243">
        <f t="shared" si="44"/>
        <v>0</v>
      </c>
      <c r="AD192" s="243">
        <f>+AA192+AC192</f>
        <v>0</v>
      </c>
      <c r="AF192" s="243">
        <f t="shared" si="42"/>
        <v>0</v>
      </c>
    </row>
    <row r="193" spans="1:32">
      <c r="A193" t="s">
        <v>1329</v>
      </c>
      <c r="B193" t="s">
        <v>1268</v>
      </c>
      <c r="C193" s="243">
        <v>0</v>
      </c>
      <c r="D193" s="243">
        <v>0</v>
      </c>
      <c r="E193" s="243">
        <v>0</v>
      </c>
      <c r="F193" s="243">
        <v>0</v>
      </c>
      <c r="G193" s="243">
        <v>0</v>
      </c>
      <c r="H193" s="243">
        <v>16</v>
      </c>
      <c r="I193" s="243">
        <v>0</v>
      </c>
      <c r="J193" s="243">
        <v>0</v>
      </c>
      <c r="K193" s="243">
        <v>0</v>
      </c>
      <c r="L193" s="243">
        <v>0</v>
      </c>
      <c r="M193" s="243">
        <v>0</v>
      </c>
      <c r="N193" s="243">
        <v>0</v>
      </c>
      <c r="O193" s="243">
        <f t="shared" si="41"/>
        <v>16</v>
      </c>
      <c r="Q193" s="243">
        <f t="shared" ref="Q193:Q198" si="54">-O193</f>
        <v>-16</v>
      </c>
      <c r="R193" s="243">
        <f t="shared" si="48"/>
        <v>0</v>
      </c>
      <c r="T193" s="243"/>
      <c r="U193" s="243">
        <f t="shared" si="43"/>
        <v>0</v>
      </c>
      <c r="W193" s="243">
        <f t="shared" ref="W193:W198" si="55">-U193</f>
        <v>0</v>
      </c>
      <c r="X193" s="243">
        <f t="shared" si="49"/>
        <v>0</v>
      </c>
      <c r="Z193" s="243"/>
      <c r="AA193" s="243">
        <f t="shared" si="44"/>
        <v>16</v>
      </c>
      <c r="AC193" s="243">
        <f t="shared" ref="AC193:AC198" si="56">-AA193</f>
        <v>-16</v>
      </c>
      <c r="AD193" s="243">
        <f t="shared" si="50"/>
        <v>0</v>
      </c>
      <c r="AF193" s="243">
        <f t="shared" si="42"/>
        <v>0</v>
      </c>
    </row>
    <row r="194" spans="1:32">
      <c r="B194" t="s">
        <v>1270</v>
      </c>
      <c r="C194" s="243">
        <v>0</v>
      </c>
      <c r="D194" s="243">
        <v>0</v>
      </c>
      <c r="E194" s="243">
        <v>0</v>
      </c>
      <c r="F194" s="243">
        <v>0</v>
      </c>
      <c r="G194" s="243">
        <v>0</v>
      </c>
      <c r="H194" s="243">
        <v>0</v>
      </c>
      <c r="I194" s="243">
        <v>0</v>
      </c>
      <c r="J194" s="243">
        <v>0</v>
      </c>
      <c r="K194" s="243">
        <v>0</v>
      </c>
      <c r="L194" s="243">
        <v>0</v>
      </c>
      <c r="M194" s="243">
        <v>0</v>
      </c>
      <c r="N194" s="243">
        <v>0</v>
      </c>
      <c r="O194" s="243">
        <f t="shared" si="41"/>
        <v>0</v>
      </c>
      <c r="Q194" s="243">
        <f t="shared" si="54"/>
        <v>0</v>
      </c>
      <c r="R194" s="243">
        <f t="shared" si="48"/>
        <v>0</v>
      </c>
      <c r="T194" s="243"/>
      <c r="U194" s="243">
        <f t="shared" si="43"/>
        <v>0</v>
      </c>
      <c r="W194" s="243">
        <f t="shared" si="55"/>
        <v>0</v>
      </c>
      <c r="X194" s="243">
        <f t="shared" si="49"/>
        <v>0</v>
      </c>
      <c r="Z194" s="243"/>
      <c r="AA194" s="243">
        <f t="shared" si="44"/>
        <v>0</v>
      </c>
      <c r="AC194" s="243">
        <f t="shared" si="56"/>
        <v>0</v>
      </c>
      <c r="AD194" s="243">
        <f t="shared" si="50"/>
        <v>0</v>
      </c>
      <c r="AF194" s="243">
        <f t="shared" si="42"/>
        <v>0</v>
      </c>
    </row>
    <row r="195" spans="1:32">
      <c r="B195" t="s">
        <v>1271</v>
      </c>
      <c r="C195" s="243">
        <v>0</v>
      </c>
      <c r="D195" s="243">
        <v>0</v>
      </c>
      <c r="E195" s="243">
        <v>0</v>
      </c>
      <c r="F195" s="243">
        <v>0</v>
      </c>
      <c r="G195" s="243">
        <v>0</v>
      </c>
      <c r="H195" s="243">
        <v>0</v>
      </c>
      <c r="I195" s="243">
        <v>0</v>
      </c>
      <c r="J195" s="243">
        <v>0</v>
      </c>
      <c r="K195" s="243">
        <v>0</v>
      </c>
      <c r="L195" s="243">
        <v>0</v>
      </c>
      <c r="M195" s="243">
        <v>0</v>
      </c>
      <c r="N195" s="243">
        <v>0</v>
      </c>
      <c r="O195" s="243">
        <f t="shared" si="41"/>
        <v>0</v>
      </c>
      <c r="Q195" s="243">
        <f t="shared" si="54"/>
        <v>0</v>
      </c>
      <c r="R195" s="243">
        <f t="shared" si="48"/>
        <v>0</v>
      </c>
      <c r="T195" s="243"/>
      <c r="U195" s="243">
        <f t="shared" si="43"/>
        <v>0</v>
      </c>
      <c r="W195" s="243">
        <f t="shared" si="55"/>
        <v>0</v>
      </c>
      <c r="X195" s="243">
        <f t="shared" si="49"/>
        <v>0</v>
      </c>
      <c r="Z195" s="243"/>
      <c r="AA195" s="243">
        <f t="shared" si="44"/>
        <v>0</v>
      </c>
      <c r="AC195" s="243">
        <f t="shared" si="56"/>
        <v>0</v>
      </c>
      <c r="AD195" s="243">
        <f t="shared" si="50"/>
        <v>0</v>
      </c>
      <c r="AF195" s="243">
        <f t="shared" si="42"/>
        <v>0</v>
      </c>
    </row>
    <row r="196" spans="1:32">
      <c r="A196" t="s">
        <v>1330</v>
      </c>
      <c r="B196" t="s">
        <v>1268</v>
      </c>
      <c r="C196" s="243">
        <v>0</v>
      </c>
      <c r="D196" s="243">
        <v>0</v>
      </c>
      <c r="E196" s="243">
        <v>0</v>
      </c>
      <c r="F196" s="243">
        <v>0</v>
      </c>
      <c r="G196" s="243">
        <v>0</v>
      </c>
      <c r="H196" s="243">
        <v>8</v>
      </c>
      <c r="I196" s="243">
        <v>0</v>
      </c>
      <c r="J196" s="243">
        <v>0</v>
      </c>
      <c r="K196" s="243">
        <v>0</v>
      </c>
      <c r="L196" s="243">
        <v>0</v>
      </c>
      <c r="M196" s="243">
        <v>0</v>
      </c>
      <c r="N196" s="243">
        <v>0</v>
      </c>
      <c r="O196" s="243">
        <f t="shared" si="41"/>
        <v>8</v>
      </c>
      <c r="Q196" s="243">
        <f t="shared" si="54"/>
        <v>-8</v>
      </c>
      <c r="R196" s="243">
        <f t="shared" si="48"/>
        <v>0</v>
      </c>
      <c r="T196" s="243"/>
      <c r="U196" s="243">
        <f t="shared" si="43"/>
        <v>0</v>
      </c>
      <c r="W196" s="243">
        <f t="shared" si="55"/>
        <v>0</v>
      </c>
      <c r="X196" s="243">
        <f t="shared" si="49"/>
        <v>0</v>
      </c>
      <c r="Z196" s="243"/>
      <c r="AA196" s="243">
        <f t="shared" si="44"/>
        <v>8</v>
      </c>
      <c r="AC196" s="243">
        <f t="shared" si="56"/>
        <v>-8</v>
      </c>
      <c r="AD196" s="243">
        <f t="shared" si="50"/>
        <v>0</v>
      </c>
      <c r="AF196" s="243">
        <f t="shared" si="42"/>
        <v>0</v>
      </c>
    </row>
    <row r="197" spans="1:32">
      <c r="B197" t="s">
        <v>1270</v>
      </c>
      <c r="C197" s="243">
        <v>0</v>
      </c>
      <c r="D197" s="243">
        <v>0</v>
      </c>
      <c r="E197" s="243">
        <v>0</v>
      </c>
      <c r="F197" s="243">
        <v>0</v>
      </c>
      <c r="G197" s="243">
        <v>0</v>
      </c>
      <c r="H197" s="243">
        <v>0</v>
      </c>
      <c r="I197" s="243">
        <v>0</v>
      </c>
      <c r="J197" s="243">
        <v>0</v>
      </c>
      <c r="K197" s="243">
        <v>0</v>
      </c>
      <c r="L197" s="243">
        <v>0</v>
      </c>
      <c r="M197" s="243">
        <v>0</v>
      </c>
      <c r="N197" s="243">
        <v>0</v>
      </c>
      <c r="O197" s="243">
        <f t="shared" si="41"/>
        <v>0</v>
      </c>
      <c r="Q197" s="243">
        <f t="shared" si="54"/>
        <v>0</v>
      </c>
      <c r="R197" s="243">
        <f t="shared" si="48"/>
        <v>0</v>
      </c>
      <c r="T197" s="243"/>
      <c r="U197" s="243">
        <f t="shared" si="43"/>
        <v>0</v>
      </c>
      <c r="W197" s="243">
        <f t="shared" si="55"/>
        <v>0</v>
      </c>
      <c r="X197" s="243">
        <f t="shared" si="49"/>
        <v>0</v>
      </c>
      <c r="Z197" s="243"/>
      <c r="AA197" s="243">
        <f t="shared" si="44"/>
        <v>0</v>
      </c>
      <c r="AC197" s="243">
        <f t="shared" si="56"/>
        <v>0</v>
      </c>
      <c r="AD197" s="243">
        <f t="shared" si="50"/>
        <v>0</v>
      </c>
      <c r="AF197" s="243">
        <f t="shared" si="42"/>
        <v>0</v>
      </c>
    </row>
    <row r="198" spans="1:32">
      <c r="B198" t="s">
        <v>1271</v>
      </c>
      <c r="C198" s="243">
        <v>0</v>
      </c>
      <c r="D198" s="243">
        <v>0</v>
      </c>
      <c r="E198" s="243">
        <v>0</v>
      </c>
      <c r="F198" s="243">
        <v>0</v>
      </c>
      <c r="G198" s="243">
        <v>0</v>
      </c>
      <c r="H198" s="243">
        <v>1</v>
      </c>
      <c r="I198" s="243">
        <v>0</v>
      </c>
      <c r="J198" s="243">
        <v>0</v>
      </c>
      <c r="K198" s="243">
        <v>0</v>
      </c>
      <c r="L198" s="243">
        <v>0</v>
      </c>
      <c r="M198" s="243">
        <v>0</v>
      </c>
      <c r="N198" s="243">
        <v>0</v>
      </c>
      <c r="O198" s="243">
        <f t="shared" si="41"/>
        <v>1</v>
      </c>
      <c r="Q198" s="243">
        <f t="shared" si="54"/>
        <v>-1</v>
      </c>
      <c r="R198" s="243">
        <f t="shared" si="48"/>
        <v>0</v>
      </c>
      <c r="T198" s="243"/>
      <c r="U198" s="243">
        <f t="shared" si="43"/>
        <v>0</v>
      </c>
      <c r="W198" s="243">
        <f t="shared" si="55"/>
        <v>0</v>
      </c>
      <c r="X198" s="243">
        <f t="shared" si="49"/>
        <v>0</v>
      </c>
      <c r="Z198" s="243"/>
      <c r="AA198" s="243">
        <f t="shared" si="44"/>
        <v>1</v>
      </c>
      <c r="AC198" s="243">
        <f t="shared" si="56"/>
        <v>-1</v>
      </c>
      <c r="AD198" s="243">
        <f t="shared" si="50"/>
        <v>0</v>
      </c>
      <c r="AF198" s="243">
        <f t="shared" si="42"/>
        <v>0</v>
      </c>
    </row>
    <row r="199" spans="1:32">
      <c r="A199" t="s">
        <v>1331</v>
      </c>
      <c r="B199" t="s">
        <v>1268</v>
      </c>
      <c r="C199" s="243">
        <v>0</v>
      </c>
      <c r="D199" s="243">
        <v>0</v>
      </c>
      <c r="E199" s="243">
        <v>0</v>
      </c>
      <c r="F199" s="243">
        <v>0</v>
      </c>
      <c r="G199" s="243">
        <v>0</v>
      </c>
      <c r="H199" s="243">
        <v>0</v>
      </c>
      <c r="I199" s="243">
        <v>0</v>
      </c>
      <c r="J199" s="243">
        <v>0</v>
      </c>
      <c r="K199" s="243">
        <v>0</v>
      </c>
      <c r="L199" s="243">
        <v>0</v>
      </c>
      <c r="M199" s="243">
        <v>0</v>
      </c>
      <c r="N199" s="243">
        <v>0</v>
      </c>
      <c r="O199" s="243">
        <f t="shared" ref="O199:O271" si="57">SUM(C199:N199)</f>
        <v>0</v>
      </c>
      <c r="R199" s="243">
        <f t="shared" si="48"/>
        <v>0</v>
      </c>
      <c r="T199" s="243"/>
      <c r="U199" s="243">
        <f t="shared" si="43"/>
        <v>0</v>
      </c>
      <c r="X199" s="243">
        <f t="shared" si="49"/>
        <v>0</v>
      </c>
      <c r="Z199" s="243"/>
      <c r="AA199" s="243">
        <f t="shared" si="44"/>
        <v>0</v>
      </c>
      <c r="AD199" s="243">
        <f t="shared" si="50"/>
        <v>0</v>
      </c>
      <c r="AF199" s="243">
        <f t="shared" ref="AF199:AF263" si="58">IF(B199="CHE",X199/12,0)</f>
        <v>0</v>
      </c>
    </row>
    <row r="200" spans="1:32">
      <c r="B200" t="s">
        <v>1270</v>
      </c>
      <c r="C200" s="243">
        <v>0</v>
      </c>
      <c r="D200" s="243">
        <v>0</v>
      </c>
      <c r="E200" s="243">
        <v>0</v>
      </c>
      <c r="F200" s="243">
        <v>0</v>
      </c>
      <c r="G200" s="243">
        <v>0</v>
      </c>
      <c r="H200" s="243">
        <v>0</v>
      </c>
      <c r="I200" s="243">
        <v>0</v>
      </c>
      <c r="J200" s="243">
        <v>0</v>
      </c>
      <c r="K200" s="243">
        <v>0</v>
      </c>
      <c r="L200" s="243">
        <v>0</v>
      </c>
      <c r="M200" s="243">
        <v>0</v>
      </c>
      <c r="N200" s="243">
        <v>0</v>
      </c>
      <c r="O200" s="243">
        <f t="shared" si="57"/>
        <v>0</v>
      </c>
      <c r="R200" s="243">
        <f t="shared" si="48"/>
        <v>0</v>
      </c>
      <c r="T200" s="243"/>
      <c r="U200" s="243">
        <f t="shared" si="43"/>
        <v>0</v>
      </c>
      <c r="X200" s="243">
        <f t="shared" si="49"/>
        <v>0</v>
      </c>
      <c r="Z200" s="243"/>
      <c r="AA200" s="243">
        <f t="shared" si="44"/>
        <v>0</v>
      </c>
      <c r="AD200" s="243">
        <f t="shared" si="50"/>
        <v>0</v>
      </c>
      <c r="AF200" s="243">
        <f t="shared" si="58"/>
        <v>0</v>
      </c>
    </row>
    <row r="201" spans="1:32">
      <c r="B201" t="s">
        <v>1271</v>
      </c>
      <c r="C201" s="243">
        <v>0</v>
      </c>
      <c r="D201" s="243">
        <v>0</v>
      </c>
      <c r="E201" s="243">
        <v>0</v>
      </c>
      <c r="F201" s="243">
        <v>0</v>
      </c>
      <c r="G201" s="243">
        <v>0</v>
      </c>
      <c r="H201" s="243">
        <v>0</v>
      </c>
      <c r="I201" s="243">
        <v>0</v>
      </c>
      <c r="J201" s="243">
        <v>0</v>
      </c>
      <c r="K201" s="243">
        <v>0</v>
      </c>
      <c r="L201" s="243">
        <v>0</v>
      </c>
      <c r="M201" s="243">
        <v>0</v>
      </c>
      <c r="N201" s="243">
        <v>0</v>
      </c>
      <c r="O201" s="243">
        <f t="shared" si="57"/>
        <v>0</v>
      </c>
      <c r="R201" s="243">
        <f t="shared" si="48"/>
        <v>0</v>
      </c>
      <c r="T201" s="243"/>
      <c r="U201" s="243">
        <f t="shared" si="43"/>
        <v>0</v>
      </c>
      <c r="X201" s="243">
        <f t="shared" si="49"/>
        <v>0</v>
      </c>
      <c r="Z201" s="243"/>
      <c r="AA201" s="243">
        <f t="shared" si="44"/>
        <v>0</v>
      </c>
      <c r="AD201" s="243">
        <f t="shared" si="50"/>
        <v>0</v>
      </c>
      <c r="AF201" s="243">
        <f t="shared" si="58"/>
        <v>0</v>
      </c>
    </row>
    <row r="202" spans="1:32">
      <c r="A202" t="s">
        <v>1332</v>
      </c>
      <c r="B202" t="s">
        <v>1268</v>
      </c>
      <c r="C202" s="243">
        <v>0</v>
      </c>
      <c r="D202" s="243">
        <v>0</v>
      </c>
      <c r="E202" s="243">
        <v>0</v>
      </c>
      <c r="F202" s="243">
        <v>0</v>
      </c>
      <c r="G202" s="243">
        <v>0</v>
      </c>
      <c r="H202" s="243">
        <v>73</v>
      </c>
      <c r="I202" s="243">
        <v>0</v>
      </c>
      <c r="J202" s="243">
        <v>0</v>
      </c>
      <c r="K202" s="243">
        <v>0</v>
      </c>
      <c r="L202" s="243">
        <v>0</v>
      </c>
      <c r="M202" s="243">
        <v>0</v>
      </c>
      <c r="N202" s="243">
        <v>0</v>
      </c>
      <c r="O202" s="243">
        <f t="shared" si="57"/>
        <v>73</v>
      </c>
      <c r="R202" s="243">
        <f t="shared" si="48"/>
        <v>73</v>
      </c>
      <c r="T202" s="243"/>
      <c r="U202" s="243">
        <f t="shared" si="43"/>
        <v>0</v>
      </c>
      <c r="X202" s="243">
        <f t="shared" si="49"/>
        <v>0</v>
      </c>
      <c r="Z202" s="243"/>
      <c r="AA202" s="243">
        <f t="shared" si="44"/>
        <v>73</v>
      </c>
      <c r="AD202" s="243">
        <f t="shared" si="50"/>
        <v>73</v>
      </c>
      <c r="AF202" s="243">
        <f t="shared" si="58"/>
        <v>0</v>
      </c>
    </row>
    <row r="203" spans="1:32">
      <c r="B203" t="s">
        <v>1270</v>
      </c>
      <c r="C203" s="243">
        <v>0</v>
      </c>
      <c r="D203" s="243">
        <v>0</v>
      </c>
      <c r="E203" s="243">
        <v>0</v>
      </c>
      <c r="F203" s="243">
        <v>0</v>
      </c>
      <c r="G203" s="243">
        <v>0</v>
      </c>
      <c r="H203" s="243">
        <v>0</v>
      </c>
      <c r="I203" s="243">
        <v>0</v>
      </c>
      <c r="J203" s="243">
        <v>0</v>
      </c>
      <c r="K203" s="243">
        <v>0</v>
      </c>
      <c r="L203" s="243">
        <v>0</v>
      </c>
      <c r="M203" s="243">
        <v>0</v>
      </c>
      <c r="N203" s="243">
        <v>0</v>
      </c>
      <c r="O203" s="243">
        <f t="shared" si="57"/>
        <v>0</v>
      </c>
      <c r="R203" s="243">
        <f t="shared" si="48"/>
        <v>0</v>
      </c>
      <c r="T203" s="243"/>
      <c r="U203" s="243">
        <f t="shared" ref="U203:U266" si="59">+D203</f>
        <v>0</v>
      </c>
      <c r="X203" s="243">
        <f t="shared" si="49"/>
        <v>0</v>
      </c>
      <c r="Z203" s="243"/>
      <c r="AA203" s="243">
        <f t="shared" ref="AA203:AA266" si="60">+H203</f>
        <v>0</v>
      </c>
      <c r="AD203" s="243">
        <f t="shared" si="50"/>
        <v>0</v>
      </c>
      <c r="AF203" s="243">
        <f t="shared" si="58"/>
        <v>0</v>
      </c>
    </row>
    <row r="204" spans="1:32">
      <c r="B204" t="s">
        <v>1271</v>
      </c>
      <c r="C204" s="243">
        <v>0</v>
      </c>
      <c r="D204" s="243">
        <v>0</v>
      </c>
      <c r="E204" s="243">
        <v>0</v>
      </c>
      <c r="F204" s="243">
        <v>0</v>
      </c>
      <c r="G204" s="243">
        <v>0</v>
      </c>
      <c r="H204" s="243">
        <v>0</v>
      </c>
      <c r="I204" s="243">
        <v>0</v>
      </c>
      <c r="J204" s="243">
        <v>0</v>
      </c>
      <c r="K204" s="243">
        <v>0</v>
      </c>
      <c r="L204" s="243">
        <v>0</v>
      </c>
      <c r="M204" s="243">
        <v>0</v>
      </c>
      <c r="N204" s="243">
        <v>0</v>
      </c>
      <c r="O204" s="243">
        <f t="shared" si="57"/>
        <v>0</v>
      </c>
      <c r="R204" s="243">
        <f t="shared" si="48"/>
        <v>0</v>
      </c>
      <c r="T204" s="243"/>
      <c r="U204" s="243">
        <f t="shared" si="59"/>
        <v>0</v>
      </c>
      <c r="X204" s="243">
        <f t="shared" si="49"/>
        <v>0</v>
      </c>
      <c r="Z204" s="243"/>
      <c r="AA204" s="243">
        <f t="shared" si="60"/>
        <v>0</v>
      </c>
      <c r="AD204" s="243">
        <f t="shared" si="50"/>
        <v>0</v>
      </c>
      <c r="AF204" s="243">
        <f t="shared" si="58"/>
        <v>0</v>
      </c>
    </row>
    <row r="205" spans="1:32">
      <c r="A205" t="s">
        <v>1333</v>
      </c>
      <c r="B205" t="s">
        <v>1268</v>
      </c>
      <c r="C205" s="243">
        <v>0</v>
      </c>
      <c r="D205" s="243">
        <v>0</v>
      </c>
      <c r="E205" s="243">
        <v>0</v>
      </c>
      <c r="F205" s="243">
        <v>0</v>
      </c>
      <c r="G205" s="243">
        <v>0</v>
      </c>
      <c r="H205" s="243">
        <v>21</v>
      </c>
      <c r="I205" s="243">
        <v>0</v>
      </c>
      <c r="J205" s="243">
        <v>0</v>
      </c>
      <c r="K205" s="243">
        <v>0</v>
      </c>
      <c r="L205" s="243">
        <v>0</v>
      </c>
      <c r="M205" s="243">
        <v>0</v>
      </c>
      <c r="N205" s="243">
        <v>0</v>
      </c>
      <c r="O205" s="243">
        <f t="shared" si="57"/>
        <v>21</v>
      </c>
      <c r="R205" s="243">
        <f t="shared" si="48"/>
        <v>21</v>
      </c>
      <c r="T205" s="243"/>
      <c r="U205" s="243">
        <f t="shared" si="59"/>
        <v>0</v>
      </c>
      <c r="X205" s="243">
        <f t="shared" si="49"/>
        <v>0</v>
      </c>
      <c r="Z205" s="243"/>
      <c r="AA205" s="243">
        <f t="shared" si="60"/>
        <v>21</v>
      </c>
      <c r="AD205" s="243">
        <f t="shared" si="50"/>
        <v>21</v>
      </c>
      <c r="AF205" s="243">
        <f t="shared" si="58"/>
        <v>0</v>
      </c>
    </row>
    <row r="206" spans="1:32">
      <c r="B206" t="s">
        <v>1270</v>
      </c>
      <c r="C206" s="243">
        <v>0</v>
      </c>
      <c r="D206" s="243">
        <v>0</v>
      </c>
      <c r="E206" s="243">
        <v>0</v>
      </c>
      <c r="F206" s="243">
        <v>0</v>
      </c>
      <c r="G206" s="243">
        <v>0</v>
      </c>
      <c r="H206" s="243">
        <v>0</v>
      </c>
      <c r="I206" s="243">
        <v>0</v>
      </c>
      <c r="J206" s="243">
        <v>0</v>
      </c>
      <c r="K206" s="243">
        <v>0</v>
      </c>
      <c r="L206" s="243">
        <v>0</v>
      </c>
      <c r="M206" s="243">
        <v>0</v>
      </c>
      <c r="N206" s="243">
        <v>0</v>
      </c>
      <c r="O206" s="243">
        <f t="shared" si="57"/>
        <v>0</v>
      </c>
      <c r="R206" s="243">
        <f t="shared" si="48"/>
        <v>0</v>
      </c>
      <c r="T206" s="243"/>
      <c r="U206" s="243">
        <f t="shared" si="59"/>
        <v>0</v>
      </c>
      <c r="X206" s="243">
        <f t="shared" si="49"/>
        <v>0</v>
      </c>
      <c r="Z206" s="243"/>
      <c r="AA206" s="243">
        <f t="shared" si="60"/>
        <v>0</v>
      </c>
      <c r="AD206" s="243">
        <f t="shared" si="50"/>
        <v>0</v>
      </c>
      <c r="AF206" s="243">
        <f t="shared" si="58"/>
        <v>0</v>
      </c>
    </row>
    <row r="207" spans="1:32">
      <c r="B207" t="s">
        <v>1271</v>
      </c>
      <c r="C207" s="243">
        <v>0</v>
      </c>
      <c r="D207" s="243">
        <v>0</v>
      </c>
      <c r="E207" s="243">
        <v>0</v>
      </c>
      <c r="F207" s="243">
        <v>0</v>
      </c>
      <c r="G207" s="243">
        <v>0</v>
      </c>
      <c r="H207" s="243">
        <v>0</v>
      </c>
      <c r="I207" s="243">
        <v>0</v>
      </c>
      <c r="J207" s="243">
        <v>0</v>
      </c>
      <c r="K207" s="243">
        <v>0</v>
      </c>
      <c r="L207" s="243">
        <v>0</v>
      </c>
      <c r="M207" s="243">
        <v>0</v>
      </c>
      <c r="N207" s="243">
        <v>0</v>
      </c>
      <c r="O207" s="243">
        <f t="shared" si="57"/>
        <v>0</v>
      </c>
      <c r="R207" s="243">
        <f t="shared" si="48"/>
        <v>0</v>
      </c>
      <c r="T207" s="243"/>
      <c r="U207" s="243">
        <f t="shared" si="59"/>
        <v>0</v>
      </c>
      <c r="X207" s="243">
        <f t="shared" si="49"/>
        <v>0</v>
      </c>
      <c r="Z207" s="243"/>
      <c r="AA207" s="243">
        <f t="shared" si="60"/>
        <v>0</v>
      </c>
      <c r="AD207" s="243">
        <f t="shared" si="50"/>
        <v>0</v>
      </c>
      <c r="AF207" s="243">
        <f t="shared" si="58"/>
        <v>0</v>
      </c>
    </row>
    <row r="208" spans="1:32">
      <c r="A208" t="s">
        <v>1250</v>
      </c>
      <c r="B208" t="s">
        <v>1268</v>
      </c>
      <c r="C208" s="243">
        <v>0</v>
      </c>
      <c r="D208" s="243">
        <v>0</v>
      </c>
      <c r="E208" s="243">
        <v>0</v>
      </c>
      <c r="F208" s="243">
        <v>0</v>
      </c>
      <c r="G208" s="243">
        <v>0</v>
      </c>
      <c r="H208" s="243">
        <v>56</v>
      </c>
      <c r="I208" s="243">
        <v>0</v>
      </c>
      <c r="J208" s="243">
        <v>0</v>
      </c>
      <c r="K208" s="243">
        <v>0</v>
      </c>
      <c r="L208" s="243">
        <v>0</v>
      </c>
      <c r="M208" s="243">
        <v>0</v>
      </c>
      <c r="N208" s="243">
        <v>0</v>
      </c>
      <c r="O208" s="243">
        <f t="shared" si="57"/>
        <v>56</v>
      </c>
      <c r="R208" s="243">
        <f t="shared" si="48"/>
        <v>56</v>
      </c>
      <c r="T208" s="243"/>
      <c r="U208" s="243">
        <f t="shared" si="59"/>
        <v>0</v>
      </c>
      <c r="X208" s="243">
        <f t="shared" si="49"/>
        <v>0</v>
      </c>
      <c r="Z208" s="243"/>
      <c r="AA208" s="243">
        <f t="shared" si="60"/>
        <v>56</v>
      </c>
      <c r="AD208" s="243">
        <f t="shared" si="50"/>
        <v>56</v>
      </c>
      <c r="AF208" s="243">
        <f t="shared" si="58"/>
        <v>0</v>
      </c>
    </row>
    <row r="209" spans="1:32">
      <c r="B209" t="s">
        <v>1270</v>
      </c>
      <c r="C209" s="243">
        <v>0</v>
      </c>
      <c r="D209" s="243">
        <v>0</v>
      </c>
      <c r="E209" s="243">
        <v>0</v>
      </c>
      <c r="F209" s="243">
        <v>0</v>
      </c>
      <c r="G209" s="243">
        <v>0</v>
      </c>
      <c r="H209" s="243">
        <v>0</v>
      </c>
      <c r="I209" s="243">
        <v>0</v>
      </c>
      <c r="J209" s="243">
        <v>0</v>
      </c>
      <c r="K209" s="243">
        <v>0</v>
      </c>
      <c r="L209" s="243">
        <v>0</v>
      </c>
      <c r="M209" s="243">
        <v>0</v>
      </c>
      <c r="N209" s="243">
        <v>0</v>
      </c>
      <c r="O209" s="243">
        <f t="shared" si="57"/>
        <v>0</v>
      </c>
      <c r="R209" s="243">
        <f t="shared" si="48"/>
        <v>0</v>
      </c>
      <c r="T209" s="243"/>
      <c r="U209" s="243">
        <f t="shared" si="59"/>
        <v>0</v>
      </c>
      <c r="X209" s="243">
        <f t="shared" si="49"/>
        <v>0</v>
      </c>
      <c r="Z209" s="243"/>
      <c r="AA209" s="243">
        <f t="shared" si="60"/>
        <v>0</v>
      </c>
      <c r="AD209" s="243">
        <f t="shared" si="50"/>
        <v>0</v>
      </c>
      <c r="AF209" s="243">
        <f t="shared" si="58"/>
        <v>0</v>
      </c>
    </row>
    <row r="210" spans="1:32">
      <c r="B210" t="s">
        <v>1271</v>
      </c>
      <c r="C210" s="243">
        <v>0</v>
      </c>
      <c r="D210" s="243">
        <v>0</v>
      </c>
      <c r="E210" s="243">
        <v>0</v>
      </c>
      <c r="F210" s="243">
        <v>0</v>
      </c>
      <c r="G210" s="243">
        <v>0</v>
      </c>
      <c r="H210" s="243">
        <v>0</v>
      </c>
      <c r="I210" s="243">
        <v>0</v>
      </c>
      <c r="J210" s="243">
        <v>0</v>
      </c>
      <c r="K210" s="243">
        <v>0</v>
      </c>
      <c r="L210" s="243">
        <v>0</v>
      </c>
      <c r="M210" s="243">
        <v>0</v>
      </c>
      <c r="N210" s="243">
        <v>0</v>
      </c>
      <c r="O210" s="243">
        <f t="shared" si="57"/>
        <v>0</v>
      </c>
      <c r="R210" s="243">
        <f t="shared" si="48"/>
        <v>0</v>
      </c>
      <c r="T210" s="243"/>
      <c r="U210" s="243">
        <f t="shared" si="59"/>
        <v>0</v>
      </c>
      <c r="X210" s="243">
        <f t="shared" si="49"/>
        <v>0</v>
      </c>
      <c r="Z210" s="243"/>
      <c r="AA210" s="243">
        <f t="shared" si="60"/>
        <v>0</v>
      </c>
      <c r="AD210" s="243">
        <f t="shared" si="50"/>
        <v>0</v>
      </c>
      <c r="AF210" s="243">
        <f t="shared" si="58"/>
        <v>0</v>
      </c>
    </row>
    <row r="211" spans="1:32">
      <c r="A211" t="s">
        <v>1334</v>
      </c>
      <c r="B211" t="s">
        <v>1268</v>
      </c>
      <c r="C211" s="243">
        <v>0</v>
      </c>
      <c r="D211" s="243">
        <v>0</v>
      </c>
      <c r="E211" s="243">
        <v>0</v>
      </c>
      <c r="F211" s="243">
        <v>0</v>
      </c>
      <c r="G211" s="243">
        <v>0</v>
      </c>
      <c r="H211" s="243">
        <v>1311</v>
      </c>
      <c r="I211" s="243">
        <v>0</v>
      </c>
      <c r="J211" s="243">
        <v>0</v>
      </c>
      <c r="K211" s="243">
        <v>0</v>
      </c>
      <c r="L211" s="243">
        <v>0</v>
      </c>
      <c r="M211" s="243">
        <v>0</v>
      </c>
      <c r="N211" s="243">
        <v>0</v>
      </c>
      <c r="O211" s="243">
        <f t="shared" si="57"/>
        <v>1311</v>
      </c>
      <c r="R211" s="243">
        <f t="shared" ref="R211:R236" si="61">+O211+Q211</f>
        <v>1311</v>
      </c>
      <c r="T211" s="243"/>
      <c r="U211" s="243">
        <f t="shared" si="59"/>
        <v>0</v>
      </c>
      <c r="X211" s="243">
        <f t="shared" ref="X211:X236" si="62">+U211+W211</f>
        <v>0</v>
      </c>
      <c r="Z211" s="243"/>
      <c r="AA211" s="243">
        <f t="shared" si="60"/>
        <v>1311</v>
      </c>
      <c r="AD211" s="243">
        <f t="shared" ref="AD211:AD236" si="63">+AA211+AC211</f>
        <v>1311</v>
      </c>
      <c r="AF211" s="243">
        <f t="shared" si="58"/>
        <v>0</v>
      </c>
    </row>
    <row r="212" spans="1:32">
      <c r="B212" t="s">
        <v>1270</v>
      </c>
      <c r="C212" s="243">
        <v>0</v>
      </c>
      <c r="D212" s="243">
        <v>0</v>
      </c>
      <c r="E212" s="243">
        <v>0</v>
      </c>
      <c r="F212" s="243">
        <v>0</v>
      </c>
      <c r="G212" s="243">
        <v>0</v>
      </c>
      <c r="H212" s="243">
        <v>0</v>
      </c>
      <c r="I212" s="243">
        <v>0</v>
      </c>
      <c r="J212" s="243">
        <v>0</v>
      </c>
      <c r="K212" s="243">
        <v>0</v>
      </c>
      <c r="L212" s="243">
        <v>0</v>
      </c>
      <c r="M212" s="243">
        <v>0</v>
      </c>
      <c r="N212" s="243">
        <v>0</v>
      </c>
      <c r="O212" s="243">
        <f t="shared" si="57"/>
        <v>0</v>
      </c>
      <c r="R212" s="243">
        <f t="shared" si="61"/>
        <v>0</v>
      </c>
      <c r="T212" s="243"/>
      <c r="U212" s="243">
        <f t="shared" si="59"/>
        <v>0</v>
      </c>
      <c r="X212" s="243">
        <f t="shared" si="62"/>
        <v>0</v>
      </c>
      <c r="Z212" s="243"/>
      <c r="AA212" s="243">
        <f t="shared" si="60"/>
        <v>0</v>
      </c>
      <c r="AD212" s="243">
        <f t="shared" si="63"/>
        <v>0</v>
      </c>
      <c r="AF212" s="243">
        <f t="shared" si="58"/>
        <v>0</v>
      </c>
    </row>
    <row r="213" spans="1:32">
      <c r="B213" t="s">
        <v>1271</v>
      </c>
      <c r="C213" s="243">
        <v>0</v>
      </c>
      <c r="D213" s="243">
        <v>0</v>
      </c>
      <c r="E213" s="243">
        <v>0</v>
      </c>
      <c r="F213" s="243">
        <v>0</v>
      </c>
      <c r="G213" s="243">
        <v>0</v>
      </c>
      <c r="H213" s="243">
        <v>0</v>
      </c>
      <c r="I213" s="243">
        <v>0</v>
      </c>
      <c r="J213" s="243">
        <v>0</v>
      </c>
      <c r="K213" s="243">
        <v>0</v>
      </c>
      <c r="L213" s="243">
        <v>0</v>
      </c>
      <c r="M213" s="243">
        <v>0</v>
      </c>
      <c r="N213" s="243">
        <v>0</v>
      </c>
      <c r="O213" s="243">
        <f t="shared" si="57"/>
        <v>0</v>
      </c>
      <c r="R213" s="243">
        <f t="shared" si="61"/>
        <v>0</v>
      </c>
      <c r="T213" s="243"/>
      <c r="U213" s="243">
        <f t="shared" si="59"/>
        <v>0</v>
      </c>
      <c r="X213" s="243">
        <f t="shared" si="62"/>
        <v>0</v>
      </c>
      <c r="Z213" s="243"/>
      <c r="AA213" s="243">
        <f t="shared" si="60"/>
        <v>0</v>
      </c>
      <c r="AD213" s="243">
        <f t="shared" si="63"/>
        <v>0</v>
      </c>
      <c r="AF213" s="243">
        <f t="shared" si="58"/>
        <v>0</v>
      </c>
    </row>
    <row r="214" spans="1:32">
      <c r="A214" t="s">
        <v>1251</v>
      </c>
      <c r="B214" t="s">
        <v>1268</v>
      </c>
      <c r="C214" s="243">
        <v>0</v>
      </c>
      <c r="D214" s="243">
        <v>0</v>
      </c>
      <c r="E214" s="243">
        <v>0</v>
      </c>
      <c r="F214" s="243">
        <v>0</v>
      </c>
      <c r="G214" s="243">
        <v>0</v>
      </c>
      <c r="H214" s="243">
        <v>111</v>
      </c>
      <c r="I214" s="243">
        <v>0</v>
      </c>
      <c r="J214" s="243">
        <v>0</v>
      </c>
      <c r="K214" s="243">
        <v>0</v>
      </c>
      <c r="L214" s="243">
        <v>0</v>
      </c>
      <c r="M214" s="243">
        <v>0</v>
      </c>
      <c r="N214" s="243">
        <v>0</v>
      </c>
      <c r="O214" s="243">
        <f t="shared" si="57"/>
        <v>111</v>
      </c>
      <c r="R214" s="243">
        <f t="shared" si="61"/>
        <v>111</v>
      </c>
      <c r="T214" s="243"/>
      <c r="U214" s="243">
        <f t="shared" si="59"/>
        <v>0</v>
      </c>
      <c r="X214" s="243">
        <f t="shared" si="62"/>
        <v>0</v>
      </c>
      <c r="Z214" s="243"/>
      <c r="AA214" s="243">
        <f t="shared" si="60"/>
        <v>111</v>
      </c>
      <c r="AD214" s="243">
        <f t="shared" si="63"/>
        <v>111</v>
      </c>
      <c r="AF214" s="243">
        <f t="shared" si="58"/>
        <v>0</v>
      </c>
    </row>
    <row r="215" spans="1:32">
      <c r="B215" t="s">
        <v>1270</v>
      </c>
      <c r="C215" s="243">
        <v>0</v>
      </c>
      <c r="D215" s="243">
        <v>0</v>
      </c>
      <c r="E215" s="243">
        <v>0</v>
      </c>
      <c r="F215" s="243">
        <v>0</v>
      </c>
      <c r="G215" s="243">
        <v>0</v>
      </c>
      <c r="H215" s="243">
        <v>16</v>
      </c>
      <c r="I215" s="243">
        <v>0</v>
      </c>
      <c r="J215" s="243">
        <v>0</v>
      </c>
      <c r="K215" s="243">
        <v>0</v>
      </c>
      <c r="L215" s="243">
        <v>0</v>
      </c>
      <c r="M215" s="243">
        <v>0</v>
      </c>
      <c r="N215" s="243">
        <v>0</v>
      </c>
      <c r="O215" s="243">
        <f t="shared" si="57"/>
        <v>16</v>
      </c>
      <c r="R215" s="243">
        <f t="shared" si="61"/>
        <v>16</v>
      </c>
      <c r="T215" s="243"/>
      <c r="U215" s="243">
        <f t="shared" si="59"/>
        <v>0</v>
      </c>
      <c r="X215" s="243">
        <f t="shared" si="62"/>
        <v>0</v>
      </c>
      <c r="Z215" s="243"/>
      <c r="AA215" s="243">
        <f t="shared" si="60"/>
        <v>16</v>
      </c>
      <c r="AD215" s="243">
        <f t="shared" si="63"/>
        <v>16</v>
      </c>
      <c r="AF215" s="243">
        <f t="shared" si="58"/>
        <v>0</v>
      </c>
    </row>
    <row r="216" spans="1:32">
      <c r="B216" t="s">
        <v>1271</v>
      </c>
      <c r="C216" s="243">
        <v>0</v>
      </c>
      <c r="D216" s="243">
        <v>0</v>
      </c>
      <c r="E216" s="243">
        <v>0</v>
      </c>
      <c r="F216" s="243">
        <v>0</v>
      </c>
      <c r="G216" s="243">
        <v>0</v>
      </c>
      <c r="H216" s="243">
        <v>16</v>
      </c>
      <c r="I216" s="243">
        <v>0</v>
      </c>
      <c r="J216" s="243">
        <v>0</v>
      </c>
      <c r="K216" s="243">
        <v>0</v>
      </c>
      <c r="L216" s="243">
        <v>0</v>
      </c>
      <c r="M216" s="243">
        <v>0</v>
      </c>
      <c r="N216" s="243">
        <v>0</v>
      </c>
      <c r="O216" s="243">
        <f t="shared" si="57"/>
        <v>16</v>
      </c>
      <c r="R216" s="243">
        <f t="shared" si="61"/>
        <v>16</v>
      </c>
      <c r="T216" s="243"/>
      <c r="U216" s="243">
        <f t="shared" si="59"/>
        <v>0</v>
      </c>
      <c r="X216" s="243">
        <f t="shared" si="62"/>
        <v>0</v>
      </c>
      <c r="Z216" s="243"/>
      <c r="AA216" s="243">
        <f t="shared" si="60"/>
        <v>16</v>
      </c>
      <c r="AD216" s="243">
        <f t="shared" si="63"/>
        <v>16</v>
      </c>
      <c r="AF216" s="243">
        <f t="shared" si="58"/>
        <v>0</v>
      </c>
    </row>
    <row r="217" spans="1:32">
      <c r="A217" t="s">
        <v>1335</v>
      </c>
      <c r="B217" t="s">
        <v>1268</v>
      </c>
      <c r="C217" s="243">
        <v>0</v>
      </c>
      <c r="D217" s="243">
        <v>0</v>
      </c>
      <c r="E217" s="243">
        <v>0</v>
      </c>
      <c r="F217" s="243">
        <v>0</v>
      </c>
      <c r="G217" s="243">
        <v>0</v>
      </c>
      <c r="H217" s="243">
        <v>3697</v>
      </c>
      <c r="I217" s="243">
        <v>0</v>
      </c>
      <c r="J217" s="243">
        <v>0</v>
      </c>
      <c r="K217" s="243">
        <v>0</v>
      </c>
      <c r="L217" s="243">
        <v>0</v>
      </c>
      <c r="M217" s="243">
        <v>0</v>
      </c>
      <c r="N217" s="243">
        <v>0</v>
      </c>
      <c r="O217" s="243">
        <f t="shared" si="57"/>
        <v>3697</v>
      </c>
      <c r="R217" s="243">
        <f t="shared" si="61"/>
        <v>3697</v>
      </c>
      <c r="T217" s="243"/>
      <c r="U217" s="243">
        <f t="shared" si="59"/>
        <v>0</v>
      </c>
      <c r="X217" s="243">
        <f t="shared" si="62"/>
        <v>0</v>
      </c>
      <c r="Z217" s="243"/>
      <c r="AA217" s="243">
        <f t="shared" si="60"/>
        <v>3697</v>
      </c>
      <c r="AD217" s="243">
        <f t="shared" si="63"/>
        <v>3697</v>
      </c>
      <c r="AF217" s="243">
        <f t="shared" si="58"/>
        <v>0</v>
      </c>
    </row>
    <row r="218" spans="1:32">
      <c r="B218" t="s">
        <v>1270</v>
      </c>
      <c r="C218" s="243">
        <v>0</v>
      </c>
      <c r="D218" s="243">
        <v>0</v>
      </c>
      <c r="E218" s="243">
        <v>0</v>
      </c>
      <c r="F218" s="243">
        <v>0</v>
      </c>
      <c r="G218" s="243">
        <v>0</v>
      </c>
      <c r="H218" s="243">
        <v>835</v>
      </c>
      <c r="I218" s="243">
        <v>0</v>
      </c>
      <c r="J218" s="243">
        <v>0</v>
      </c>
      <c r="K218" s="243">
        <v>0</v>
      </c>
      <c r="L218" s="243">
        <v>0</v>
      </c>
      <c r="M218" s="243">
        <v>0</v>
      </c>
      <c r="N218" s="243">
        <v>0</v>
      </c>
      <c r="O218" s="243">
        <f t="shared" si="57"/>
        <v>835</v>
      </c>
      <c r="R218" s="243">
        <f t="shared" si="61"/>
        <v>835</v>
      </c>
      <c r="T218" s="243"/>
      <c r="U218" s="243">
        <f t="shared" si="59"/>
        <v>0</v>
      </c>
      <c r="X218" s="243">
        <f t="shared" si="62"/>
        <v>0</v>
      </c>
      <c r="Z218" s="243"/>
      <c r="AA218" s="243">
        <f t="shared" si="60"/>
        <v>835</v>
      </c>
      <c r="AD218" s="243">
        <f t="shared" si="63"/>
        <v>835</v>
      </c>
      <c r="AF218" s="243">
        <f t="shared" si="58"/>
        <v>0</v>
      </c>
    </row>
    <row r="219" spans="1:32">
      <c r="B219" t="s">
        <v>1271</v>
      </c>
      <c r="C219" s="243">
        <v>0</v>
      </c>
      <c r="D219" s="243">
        <v>0</v>
      </c>
      <c r="E219" s="243">
        <v>0</v>
      </c>
      <c r="F219" s="243">
        <v>0</v>
      </c>
      <c r="G219" s="243">
        <v>0</v>
      </c>
      <c r="H219" s="243">
        <v>757</v>
      </c>
      <c r="I219" s="243">
        <v>0</v>
      </c>
      <c r="J219" s="243">
        <v>0</v>
      </c>
      <c r="K219" s="243">
        <v>0</v>
      </c>
      <c r="L219" s="243">
        <v>0</v>
      </c>
      <c r="M219" s="243">
        <v>0</v>
      </c>
      <c r="N219" s="243">
        <v>0</v>
      </c>
      <c r="O219" s="243">
        <f t="shared" si="57"/>
        <v>757</v>
      </c>
      <c r="R219" s="243">
        <f t="shared" si="61"/>
        <v>757</v>
      </c>
      <c r="T219" s="243"/>
      <c r="U219" s="243">
        <f t="shared" si="59"/>
        <v>0</v>
      </c>
      <c r="X219" s="243">
        <f t="shared" si="62"/>
        <v>0</v>
      </c>
      <c r="Z219" s="243"/>
      <c r="AA219" s="243">
        <f t="shared" si="60"/>
        <v>757</v>
      </c>
      <c r="AD219" s="243">
        <f t="shared" si="63"/>
        <v>757</v>
      </c>
      <c r="AF219" s="243">
        <f t="shared" si="58"/>
        <v>0</v>
      </c>
    </row>
    <row r="220" spans="1:32">
      <c r="A220" t="s">
        <v>1252</v>
      </c>
      <c r="B220" t="s">
        <v>1268</v>
      </c>
      <c r="C220" s="243">
        <v>0</v>
      </c>
      <c r="D220" s="243">
        <v>0</v>
      </c>
      <c r="E220" s="243">
        <v>0</v>
      </c>
      <c r="F220" s="243">
        <v>0</v>
      </c>
      <c r="G220" s="243">
        <v>0</v>
      </c>
      <c r="H220" s="243">
        <v>288</v>
      </c>
      <c r="I220" s="243">
        <v>0</v>
      </c>
      <c r="J220" s="243">
        <v>0</v>
      </c>
      <c r="K220" s="243">
        <v>0</v>
      </c>
      <c r="L220" s="243">
        <v>0</v>
      </c>
      <c r="M220" s="243">
        <v>0</v>
      </c>
      <c r="N220" s="243">
        <v>0</v>
      </c>
      <c r="O220" s="243">
        <f t="shared" si="57"/>
        <v>288</v>
      </c>
      <c r="R220" s="243">
        <f t="shared" si="61"/>
        <v>288</v>
      </c>
      <c r="T220" s="243"/>
      <c r="U220" s="243">
        <f t="shared" si="59"/>
        <v>0</v>
      </c>
      <c r="X220" s="243">
        <f t="shared" si="62"/>
        <v>0</v>
      </c>
      <c r="Z220" s="243"/>
      <c r="AA220" s="243">
        <f t="shared" si="60"/>
        <v>288</v>
      </c>
      <c r="AD220" s="243">
        <f t="shared" si="63"/>
        <v>288</v>
      </c>
      <c r="AF220" s="243">
        <f t="shared" si="58"/>
        <v>0</v>
      </c>
    </row>
    <row r="221" spans="1:32">
      <c r="B221" t="s">
        <v>1270</v>
      </c>
      <c r="C221" s="243">
        <v>0</v>
      </c>
      <c r="D221" s="243">
        <v>0</v>
      </c>
      <c r="E221" s="243">
        <v>0</v>
      </c>
      <c r="F221" s="243">
        <v>0</v>
      </c>
      <c r="G221" s="243">
        <v>0</v>
      </c>
      <c r="H221" s="243">
        <v>100</v>
      </c>
      <c r="I221" s="243">
        <v>0</v>
      </c>
      <c r="J221" s="243">
        <v>0</v>
      </c>
      <c r="K221" s="243">
        <v>0</v>
      </c>
      <c r="L221" s="243">
        <v>0</v>
      </c>
      <c r="M221" s="243">
        <v>0</v>
      </c>
      <c r="N221" s="243">
        <v>0</v>
      </c>
      <c r="O221" s="243">
        <f t="shared" si="57"/>
        <v>100</v>
      </c>
      <c r="R221" s="243">
        <f t="shared" si="61"/>
        <v>100</v>
      </c>
      <c r="T221" s="243"/>
      <c r="U221" s="243">
        <f t="shared" si="59"/>
        <v>0</v>
      </c>
      <c r="X221" s="243">
        <f t="shared" si="62"/>
        <v>0</v>
      </c>
      <c r="Z221" s="243"/>
      <c r="AA221" s="243">
        <f t="shared" si="60"/>
        <v>100</v>
      </c>
      <c r="AD221" s="243">
        <f t="shared" si="63"/>
        <v>100</v>
      </c>
      <c r="AF221" s="243">
        <f t="shared" si="58"/>
        <v>0</v>
      </c>
    </row>
    <row r="222" spans="1:32">
      <c r="B222" t="s">
        <v>1271</v>
      </c>
      <c r="C222" s="243">
        <v>0</v>
      </c>
      <c r="D222" s="243">
        <v>0</v>
      </c>
      <c r="E222" s="243">
        <v>0</v>
      </c>
      <c r="F222" s="243">
        <v>0</v>
      </c>
      <c r="G222" s="243">
        <v>0</v>
      </c>
      <c r="H222" s="243">
        <v>577</v>
      </c>
      <c r="I222" s="243">
        <v>0</v>
      </c>
      <c r="J222" s="243">
        <v>0</v>
      </c>
      <c r="K222" s="243">
        <v>0</v>
      </c>
      <c r="L222" s="243">
        <v>0</v>
      </c>
      <c r="M222" s="243">
        <v>0</v>
      </c>
      <c r="N222" s="243">
        <v>0</v>
      </c>
      <c r="O222" s="243">
        <f t="shared" si="57"/>
        <v>577</v>
      </c>
      <c r="R222" s="243">
        <f t="shared" si="61"/>
        <v>577</v>
      </c>
      <c r="T222" s="243"/>
      <c r="U222" s="243">
        <f t="shared" si="59"/>
        <v>0</v>
      </c>
      <c r="X222" s="243">
        <f t="shared" si="62"/>
        <v>0</v>
      </c>
      <c r="Z222" s="243"/>
      <c r="AA222" s="243">
        <f t="shared" si="60"/>
        <v>577</v>
      </c>
      <c r="AD222" s="243">
        <f t="shared" si="63"/>
        <v>577</v>
      </c>
      <c r="AF222" s="243">
        <f t="shared" si="58"/>
        <v>0</v>
      </c>
    </row>
    <row r="223" spans="1:32">
      <c r="A223" t="s">
        <v>1336</v>
      </c>
      <c r="B223" t="s">
        <v>1268</v>
      </c>
      <c r="C223" s="243">
        <v>0</v>
      </c>
      <c r="D223" s="243">
        <v>0</v>
      </c>
      <c r="E223" s="243">
        <v>0</v>
      </c>
      <c r="F223" s="243">
        <v>0</v>
      </c>
      <c r="G223" s="243">
        <v>0</v>
      </c>
      <c r="H223" s="243">
        <v>3642</v>
      </c>
      <c r="I223" s="243">
        <v>0</v>
      </c>
      <c r="J223" s="243">
        <v>0</v>
      </c>
      <c r="K223" s="243">
        <v>0</v>
      </c>
      <c r="L223" s="243">
        <v>0</v>
      </c>
      <c r="M223" s="243">
        <v>0</v>
      </c>
      <c r="N223" s="243">
        <v>0</v>
      </c>
      <c r="O223" s="243">
        <f t="shared" si="57"/>
        <v>3642</v>
      </c>
      <c r="R223" s="243">
        <f t="shared" si="61"/>
        <v>3642</v>
      </c>
      <c r="T223" s="243"/>
      <c r="U223" s="243">
        <f t="shared" si="59"/>
        <v>0</v>
      </c>
      <c r="X223" s="243">
        <f t="shared" si="62"/>
        <v>0</v>
      </c>
      <c r="Z223" s="243"/>
      <c r="AA223" s="243">
        <f t="shared" si="60"/>
        <v>3642</v>
      </c>
      <c r="AD223" s="243">
        <f t="shared" si="63"/>
        <v>3642</v>
      </c>
      <c r="AF223" s="243">
        <f t="shared" si="58"/>
        <v>0</v>
      </c>
    </row>
    <row r="224" spans="1:32">
      <c r="B224" t="s">
        <v>1270</v>
      </c>
      <c r="C224" s="243">
        <v>0</v>
      </c>
      <c r="D224" s="243">
        <v>0</v>
      </c>
      <c r="E224" s="243">
        <v>0</v>
      </c>
      <c r="F224" s="243">
        <v>0</v>
      </c>
      <c r="G224" s="243">
        <v>0</v>
      </c>
      <c r="H224" s="243">
        <v>1131</v>
      </c>
      <c r="I224" s="243">
        <v>0</v>
      </c>
      <c r="J224" s="243">
        <v>0</v>
      </c>
      <c r="K224" s="243">
        <v>0</v>
      </c>
      <c r="L224" s="243">
        <v>0</v>
      </c>
      <c r="M224" s="243">
        <v>0</v>
      </c>
      <c r="N224" s="243">
        <v>0</v>
      </c>
      <c r="O224" s="243">
        <f t="shared" si="57"/>
        <v>1131</v>
      </c>
      <c r="R224" s="243">
        <f t="shared" si="61"/>
        <v>1131</v>
      </c>
      <c r="T224" s="243"/>
      <c r="U224" s="243">
        <f t="shared" si="59"/>
        <v>0</v>
      </c>
      <c r="X224" s="243">
        <f t="shared" si="62"/>
        <v>0</v>
      </c>
      <c r="Z224" s="243"/>
      <c r="AA224" s="243">
        <f t="shared" si="60"/>
        <v>1131</v>
      </c>
      <c r="AD224" s="243">
        <f t="shared" si="63"/>
        <v>1131</v>
      </c>
      <c r="AF224" s="243">
        <f t="shared" si="58"/>
        <v>0</v>
      </c>
    </row>
    <row r="225" spans="1:32">
      <c r="B225" t="s">
        <v>1271</v>
      </c>
      <c r="C225" s="243">
        <v>0</v>
      </c>
      <c r="D225" s="243">
        <v>0</v>
      </c>
      <c r="E225" s="243">
        <v>0</v>
      </c>
      <c r="F225" s="243">
        <v>0</v>
      </c>
      <c r="G225" s="243">
        <v>0</v>
      </c>
      <c r="H225" s="243">
        <v>3406</v>
      </c>
      <c r="I225" s="243">
        <v>0</v>
      </c>
      <c r="J225" s="243">
        <v>0</v>
      </c>
      <c r="K225" s="243">
        <v>0</v>
      </c>
      <c r="L225" s="243">
        <v>0</v>
      </c>
      <c r="M225" s="243">
        <v>0</v>
      </c>
      <c r="N225" s="243">
        <v>0</v>
      </c>
      <c r="O225" s="243">
        <f t="shared" si="57"/>
        <v>3406</v>
      </c>
      <c r="R225" s="243">
        <f t="shared" si="61"/>
        <v>3406</v>
      </c>
      <c r="T225" s="243"/>
      <c r="U225" s="243">
        <f t="shared" si="59"/>
        <v>0</v>
      </c>
      <c r="X225" s="243">
        <f t="shared" si="62"/>
        <v>0</v>
      </c>
      <c r="Z225" s="243"/>
      <c r="AA225" s="243">
        <f t="shared" si="60"/>
        <v>3406</v>
      </c>
      <c r="AD225" s="243">
        <f t="shared" si="63"/>
        <v>3406</v>
      </c>
      <c r="AF225" s="243">
        <f t="shared" si="58"/>
        <v>0</v>
      </c>
    </row>
    <row r="226" spans="1:32">
      <c r="A226" s="459" t="s">
        <v>1337</v>
      </c>
      <c r="B226" t="s">
        <v>1268</v>
      </c>
      <c r="C226" s="243">
        <v>0</v>
      </c>
      <c r="D226" s="243">
        <v>0</v>
      </c>
      <c r="E226" s="243">
        <v>0</v>
      </c>
      <c r="F226" s="243">
        <v>0</v>
      </c>
      <c r="G226" s="243">
        <v>0</v>
      </c>
      <c r="H226" s="243">
        <v>1558</v>
      </c>
      <c r="I226" s="243">
        <v>0</v>
      </c>
      <c r="J226" s="243">
        <v>0</v>
      </c>
      <c r="K226" s="243">
        <v>0</v>
      </c>
      <c r="L226" s="243">
        <v>0</v>
      </c>
      <c r="M226" s="243">
        <v>0</v>
      </c>
      <c r="N226" s="243">
        <v>0</v>
      </c>
      <c r="O226" s="243">
        <f t="shared" si="57"/>
        <v>1558</v>
      </c>
      <c r="R226" s="243">
        <f t="shared" si="61"/>
        <v>1558</v>
      </c>
      <c r="T226" s="243"/>
      <c r="U226" s="243">
        <f t="shared" si="59"/>
        <v>0</v>
      </c>
      <c r="X226" s="243">
        <f t="shared" si="62"/>
        <v>0</v>
      </c>
      <c r="Z226" s="243"/>
      <c r="AA226" s="243">
        <f t="shared" si="60"/>
        <v>1558</v>
      </c>
      <c r="AD226" s="243">
        <f t="shared" si="63"/>
        <v>1558</v>
      </c>
      <c r="AF226" s="243">
        <f t="shared" si="58"/>
        <v>0</v>
      </c>
    </row>
    <row r="227" spans="1:32">
      <c r="B227" t="s">
        <v>1270</v>
      </c>
      <c r="C227" s="243">
        <v>0</v>
      </c>
      <c r="D227" s="243">
        <v>0</v>
      </c>
      <c r="E227" s="243">
        <v>0</v>
      </c>
      <c r="F227" s="243">
        <v>0</v>
      </c>
      <c r="G227" s="243">
        <v>0</v>
      </c>
      <c r="H227" s="243">
        <v>0</v>
      </c>
      <c r="I227" s="243">
        <v>0</v>
      </c>
      <c r="J227" s="243">
        <v>0</v>
      </c>
      <c r="K227" s="243">
        <v>0</v>
      </c>
      <c r="L227" s="243">
        <v>0</v>
      </c>
      <c r="M227" s="243">
        <v>0</v>
      </c>
      <c r="N227" s="243">
        <v>0</v>
      </c>
      <c r="O227" s="243">
        <f t="shared" si="57"/>
        <v>0</v>
      </c>
      <c r="R227" s="243">
        <f t="shared" si="61"/>
        <v>0</v>
      </c>
      <c r="T227" s="243"/>
      <c r="U227" s="243">
        <f t="shared" si="59"/>
        <v>0</v>
      </c>
      <c r="X227" s="243">
        <f t="shared" si="62"/>
        <v>0</v>
      </c>
      <c r="Z227" s="243"/>
      <c r="AA227" s="243">
        <f t="shared" si="60"/>
        <v>0</v>
      </c>
      <c r="AD227" s="243">
        <f t="shared" si="63"/>
        <v>0</v>
      </c>
      <c r="AF227" s="243">
        <f t="shared" si="58"/>
        <v>0</v>
      </c>
    </row>
    <row r="228" spans="1:32">
      <c r="B228" t="s">
        <v>1271</v>
      </c>
      <c r="C228" s="243">
        <v>0</v>
      </c>
      <c r="D228" s="243">
        <v>0</v>
      </c>
      <c r="E228" s="243">
        <v>0</v>
      </c>
      <c r="F228" s="243">
        <v>0</v>
      </c>
      <c r="G228" s="243">
        <v>0</v>
      </c>
      <c r="H228" s="243">
        <v>0</v>
      </c>
      <c r="I228" s="243">
        <v>0</v>
      </c>
      <c r="J228" s="243">
        <v>0</v>
      </c>
      <c r="K228" s="243">
        <v>0</v>
      </c>
      <c r="L228" s="243">
        <v>0</v>
      </c>
      <c r="M228" s="243">
        <v>0</v>
      </c>
      <c r="N228" s="243">
        <v>0</v>
      </c>
      <c r="O228" s="243">
        <f t="shared" si="57"/>
        <v>0</v>
      </c>
      <c r="R228" s="243">
        <f t="shared" si="61"/>
        <v>0</v>
      </c>
      <c r="T228" s="243"/>
      <c r="U228" s="243">
        <f t="shared" si="59"/>
        <v>0</v>
      </c>
      <c r="X228" s="243">
        <f t="shared" si="62"/>
        <v>0</v>
      </c>
      <c r="Z228" s="243"/>
      <c r="AA228" s="243">
        <f t="shared" si="60"/>
        <v>0</v>
      </c>
      <c r="AD228" s="243">
        <f t="shared" si="63"/>
        <v>0</v>
      </c>
      <c r="AF228" s="243">
        <f t="shared" si="58"/>
        <v>0</v>
      </c>
    </row>
    <row r="229" spans="1:32">
      <c r="A229" t="s">
        <v>1338</v>
      </c>
      <c r="B229" t="s">
        <v>1268</v>
      </c>
      <c r="C229" s="243">
        <v>0</v>
      </c>
      <c r="D229" s="243">
        <v>0</v>
      </c>
      <c r="E229" s="243">
        <v>0</v>
      </c>
      <c r="F229" s="243">
        <v>0</v>
      </c>
      <c r="G229" s="243">
        <v>0</v>
      </c>
      <c r="H229" s="243">
        <v>110</v>
      </c>
      <c r="I229" s="243">
        <v>0</v>
      </c>
      <c r="J229" s="243">
        <v>0</v>
      </c>
      <c r="K229" s="243">
        <v>0</v>
      </c>
      <c r="L229" s="243">
        <v>0</v>
      </c>
      <c r="M229" s="243">
        <v>0</v>
      </c>
      <c r="N229" s="243">
        <v>0</v>
      </c>
      <c r="O229" s="243">
        <f t="shared" si="57"/>
        <v>110</v>
      </c>
      <c r="R229" s="243">
        <f t="shared" si="61"/>
        <v>110</v>
      </c>
      <c r="T229" s="243"/>
      <c r="U229" s="243">
        <f t="shared" si="59"/>
        <v>0</v>
      </c>
      <c r="X229" s="243">
        <f t="shared" si="62"/>
        <v>0</v>
      </c>
      <c r="Z229" s="243"/>
      <c r="AA229" s="243">
        <f t="shared" si="60"/>
        <v>110</v>
      </c>
      <c r="AD229" s="243">
        <f t="shared" si="63"/>
        <v>110</v>
      </c>
      <c r="AF229" s="243">
        <f t="shared" si="58"/>
        <v>0</v>
      </c>
    </row>
    <row r="230" spans="1:32">
      <c r="B230" t="s">
        <v>1270</v>
      </c>
      <c r="C230" s="243">
        <v>0</v>
      </c>
      <c r="D230" s="243">
        <v>0</v>
      </c>
      <c r="E230" s="243">
        <v>0</v>
      </c>
      <c r="F230" s="243">
        <v>0</v>
      </c>
      <c r="G230" s="243">
        <v>0</v>
      </c>
      <c r="H230" s="243">
        <v>0</v>
      </c>
      <c r="I230" s="243">
        <v>0</v>
      </c>
      <c r="J230" s="243">
        <v>0</v>
      </c>
      <c r="K230" s="243">
        <v>0</v>
      </c>
      <c r="L230" s="243">
        <v>0</v>
      </c>
      <c r="M230" s="243">
        <v>0</v>
      </c>
      <c r="N230" s="243">
        <v>0</v>
      </c>
      <c r="O230" s="243">
        <f t="shared" si="57"/>
        <v>0</v>
      </c>
      <c r="R230" s="243">
        <f t="shared" si="61"/>
        <v>0</v>
      </c>
      <c r="T230" s="243"/>
      <c r="U230" s="243">
        <f t="shared" si="59"/>
        <v>0</v>
      </c>
      <c r="X230" s="243">
        <f t="shared" si="62"/>
        <v>0</v>
      </c>
      <c r="Z230" s="243"/>
      <c r="AA230" s="243">
        <f t="shared" si="60"/>
        <v>0</v>
      </c>
      <c r="AD230" s="243">
        <f t="shared" si="63"/>
        <v>0</v>
      </c>
      <c r="AF230" s="243">
        <f t="shared" si="58"/>
        <v>0</v>
      </c>
    </row>
    <row r="231" spans="1:32">
      <c r="B231" t="s">
        <v>1271</v>
      </c>
      <c r="C231" s="243">
        <v>0</v>
      </c>
      <c r="D231" s="243">
        <v>0</v>
      </c>
      <c r="E231" s="243">
        <v>0</v>
      </c>
      <c r="F231" s="243">
        <v>0</v>
      </c>
      <c r="G231" s="243">
        <v>0</v>
      </c>
      <c r="H231" s="243">
        <v>0</v>
      </c>
      <c r="I231" s="243">
        <v>0</v>
      </c>
      <c r="J231" s="243">
        <v>0</v>
      </c>
      <c r="K231" s="243">
        <v>0</v>
      </c>
      <c r="L231" s="243">
        <v>0</v>
      </c>
      <c r="M231" s="243">
        <v>0</v>
      </c>
      <c r="N231" s="243">
        <v>0</v>
      </c>
      <c r="O231" s="243">
        <f t="shared" si="57"/>
        <v>0</v>
      </c>
      <c r="R231" s="243">
        <f t="shared" si="61"/>
        <v>0</v>
      </c>
      <c r="T231" s="243"/>
      <c r="U231" s="243">
        <f t="shared" si="59"/>
        <v>0</v>
      </c>
      <c r="X231" s="243">
        <f t="shared" si="62"/>
        <v>0</v>
      </c>
      <c r="Z231" s="243"/>
      <c r="AA231" s="243">
        <f t="shared" si="60"/>
        <v>0</v>
      </c>
      <c r="AD231" s="243">
        <f t="shared" si="63"/>
        <v>0</v>
      </c>
      <c r="AF231" s="243">
        <f t="shared" si="58"/>
        <v>0</v>
      </c>
    </row>
    <row r="232" spans="1:32">
      <c r="A232" t="s">
        <v>1339</v>
      </c>
      <c r="B232" t="s">
        <v>1268</v>
      </c>
      <c r="C232" s="243">
        <v>0</v>
      </c>
      <c r="D232" s="243">
        <v>0</v>
      </c>
      <c r="E232" s="243">
        <v>0</v>
      </c>
      <c r="F232" s="243">
        <v>0</v>
      </c>
      <c r="G232" s="243">
        <v>0</v>
      </c>
      <c r="H232" s="243">
        <v>11041</v>
      </c>
      <c r="I232" s="243">
        <v>0</v>
      </c>
      <c r="J232" s="243">
        <v>0</v>
      </c>
      <c r="K232" s="243">
        <v>0</v>
      </c>
      <c r="L232" s="243">
        <v>0</v>
      </c>
      <c r="M232" s="243">
        <v>0</v>
      </c>
      <c r="N232" s="243">
        <v>0</v>
      </c>
      <c r="O232" s="243">
        <f t="shared" si="57"/>
        <v>11041</v>
      </c>
      <c r="R232" s="243">
        <f t="shared" si="61"/>
        <v>11041</v>
      </c>
      <c r="T232" s="243"/>
      <c r="U232" s="243">
        <f t="shared" si="59"/>
        <v>0</v>
      </c>
      <c r="X232" s="243">
        <f t="shared" si="62"/>
        <v>0</v>
      </c>
      <c r="Z232" s="243"/>
      <c r="AA232" s="243">
        <f t="shared" si="60"/>
        <v>11041</v>
      </c>
      <c r="AD232" s="243">
        <f t="shared" si="63"/>
        <v>11041</v>
      </c>
      <c r="AF232" s="243">
        <f t="shared" si="58"/>
        <v>0</v>
      </c>
    </row>
    <row r="233" spans="1:32">
      <c r="B233" t="s">
        <v>1270</v>
      </c>
      <c r="C233" s="243">
        <v>0</v>
      </c>
      <c r="D233" s="243">
        <v>0</v>
      </c>
      <c r="E233" s="243">
        <v>0</v>
      </c>
      <c r="F233" s="243">
        <v>0</v>
      </c>
      <c r="G233" s="243">
        <v>0</v>
      </c>
      <c r="H233" s="243">
        <v>0</v>
      </c>
      <c r="I233" s="243">
        <v>0</v>
      </c>
      <c r="J233" s="243">
        <v>0</v>
      </c>
      <c r="K233" s="243">
        <v>0</v>
      </c>
      <c r="L233" s="243">
        <v>0</v>
      </c>
      <c r="M233" s="243">
        <v>0</v>
      </c>
      <c r="N233" s="243">
        <v>0</v>
      </c>
      <c r="O233" s="243">
        <f t="shared" si="57"/>
        <v>0</v>
      </c>
      <c r="R233" s="243">
        <f t="shared" si="61"/>
        <v>0</v>
      </c>
      <c r="T233" s="243"/>
      <c r="U233" s="243">
        <f t="shared" si="59"/>
        <v>0</v>
      </c>
      <c r="X233" s="243">
        <f t="shared" si="62"/>
        <v>0</v>
      </c>
      <c r="Z233" s="243"/>
      <c r="AA233" s="243">
        <f t="shared" si="60"/>
        <v>0</v>
      </c>
      <c r="AD233" s="243">
        <f t="shared" si="63"/>
        <v>0</v>
      </c>
      <c r="AF233" s="243">
        <f t="shared" si="58"/>
        <v>0</v>
      </c>
    </row>
    <row r="234" spans="1:32">
      <c r="B234" t="s">
        <v>1271</v>
      </c>
      <c r="C234" s="243">
        <v>0</v>
      </c>
      <c r="D234" s="243">
        <v>0</v>
      </c>
      <c r="E234" s="243">
        <v>0</v>
      </c>
      <c r="F234" s="243">
        <v>0</v>
      </c>
      <c r="G234" s="243">
        <v>0</v>
      </c>
      <c r="H234" s="243">
        <v>0</v>
      </c>
      <c r="I234" s="243">
        <v>0</v>
      </c>
      <c r="J234" s="243">
        <v>0</v>
      </c>
      <c r="K234" s="243">
        <v>0</v>
      </c>
      <c r="L234" s="243">
        <v>0</v>
      </c>
      <c r="M234" s="243">
        <v>0</v>
      </c>
      <c r="N234" s="243">
        <v>0</v>
      </c>
      <c r="O234" s="243">
        <f t="shared" si="57"/>
        <v>0</v>
      </c>
      <c r="R234" s="243">
        <f t="shared" si="61"/>
        <v>0</v>
      </c>
      <c r="T234" s="243"/>
      <c r="U234" s="243">
        <f t="shared" si="59"/>
        <v>0</v>
      </c>
      <c r="X234" s="243">
        <f t="shared" si="62"/>
        <v>0</v>
      </c>
      <c r="Z234" s="243"/>
      <c r="AA234" s="243">
        <f t="shared" si="60"/>
        <v>0</v>
      </c>
      <c r="AD234" s="243">
        <f t="shared" si="63"/>
        <v>0</v>
      </c>
      <c r="AF234" s="243">
        <f t="shared" si="58"/>
        <v>0</v>
      </c>
    </row>
    <row r="235" spans="1:32">
      <c r="A235" t="s">
        <v>1340</v>
      </c>
      <c r="B235" t="s">
        <v>1268</v>
      </c>
      <c r="C235" s="243">
        <v>0</v>
      </c>
      <c r="D235" s="243">
        <v>0</v>
      </c>
      <c r="E235" s="243">
        <v>0</v>
      </c>
      <c r="F235" s="243">
        <v>0</v>
      </c>
      <c r="G235" s="243">
        <v>0</v>
      </c>
      <c r="H235" s="243">
        <v>0</v>
      </c>
      <c r="I235" s="243">
        <v>0</v>
      </c>
      <c r="J235" s="243">
        <v>0</v>
      </c>
      <c r="K235" s="243">
        <v>0</v>
      </c>
      <c r="L235" s="243">
        <v>0</v>
      </c>
      <c r="M235" s="243">
        <v>0</v>
      </c>
      <c r="N235" s="243">
        <v>0</v>
      </c>
      <c r="O235" s="243">
        <f t="shared" si="57"/>
        <v>0</v>
      </c>
      <c r="R235" s="243">
        <f t="shared" si="61"/>
        <v>0</v>
      </c>
      <c r="T235" s="243"/>
      <c r="U235" s="243">
        <f t="shared" si="59"/>
        <v>0</v>
      </c>
      <c r="X235" s="243">
        <f t="shared" si="62"/>
        <v>0</v>
      </c>
      <c r="Z235" s="243"/>
      <c r="AA235" s="243">
        <f t="shared" si="60"/>
        <v>0</v>
      </c>
      <c r="AD235" s="243">
        <f t="shared" si="63"/>
        <v>0</v>
      </c>
      <c r="AF235" s="243">
        <f t="shared" si="58"/>
        <v>0</v>
      </c>
    </row>
    <row r="236" spans="1:32">
      <c r="B236" t="s">
        <v>1270</v>
      </c>
      <c r="C236" s="243">
        <v>0</v>
      </c>
      <c r="D236" s="243">
        <v>0</v>
      </c>
      <c r="E236" s="243">
        <v>0</v>
      </c>
      <c r="F236" s="243">
        <v>0</v>
      </c>
      <c r="G236" s="243">
        <v>0</v>
      </c>
      <c r="H236" s="243">
        <v>283.91000000000003</v>
      </c>
      <c r="I236" s="243">
        <v>0</v>
      </c>
      <c r="J236" s="243">
        <v>0</v>
      </c>
      <c r="K236" s="243">
        <v>0</v>
      </c>
      <c r="L236" s="243">
        <v>0</v>
      </c>
      <c r="M236" s="243">
        <v>0</v>
      </c>
      <c r="N236" s="243">
        <v>0</v>
      </c>
      <c r="O236" s="243">
        <f t="shared" si="57"/>
        <v>283.91000000000003</v>
      </c>
      <c r="R236" s="243">
        <f t="shared" si="61"/>
        <v>283.91000000000003</v>
      </c>
      <c r="T236" s="243"/>
      <c r="U236" s="243">
        <f t="shared" si="59"/>
        <v>0</v>
      </c>
      <c r="X236" s="243">
        <f t="shared" si="62"/>
        <v>0</v>
      </c>
      <c r="Z236" s="243"/>
      <c r="AA236" s="243">
        <f t="shared" si="60"/>
        <v>283.91000000000003</v>
      </c>
      <c r="AD236" s="243">
        <f t="shared" si="63"/>
        <v>283.91000000000003</v>
      </c>
      <c r="AF236" s="243">
        <f t="shared" si="58"/>
        <v>0</v>
      </c>
    </row>
    <row r="237" spans="1:32">
      <c r="B237" t="s">
        <v>1271</v>
      </c>
      <c r="C237" s="243">
        <v>0</v>
      </c>
      <c r="D237" s="243">
        <v>0</v>
      </c>
      <c r="E237" s="243">
        <v>0</v>
      </c>
      <c r="F237" s="243">
        <v>0</v>
      </c>
      <c r="G237" s="243">
        <v>0</v>
      </c>
      <c r="H237" s="243">
        <v>1327.84</v>
      </c>
      <c r="I237" s="243">
        <v>0</v>
      </c>
      <c r="J237" s="243">
        <v>0</v>
      </c>
      <c r="K237" s="243">
        <v>0</v>
      </c>
      <c r="L237" s="243">
        <v>0</v>
      </c>
      <c r="M237" s="243">
        <v>0</v>
      </c>
      <c r="N237" s="243">
        <v>0</v>
      </c>
      <c r="O237" s="243">
        <f t="shared" si="57"/>
        <v>1327.84</v>
      </c>
      <c r="R237" s="243">
        <f t="shared" ref="R237:R273" si="64">+O237+Q237</f>
        <v>1327.84</v>
      </c>
      <c r="T237" s="243"/>
      <c r="U237" s="243">
        <f t="shared" si="59"/>
        <v>0</v>
      </c>
      <c r="X237" s="243">
        <f t="shared" ref="X237:X273" si="65">+U237+W237</f>
        <v>0</v>
      </c>
      <c r="Z237" s="243"/>
      <c r="AA237" s="243">
        <f t="shared" si="60"/>
        <v>1327.84</v>
      </c>
      <c r="AD237" s="243">
        <f t="shared" ref="AD237:AD273" si="66">+AA237+AC237</f>
        <v>1327.84</v>
      </c>
      <c r="AF237" s="243">
        <f t="shared" si="58"/>
        <v>0</v>
      </c>
    </row>
    <row r="238" spans="1:32">
      <c r="A238" s="459" t="s">
        <v>1341</v>
      </c>
      <c r="B238" t="s">
        <v>1268</v>
      </c>
      <c r="C238" s="243">
        <v>0</v>
      </c>
      <c r="D238" s="243">
        <v>0</v>
      </c>
      <c r="E238" s="243">
        <v>0</v>
      </c>
      <c r="F238" s="243">
        <v>0</v>
      </c>
      <c r="G238" s="243">
        <v>0</v>
      </c>
      <c r="H238" s="243">
        <v>0</v>
      </c>
      <c r="I238" s="243">
        <v>0</v>
      </c>
      <c r="J238" s="243">
        <v>0</v>
      </c>
      <c r="K238" s="243">
        <v>0</v>
      </c>
      <c r="L238" s="243">
        <v>0</v>
      </c>
      <c r="M238" s="243">
        <v>0</v>
      </c>
      <c r="N238" s="243">
        <v>0</v>
      </c>
      <c r="O238" s="243">
        <f t="shared" si="57"/>
        <v>0</v>
      </c>
      <c r="R238" s="243">
        <f t="shared" si="64"/>
        <v>0</v>
      </c>
      <c r="T238" s="243"/>
      <c r="U238" s="243">
        <f t="shared" si="59"/>
        <v>0</v>
      </c>
      <c r="X238" s="243">
        <f t="shared" si="65"/>
        <v>0</v>
      </c>
      <c r="Z238" s="243"/>
      <c r="AA238" s="243">
        <f t="shared" si="60"/>
        <v>0</v>
      </c>
      <c r="AD238" s="243">
        <f t="shared" si="66"/>
        <v>0</v>
      </c>
      <c r="AF238" s="243">
        <f t="shared" si="58"/>
        <v>0</v>
      </c>
    </row>
    <row r="239" spans="1:32">
      <c r="B239" t="s">
        <v>1270</v>
      </c>
      <c r="C239" s="243">
        <v>0</v>
      </c>
      <c r="D239" s="243">
        <v>0</v>
      </c>
      <c r="E239" s="243">
        <v>0</v>
      </c>
      <c r="F239" s="243">
        <v>0</v>
      </c>
      <c r="G239" s="243">
        <v>0</v>
      </c>
      <c r="H239" s="243">
        <v>0</v>
      </c>
      <c r="I239" s="243">
        <v>0</v>
      </c>
      <c r="J239" s="243">
        <v>0</v>
      </c>
      <c r="K239" s="243">
        <v>0</v>
      </c>
      <c r="L239" s="243">
        <v>0</v>
      </c>
      <c r="M239" s="243">
        <v>0</v>
      </c>
      <c r="N239" s="243">
        <v>0</v>
      </c>
      <c r="O239" s="243">
        <f t="shared" si="57"/>
        <v>0</v>
      </c>
      <c r="R239" s="243">
        <f t="shared" si="64"/>
        <v>0</v>
      </c>
      <c r="T239" s="243"/>
      <c r="U239" s="243">
        <f t="shared" si="59"/>
        <v>0</v>
      </c>
      <c r="X239" s="243">
        <f t="shared" si="65"/>
        <v>0</v>
      </c>
      <c r="Z239" s="243"/>
      <c r="AA239" s="243">
        <f t="shared" si="60"/>
        <v>0</v>
      </c>
      <c r="AD239" s="243">
        <f t="shared" si="66"/>
        <v>0</v>
      </c>
      <c r="AF239" s="243">
        <f t="shared" si="58"/>
        <v>0</v>
      </c>
    </row>
    <row r="240" spans="1:32">
      <c r="B240" t="s">
        <v>1271</v>
      </c>
      <c r="C240" s="243">
        <v>0</v>
      </c>
      <c r="D240" s="243">
        <v>0</v>
      </c>
      <c r="E240" s="243">
        <v>0</v>
      </c>
      <c r="F240" s="243">
        <v>0</v>
      </c>
      <c r="G240" s="243">
        <v>0</v>
      </c>
      <c r="H240" s="243">
        <v>0</v>
      </c>
      <c r="I240" s="243">
        <v>0</v>
      </c>
      <c r="J240" s="243">
        <v>0</v>
      </c>
      <c r="K240" s="243">
        <v>0</v>
      </c>
      <c r="L240" s="243">
        <v>0</v>
      </c>
      <c r="M240" s="243">
        <v>0</v>
      </c>
      <c r="N240" s="243">
        <v>0</v>
      </c>
      <c r="O240" s="243">
        <f t="shared" si="57"/>
        <v>0</v>
      </c>
      <c r="R240" s="243">
        <f t="shared" si="64"/>
        <v>0</v>
      </c>
      <c r="T240" s="243"/>
      <c r="U240" s="243">
        <f t="shared" si="59"/>
        <v>0</v>
      </c>
      <c r="X240" s="243">
        <f t="shared" si="65"/>
        <v>0</v>
      </c>
      <c r="Z240" s="243"/>
      <c r="AA240" s="243">
        <f t="shared" si="60"/>
        <v>0</v>
      </c>
      <c r="AD240" s="243">
        <f t="shared" si="66"/>
        <v>0</v>
      </c>
      <c r="AF240" s="243">
        <f t="shared" si="58"/>
        <v>0</v>
      </c>
    </row>
    <row r="241" spans="1:32">
      <c r="A241" s="459" t="s">
        <v>1378</v>
      </c>
      <c r="B241" t="s">
        <v>1268</v>
      </c>
      <c r="C241" s="243">
        <v>0</v>
      </c>
      <c r="D241" s="243">
        <v>0</v>
      </c>
      <c r="E241" s="243">
        <v>0</v>
      </c>
      <c r="F241" s="243">
        <v>0</v>
      </c>
      <c r="G241" s="243">
        <v>0</v>
      </c>
      <c r="H241" s="243">
        <v>504.5</v>
      </c>
      <c r="I241" s="243">
        <v>0</v>
      </c>
      <c r="J241" s="243">
        <v>0</v>
      </c>
      <c r="K241" s="243">
        <v>0</v>
      </c>
      <c r="L241" s="243">
        <v>0</v>
      </c>
      <c r="M241" s="243">
        <v>0</v>
      </c>
      <c r="N241" s="243">
        <v>0</v>
      </c>
      <c r="O241" s="243">
        <f t="shared" ref="O241:O249" si="67">SUM(C241:N241)</f>
        <v>504.5</v>
      </c>
      <c r="R241" s="243">
        <f t="shared" ref="R241:R249" si="68">+O241+Q241</f>
        <v>504.5</v>
      </c>
      <c r="T241" s="243"/>
      <c r="U241" s="243">
        <f t="shared" si="59"/>
        <v>0</v>
      </c>
      <c r="X241" s="243">
        <f t="shared" ref="X241:X249" si="69">+U241+W241</f>
        <v>0</v>
      </c>
      <c r="Z241" s="243"/>
      <c r="AA241" s="243">
        <f t="shared" si="60"/>
        <v>504.5</v>
      </c>
      <c r="AD241" s="243">
        <f t="shared" ref="AD241:AD249" si="70">+AA241+AC241</f>
        <v>504.5</v>
      </c>
      <c r="AF241" s="243">
        <f t="shared" ref="AF241:AF249" si="71">IF(B241="CHE",X241/12,0)</f>
        <v>0</v>
      </c>
    </row>
    <row r="242" spans="1:32">
      <c r="B242" t="s">
        <v>1270</v>
      </c>
      <c r="C242" s="243">
        <v>0</v>
      </c>
      <c r="D242" s="243">
        <v>0</v>
      </c>
      <c r="E242" s="243">
        <v>0</v>
      </c>
      <c r="F242" s="243">
        <v>0</v>
      </c>
      <c r="G242" s="243">
        <v>0</v>
      </c>
      <c r="H242" s="243">
        <v>0</v>
      </c>
      <c r="I242" s="243">
        <v>0</v>
      </c>
      <c r="J242" s="243">
        <v>0</v>
      </c>
      <c r="K242" s="243">
        <v>0</v>
      </c>
      <c r="L242" s="243">
        <v>0</v>
      </c>
      <c r="M242" s="243">
        <v>0</v>
      </c>
      <c r="N242" s="243">
        <v>0</v>
      </c>
      <c r="O242" s="243">
        <f t="shared" si="67"/>
        <v>0</v>
      </c>
      <c r="R242" s="243">
        <f t="shared" si="68"/>
        <v>0</v>
      </c>
      <c r="T242" s="243"/>
      <c r="U242" s="243">
        <f t="shared" si="59"/>
        <v>0</v>
      </c>
      <c r="X242" s="243">
        <f t="shared" si="69"/>
        <v>0</v>
      </c>
      <c r="Z242" s="243"/>
      <c r="AA242" s="243">
        <f t="shared" si="60"/>
        <v>0</v>
      </c>
      <c r="AD242" s="243">
        <f t="shared" si="70"/>
        <v>0</v>
      </c>
      <c r="AF242" s="243">
        <f t="shared" si="71"/>
        <v>0</v>
      </c>
    </row>
    <row r="243" spans="1:32">
      <c r="B243" t="s">
        <v>1271</v>
      </c>
      <c r="C243" s="243">
        <v>0</v>
      </c>
      <c r="D243" s="243">
        <v>0</v>
      </c>
      <c r="E243" s="243">
        <v>0</v>
      </c>
      <c r="F243" s="243">
        <v>0</v>
      </c>
      <c r="G243" s="243">
        <v>0</v>
      </c>
      <c r="H243" s="243">
        <v>0</v>
      </c>
      <c r="I243" s="243">
        <v>0</v>
      </c>
      <c r="J243" s="243">
        <v>0</v>
      </c>
      <c r="K243" s="243">
        <v>0</v>
      </c>
      <c r="L243" s="243">
        <v>0</v>
      </c>
      <c r="M243" s="243">
        <v>0</v>
      </c>
      <c r="N243" s="243">
        <v>0</v>
      </c>
      <c r="O243" s="243">
        <f t="shared" si="67"/>
        <v>0</v>
      </c>
      <c r="R243" s="243">
        <f t="shared" si="68"/>
        <v>0</v>
      </c>
      <c r="T243" s="243"/>
      <c r="U243" s="243">
        <f t="shared" si="59"/>
        <v>0</v>
      </c>
      <c r="X243" s="243">
        <f t="shared" si="69"/>
        <v>0</v>
      </c>
      <c r="Z243" s="243"/>
      <c r="AA243" s="243">
        <f t="shared" si="60"/>
        <v>0</v>
      </c>
      <c r="AD243" s="243">
        <f t="shared" si="70"/>
        <v>0</v>
      </c>
      <c r="AF243" s="243">
        <f t="shared" si="71"/>
        <v>0</v>
      </c>
    </row>
    <row r="244" spans="1:32">
      <c r="A244" s="459" t="s">
        <v>1379</v>
      </c>
      <c r="B244" t="s">
        <v>1268</v>
      </c>
      <c r="C244" s="243">
        <v>0</v>
      </c>
      <c r="D244" s="243">
        <v>0</v>
      </c>
      <c r="E244" s="243">
        <v>0</v>
      </c>
      <c r="F244" s="243">
        <v>0</v>
      </c>
      <c r="G244" s="243">
        <v>0</v>
      </c>
      <c r="H244" s="243">
        <v>103.2</v>
      </c>
      <c r="I244" s="243">
        <v>0</v>
      </c>
      <c r="J244" s="243">
        <v>0</v>
      </c>
      <c r="K244" s="243">
        <v>0</v>
      </c>
      <c r="L244" s="243">
        <v>0</v>
      </c>
      <c r="M244" s="243">
        <v>0</v>
      </c>
      <c r="N244" s="243">
        <v>0</v>
      </c>
      <c r="O244" s="243">
        <f t="shared" si="67"/>
        <v>103.2</v>
      </c>
      <c r="R244" s="243">
        <f t="shared" si="68"/>
        <v>103.2</v>
      </c>
      <c r="T244" s="243"/>
      <c r="U244" s="243">
        <f t="shared" si="59"/>
        <v>0</v>
      </c>
      <c r="X244" s="243">
        <f t="shared" si="69"/>
        <v>0</v>
      </c>
      <c r="Z244" s="243"/>
      <c r="AA244" s="243">
        <f t="shared" si="60"/>
        <v>103.2</v>
      </c>
      <c r="AD244" s="243">
        <f t="shared" si="70"/>
        <v>103.2</v>
      </c>
      <c r="AF244" s="243">
        <f t="shared" si="71"/>
        <v>0</v>
      </c>
    </row>
    <row r="245" spans="1:32">
      <c r="B245" t="s">
        <v>1270</v>
      </c>
      <c r="C245" s="243">
        <v>0</v>
      </c>
      <c r="D245" s="243">
        <v>0</v>
      </c>
      <c r="E245" s="243">
        <v>0</v>
      </c>
      <c r="F245" s="243">
        <v>0</v>
      </c>
      <c r="G245" s="243">
        <v>0</v>
      </c>
      <c r="H245" s="243">
        <v>0</v>
      </c>
      <c r="I245" s="243">
        <v>0</v>
      </c>
      <c r="J245" s="243">
        <v>0</v>
      </c>
      <c r="K245" s="243">
        <v>0</v>
      </c>
      <c r="L245" s="243">
        <v>0</v>
      </c>
      <c r="M245" s="243">
        <v>0</v>
      </c>
      <c r="N245" s="243">
        <v>0</v>
      </c>
      <c r="O245" s="243">
        <f t="shared" si="67"/>
        <v>0</v>
      </c>
      <c r="R245" s="243">
        <f t="shared" si="68"/>
        <v>0</v>
      </c>
      <c r="T245" s="243"/>
      <c r="U245" s="243">
        <f t="shared" si="59"/>
        <v>0</v>
      </c>
      <c r="X245" s="243">
        <f t="shared" si="69"/>
        <v>0</v>
      </c>
      <c r="Z245" s="243"/>
      <c r="AA245" s="243">
        <f t="shared" si="60"/>
        <v>0</v>
      </c>
      <c r="AD245" s="243">
        <f t="shared" si="70"/>
        <v>0</v>
      </c>
      <c r="AF245" s="243">
        <f t="shared" si="71"/>
        <v>0</v>
      </c>
    </row>
    <row r="246" spans="1:32">
      <c r="B246" t="s">
        <v>1271</v>
      </c>
      <c r="C246" s="243">
        <v>0</v>
      </c>
      <c r="D246" s="243">
        <v>0</v>
      </c>
      <c r="E246" s="243">
        <v>0</v>
      </c>
      <c r="F246" s="243">
        <v>0</v>
      </c>
      <c r="G246" s="243">
        <v>0</v>
      </c>
      <c r="H246" s="243">
        <v>0</v>
      </c>
      <c r="I246" s="243">
        <v>0</v>
      </c>
      <c r="J246" s="243">
        <v>0</v>
      </c>
      <c r="K246" s="243">
        <v>0</v>
      </c>
      <c r="L246" s="243">
        <v>0</v>
      </c>
      <c r="M246" s="243">
        <v>0</v>
      </c>
      <c r="N246" s="243">
        <v>0</v>
      </c>
      <c r="O246" s="243">
        <f t="shared" si="67"/>
        <v>0</v>
      </c>
      <c r="R246" s="243">
        <f t="shared" si="68"/>
        <v>0</v>
      </c>
      <c r="T246" s="243"/>
      <c r="U246" s="243">
        <f t="shared" si="59"/>
        <v>0</v>
      </c>
      <c r="X246" s="243">
        <f t="shared" si="69"/>
        <v>0</v>
      </c>
      <c r="Z246" s="243"/>
      <c r="AA246" s="243">
        <f t="shared" si="60"/>
        <v>0</v>
      </c>
      <c r="AD246" s="243">
        <f t="shared" si="70"/>
        <v>0</v>
      </c>
      <c r="AF246" s="243">
        <f t="shared" si="71"/>
        <v>0</v>
      </c>
    </row>
    <row r="247" spans="1:32">
      <c r="A247" s="459" t="s">
        <v>1380</v>
      </c>
      <c r="B247" t="s">
        <v>1268</v>
      </c>
      <c r="C247" s="243">
        <v>0</v>
      </c>
      <c r="D247" s="243">
        <v>0</v>
      </c>
      <c r="E247" s="243">
        <v>0</v>
      </c>
      <c r="F247" s="243">
        <v>0</v>
      </c>
      <c r="G247" s="243">
        <v>0</v>
      </c>
      <c r="H247" s="243">
        <v>97</v>
      </c>
      <c r="I247" s="243">
        <v>0</v>
      </c>
      <c r="J247" s="243">
        <v>0</v>
      </c>
      <c r="K247" s="243">
        <v>0</v>
      </c>
      <c r="L247" s="243">
        <v>0</v>
      </c>
      <c r="M247" s="243">
        <v>0</v>
      </c>
      <c r="N247" s="243">
        <v>0</v>
      </c>
      <c r="O247" s="243">
        <f t="shared" si="67"/>
        <v>97</v>
      </c>
      <c r="R247" s="243">
        <f t="shared" si="68"/>
        <v>97</v>
      </c>
      <c r="T247" s="243"/>
      <c r="U247" s="243">
        <f t="shared" si="59"/>
        <v>0</v>
      </c>
      <c r="X247" s="243">
        <f t="shared" si="69"/>
        <v>0</v>
      </c>
      <c r="Z247" s="243"/>
      <c r="AA247" s="243">
        <f t="shared" si="60"/>
        <v>97</v>
      </c>
      <c r="AD247" s="243">
        <f t="shared" si="70"/>
        <v>97</v>
      </c>
      <c r="AF247" s="243">
        <f t="shared" si="71"/>
        <v>0</v>
      </c>
    </row>
    <row r="248" spans="1:32">
      <c r="B248" t="s">
        <v>1270</v>
      </c>
      <c r="C248" s="243">
        <v>0</v>
      </c>
      <c r="D248" s="243">
        <v>0</v>
      </c>
      <c r="E248" s="243">
        <v>0</v>
      </c>
      <c r="F248" s="243">
        <v>0</v>
      </c>
      <c r="G248" s="243">
        <v>0</v>
      </c>
      <c r="H248" s="243">
        <v>0</v>
      </c>
      <c r="I248" s="243">
        <v>0</v>
      </c>
      <c r="J248" s="243">
        <v>0</v>
      </c>
      <c r="K248" s="243">
        <v>0</v>
      </c>
      <c r="L248" s="243">
        <v>0</v>
      </c>
      <c r="M248" s="243">
        <v>0</v>
      </c>
      <c r="N248" s="243">
        <v>0</v>
      </c>
      <c r="O248" s="243">
        <f t="shared" si="67"/>
        <v>0</v>
      </c>
      <c r="R248" s="243">
        <f t="shared" si="68"/>
        <v>0</v>
      </c>
      <c r="T248" s="243"/>
      <c r="U248" s="243">
        <f t="shared" si="59"/>
        <v>0</v>
      </c>
      <c r="X248" s="243">
        <f t="shared" si="69"/>
        <v>0</v>
      </c>
      <c r="Z248" s="243"/>
      <c r="AA248" s="243">
        <f t="shared" si="60"/>
        <v>0</v>
      </c>
      <c r="AD248" s="243">
        <f t="shared" si="70"/>
        <v>0</v>
      </c>
      <c r="AF248" s="243">
        <f t="shared" si="71"/>
        <v>0</v>
      </c>
    </row>
    <row r="249" spans="1:32">
      <c r="B249" t="s">
        <v>1271</v>
      </c>
      <c r="C249" s="243">
        <v>0</v>
      </c>
      <c r="D249" s="243">
        <v>0</v>
      </c>
      <c r="E249" s="243">
        <v>0</v>
      </c>
      <c r="F249" s="243">
        <v>0</v>
      </c>
      <c r="G249" s="243">
        <v>0</v>
      </c>
      <c r="H249" s="243">
        <v>0</v>
      </c>
      <c r="I249" s="243">
        <v>0</v>
      </c>
      <c r="J249" s="243">
        <v>0</v>
      </c>
      <c r="K249" s="243">
        <v>0</v>
      </c>
      <c r="L249" s="243">
        <v>0</v>
      </c>
      <c r="M249" s="243">
        <v>0</v>
      </c>
      <c r="N249" s="243">
        <v>0</v>
      </c>
      <c r="O249" s="243">
        <f t="shared" si="67"/>
        <v>0</v>
      </c>
      <c r="R249" s="243">
        <f t="shared" si="68"/>
        <v>0</v>
      </c>
      <c r="T249" s="243"/>
      <c r="U249" s="243">
        <f t="shared" si="59"/>
        <v>0</v>
      </c>
      <c r="X249" s="243">
        <f t="shared" si="69"/>
        <v>0</v>
      </c>
      <c r="Z249" s="243"/>
      <c r="AA249" s="243">
        <f t="shared" si="60"/>
        <v>0</v>
      </c>
      <c r="AD249" s="243">
        <f t="shared" si="70"/>
        <v>0</v>
      </c>
      <c r="AF249" s="243">
        <f t="shared" si="71"/>
        <v>0</v>
      </c>
    </row>
    <row r="250" spans="1:32">
      <c r="A250" t="s">
        <v>1253</v>
      </c>
      <c r="B250" t="s">
        <v>1268</v>
      </c>
      <c r="C250" s="243">
        <v>0</v>
      </c>
      <c r="D250" s="243">
        <v>0</v>
      </c>
      <c r="E250" s="243">
        <v>0</v>
      </c>
      <c r="F250" s="243">
        <v>0</v>
      </c>
      <c r="G250" s="243">
        <v>0</v>
      </c>
      <c r="H250" s="243">
        <v>7695</v>
      </c>
      <c r="I250" s="243">
        <v>0</v>
      </c>
      <c r="J250" s="243">
        <v>0</v>
      </c>
      <c r="K250" s="243">
        <v>0</v>
      </c>
      <c r="L250" s="243">
        <v>0</v>
      </c>
      <c r="M250" s="243">
        <v>0</v>
      </c>
      <c r="N250" s="243">
        <v>0</v>
      </c>
      <c r="O250" s="243">
        <f t="shared" si="57"/>
        <v>7695</v>
      </c>
      <c r="Q250" s="243">
        <f t="shared" ref="Q250:Q255" si="72">-Q178</f>
        <v>77</v>
      </c>
      <c r="R250" s="243">
        <f t="shared" si="64"/>
        <v>7772</v>
      </c>
      <c r="T250" s="243"/>
      <c r="U250" s="243">
        <f t="shared" si="59"/>
        <v>0</v>
      </c>
      <c r="W250" s="243">
        <f t="shared" ref="W250:W255" si="73">-W178</f>
        <v>0</v>
      </c>
      <c r="X250" s="243">
        <f t="shared" si="65"/>
        <v>0</v>
      </c>
      <c r="Z250" s="243"/>
      <c r="AA250" s="243">
        <f t="shared" si="60"/>
        <v>7695</v>
      </c>
      <c r="AC250" s="243">
        <f t="shared" ref="AC250:AC255" si="74">-AC178</f>
        <v>77</v>
      </c>
      <c r="AD250" s="243">
        <f t="shared" si="66"/>
        <v>7772</v>
      </c>
      <c r="AF250" s="243">
        <f t="shared" si="58"/>
        <v>0</v>
      </c>
    </row>
    <row r="251" spans="1:32">
      <c r="B251" t="s">
        <v>1270</v>
      </c>
      <c r="C251" s="243">
        <v>0</v>
      </c>
      <c r="D251" s="243">
        <v>0</v>
      </c>
      <c r="E251" s="243">
        <v>0</v>
      </c>
      <c r="F251" s="243">
        <v>0</v>
      </c>
      <c r="G251" s="243">
        <v>0</v>
      </c>
      <c r="H251" s="243">
        <v>957</v>
      </c>
      <c r="I251" s="243">
        <v>0</v>
      </c>
      <c r="J251" s="243">
        <v>0</v>
      </c>
      <c r="K251" s="243">
        <v>0</v>
      </c>
      <c r="L251" s="243">
        <v>0</v>
      </c>
      <c r="M251" s="243">
        <v>0</v>
      </c>
      <c r="N251" s="243">
        <v>0</v>
      </c>
      <c r="O251" s="243">
        <f t="shared" si="57"/>
        <v>957</v>
      </c>
      <c r="Q251" s="243">
        <f t="shared" si="72"/>
        <v>1</v>
      </c>
      <c r="R251" s="243">
        <f t="shared" si="64"/>
        <v>958</v>
      </c>
      <c r="T251" s="243"/>
      <c r="U251" s="243">
        <f t="shared" si="59"/>
        <v>0</v>
      </c>
      <c r="W251" s="243">
        <f t="shared" si="73"/>
        <v>0</v>
      </c>
      <c r="X251" s="243">
        <f t="shared" si="65"/>
        <v>0</v>
      </c>
      <c r="Z251" s="243"/>
      <c r="AA251" s="243">
        <f t="shared" si="60"/>
        <v>957</v>
      </c>
      <c r="AC251" s="243">
        <f t="shared" si="74"/>
        <v>1</v>
      </c>
      <c r="AD251" s="243">
        <f t="shared" si="66"/>
        <v>958</v>
      </c>
      <c r="AF251" s="243">
        <f t="shared" si="58"/>
        <v>0</v>
      </c>
    </row>
    <row r="252" spans="1:32">
      <c r="B252" t="s">
        <v>1271</v>
      </c>
      <c r="C252" s="243">
        <v>0</v>
      </c>
      <c r="D252" s="243">
        <v>0</v>
      </c>
      <c r="E252" s="243">
        <v>0</v>
      </c>
      <c r="F252" s="243">
        <v>0</v>
      </c>
      <c r="G252" s="243">
        <v>0</v>
      </c>
      <c r="H252" s="243">
        <v>1692</v>
      </c>
      <c r="I252" s="243">
        <v>0</v>
      </c>
      <c r="J252" s="243">
        <v>0</v>
      </c>
      <c r="K252" s="243">
        <v>0</v>
      </c>
      <c r="L252" s="243">
        <v>0</v>
      </c>
      <c r="M252" s="243">
        <v>0</v>
      </c>
      <c r="N252" s="243">
        <v>0</v>
      </c>
      <c r="O252" s="243">
        <f t="shared" si="57"/>
        <v>1692</v>
      </c>
      <c r="Q252" s="243">
        <f t="shared" si="72"/>
        <v>3</v>
      </c>
      <c r="R252" s="243">
        <f t="shared" si="64"/>
        <v>1695</v>
      </c>
      <c r="T252" s="243"/>
      <c r="U252" s="243">
        <f t="shared" si="59"/>
        <v>0</v>
      </c>
      <c r="W252" s="243">
        <f t="shared" si="73"/>
        <v>0</v>
      </c>
      <c r="X252" s="243">
        <f t="shared" si="65"/>
        <v>0</v>
      </c>
      <c r="Z252" s="243"/>
      <c r="AA252" s="243">
        <f t="shared" si="60"/>
        <v>1692</v>
      </c>
      <c r="AC252" s="243">
        <f t="shared" si="74"/>
        <v>3</v>
      </c>
      <c r="AD252" s="243">
        <f t="shared" si="66"/>
        <v>1695</v>
      </c>
      <c r="AF252" s="243">
        <f t="shared" si="58"/>
        <v>0</v>
      </c>
    </row>
    <row r="253" spans="1:32">
      <c r="A253" t="s">
        <v>1254</v>
      </c>
      <c r="B253" t="s">
        <v>1268</v>
      </c>
      <c r="C253" s="243">
        <v>0</v>
      </c>
      <c r="D253" s="243">
        <v>0</v>
      </c>
      <c r="E253" s="243">
        <v>0</v>
      </c>
      <c r="F253" s="243">
        <v>0</v>
      </c>
      <c r="G253" s="243">
        <v>0</v>
      </c>
      <c r="H253" s="243">
        <v>2577</v>
      </c>
      <c r="I253" s="243">
        <v>0</v>
      </c>
      <c r="J253" s="243">
        <v>0</v>
      </c>
      <c r="K253" s="243">
        <v>0</v>
      </c>
      <c r="L253" s="243">
        <v>0</v>
      </c>
      <c r="M253" s="243">
        <v>0</v>
      </c>
      <c r="N253" s="243">
        <v>0</v>
      </c>
      <c r="O253" s="243">
        <f t="shared" si="57"/>
        <v>2577</v>
      </c>
      <c r="Q253" s="243">
        <f t="shared" si="72"/>
        <v>9</v>
      </c>
      <c r="R253" s="243">
        <f t="shared" si="64"/>
        <v>2586</v>
      </c>
      <c r="T253" s="243"/>
      <c r="U253" s="243">
        <f t="shared" si="59"/>
        <v>0</v>
      </c>
      <c r="W253" s="243">
        <f t="shared" si="73"/>
        <v>0</v>
      </c>
      <c r="X253" s="243">
        <f t="shared" si="65"/>
        <v>0</v>
      </c>
      <c r="Z253" s="243"/>
      <c r="AA253" s="243">
        <f t="shared" si="60"/>
        <v>2577</v>
      </c>
      <c r="AC253" s="243">
        <f t="shared" si="74"/>
        <v>9</v>
      </c>
      <c r="AD253" s="243">
        <f t="shared" si="66"/>
        <v>2586</v>
      </c>
      <c r="AF253" s="243">
        <f t="shared" si="58"/>
        <v>0</v>
      </c>
    </row>
    <row r="254" spans="1:32">
      <c r="B254" t="s">
        <v>1270</v>
      </c>
      <c r="C254" s="243">
        <v>0</v>
      </c>
      <c r="D254" s="243">
        <v>0</v>
      </c>
      <c r="E254" s="243">
        <v>0</v>
      </c>
      <c r="F254" s="243">
        <v>0</v>
      </c>
      <c r="G254" s="243">
        <v>0</v>
      </c>
      <c r="H254" s="243">
        <v>0</v>
      </c>
      <c r="I254" s="243">
        <v>0</v>
      </c>
      <c r="J254" s="243">
        <v>0</v>
      </c>
      <c r="K254" s="243">
        <v>0</v>
      </c>
      <c r="L254" s="243">
        <v>0</v>
      </c>
      <c r="M254" s="243">
        <v>0</v>
      </c>
      <c r="N254" s="243">
        <v>0</v>
      </c>
      <c r="O254" s="243">
        <f t="shared" si="57"/>
        <v>0</v>
      </c>
      <c r="Q254" s="243">
        <f t="shared" si="72"/>
        <v>0</v>
      </c>
      <c r="R254" s="243">
        <f t="shared" si="64"/>
        <v>0</v>
      </c>
      <c r="T254" s="243"/>
      <c r="U254" s="243">
        <f t="shared" si="59"/>
        <v>0</v>
      </c>
      <c r="W254" s="243">
        <f t="shared" si="73"/>
        <v>0</v>
      </c>
      <c r="X254" s="243">
        <f t="shared" si="65"/>
        <v>0</v>
      </c>
      <c r="Z254" s="243"/>
      <c r="AA254" s="243">
        <f t="shared" si="60"/>
        <v>0</v>
      </c>
      <c r="AC254" s="243">
        <f t="shared" si="74"/>
        <v>0</v>
      </c>
      <c r="AD254" s="243">
        <f t="shared" si="66"/>
        <v>0</v>
      </c>
      <c r="AF254" s="243">
        <f t="shared" si="58"/>
        <v>0</v>
      </c>
    </row>
    <row r="255" spans="1:32">
      <c r="B255" t="s">
        <v>1271</v>
      </c>
      <c r="C255" s="243">
        <v>0</v>
      </c>
      <c r="D255" s="243">
        <v>0</v>
      </c>
      <c r="E255" s="243">
        <v>0</v>
      </c>
      <c r="F255" s="243">
        <v>0</v>
      </c>
      <c r="G255" s="243">
        <v>0</v>
      </c>
      <c r="H255" s="243">
        <v>0</v>
      </c>
      <c r="I255" s="243">
        <v>0</v>
      </c>
      <c r="J255" s="243">
        <v>0</v>
      </c>
      <c r="K255" s="243">
        <v>0</v>
      </c>
      <c r="L255" s="243">
        <v>0</v>
      </c>
      <c r="M255" s="243">
        <v>0</v>
      </c>
      <c r="N255" s="243">
        <v>0</v>
      </c>
      <c r="O255" s="243">
        <f t="shared" si="57"/>
        <v>0</v>
      </c>
      <c r="Q255" s="243">
        <f t="shared" si="72"/>
        <v>0</v>
      </c>
      <c r="R255" s="243">
        <f t="shared" si="64"/>
        <v>0</v>
      </c>
      <c r="T255" s="243"/>
      <c r="U255" s="243">
        <f t="shared" si="59"/>
        <v>0</v>
      </c>
      <c r="W255" s="243">
        <f t="shared" si="73"/>
        <v>0</v>
      </c>
      <c r="X255" s="243">
        <f t="shared" si="65"/>
        <v>0</v>
      </c>
      <c r="Z255" s="243"/>
      <c r="AA255" s="243">
        <f t="shared" si="60"/>
        <v>0</v>
      </c>
      <c r="AC255" s="243">
        <f t="shared" si="74"/>
        <v>0</v>
      </c>
      <c r="AD255" s="243">
        <f t="shared" si="66"/>
        <v>0</v>
      </c>
      <c r="AF255" s="243">
        <f t="shared" si="58"/>
        <v>0</v>
      </c>
    </row>
    <row r="256" spans="1:32">
      <c r="A256" t="s">
        <v>1342</v>
      </c>
      <c r="B256" t="s">
        <v>1268</v>
      </c>
      <c r="C256" s="243">
        <v>0</v>
      </c>
      <c r="D256" s="243">
        <v>0</v>
      </c>
      <c r="E256" s="243">
        <v>0</v>
      </c>
      <c r="F256" s="243">
        <v>0</v>
      </c>
      <c r="G256" s="243">
        <v>0</v>
      </c>
      <c r="H256" s="243">
        <v>698</v>
      </c>
      <c r="I256" s="243">
        <v>0</v>
      </c>
      <c r="J256" s="243">
        <v>0</v>
      </c>
      <c r="K256" s="243">
        <v>0</v>
      </c>
      <c r="L256" s="243">
        <v>0</v>
      </c>
      <c r="M256" s="243">
        <v>0</v>
      </c>
      <c r="N256" s="243">
        <v>0</v>
      </c>
      <c r="O256" s="243">
        <f>SUM(C256:N256)</f>
        <v>698</v>
      </c>
      <c r="Q256" s="243"/>
      <c r="R256" s="243">
        <f>+O256+Q256</f>
        <v>698</v>
      </c>
      <c r="T256" s="243"/>
      <c r="U256" s="243">
        <f t="shared" si="59"/>
        <v>0</v>
      </c>
      <c r="W256" s="243"/>
      <c r="X256" s="243">
        <f>+U256+W256</f>
        <v>0</v>
      </c>
      <c r="Z256" s="243"/>
      <c r="AA256" s="243">
        <f t="shared" si="60"/>
        <v>698</v>
      </c>
      <c r="AC256" s="243"/>
      <c r="AD256" s="243">
        <f>+AA256+AC256</f>
        <v>698</v>
      </c>
      <c r="AF256" s="243">
        <f t="shared" si="58"/>
        <v>0</v>
      </c>
    </row>
    <row r="257" spans="1:32">
      <c r="B257" t="s">
        <v>1270</v>
      </c>
      <c r="C257" s="243">
        <v>0</v>
      </c>
      <c r="D257" s="243">
        <v>0</v>
      </c>
      <c r="E257" s="243">
        <v>0</v>
      </c>
      <c r="F257" s="243">
        <v>0</v>
      </c>
      <c r="G257" s="243">
        <v>0</v>
      </c>
      <c r="H257" s="243">
        <v>0</v>
      </c>
      <c r="I257" s="243">
        <v>0</v>
      </c>
      <c r="J257" s="243">
        <v>0</v>
      </c>
      <c r="K257" s="243">
        <v>0</v>
      </c>
      <c r="L257" s="243">
        <v>0</v>
      </c>
      <c r="M257" s="243">
        <v>0</v>
      </c>
      <c r="N257" s="243">
        <v>0</v>
      </c>
      <c r="O257" s="243">
        <f>SUM(C257:N257)</f>
        <v>0</v>
      </c>
      <c r="Q257" s="243"/>
      <c r="R257" s="243">
        <f>+O257+Q257</f>
        <v>0</v>
      </c>
      <c r="T257" s="243"/>
      <c r="U257" s="243">
        <f t="shared" si="59"/>
        <v>0</v>
      </c>
      <c r="W257" s="243"/>
      <c r="X257" s="243">
        <f>+U257+W257</f>
        <v>0</v>
      </c>
      <c r="Z257" s="243"/>
      <c r="AA257" s="243">
        <f t="shared" si="60"/>
        <v>0</v>
      </c>
      <c r="AC257" s="243"/>
      <c r="AD257" s="243">
        <f>+AA257+AC257</f>
        <v>0</v>
      </c>
      <c r="AF257" s="243">
        <f t="shared" si="58"/>
        <v>0</v>
      </c>
    </row>
    <row r="258" spans="1:32">
      <c r="B258" t="s">
        <v>1271</v>
      </c>
      <c r="C258" s="243">
        <v>0</v>
      </c>
      <c r="D258" s="243">
        <v>0</v>
      </c>
      <c r="E258" s="243">
        <v>0</v>
      </c>
      <c r="F258" s="243">
        <v>0</v>
      </c>
      <c r="G258" s="243">
        <v>0</v>
      </c>
      <c r="H258" s="243">
        <v>0</v>
      </c>
      <c r="I258" s="243">
        <v>0</v>
      </c>
      <c r="J258" s="243">
        <v>0</v>
      </c>
      <c r="K258" s="243">
        <v>0</v>
      </c>
      <c r="L258" s="243">
        <v>0</v>
      </c>
      <c r="M258" s="243">
        <v>0</v>
      </c>
      <c r="N258" s="243">
        <v>0</v>
      </c>
      <c r="O258" s="243">
        <f>SUM(C258:N258)</f>
        <v>0</v>
      </c>
      <c r="Q258" s="243"/>
      <c r="R258" s="243">
        <f>+O258+Q258</f>
        <v>0</v>
      </c>
      <c r="T258" s="243"/>
      <c r="U258" s="243">
        <f t="shared" si="59"/>
        <v>0</v>
      </c>
      <c r="W258" s="243"/>
      <c r="X258" s="243">
        <f>+U258+W258</f>
        <v>0</v>
      </c>
      <c r="Z258" s="243"/>
      <c r="AA258" s="243">
        <f t="shared" si="60"/>
        <v>0</v>
      </c>
      <c r="AC258" s="243"/>
      <c r="AD258" s="243">
        <f>+AA258+AC258</f>
        <v>0</v>
      </c>
      <c r="AF258" s="243">
        <f t="shared" si="58"/>
        <v>0</v>
      </c>
    </row>
    <row r="259" spans="1:32">
      <c r="A259" t="s">
        <v>1255</v>
      </c>
      <c r="B259" t="s">
        <v>1268</v>
      </c>
      <c r="C259" s="243">
        <v>0</v>
      </c>
      <c r="D259" s="243">
        <v>0</v>
      </c>
      <c r="E259" s="243">
        <v>0</v>
      </c>
      <c r="F259" s="243">
        <v>0</v>
      </c>
      <c r="G259" s="243">
        <v>0</v>
      </c>
      <c r="H259" s="243">
        <v>8215</v>
      </c>
      <c r="I259" s="243">
        <v>0</v>
      </c>
      <c r="J259" s="243">
        <v>0</v>
      </c>
      <c r="K259" s="243">
        <v>0</v>
      </c>
      <c r="L259" s="243">
        <v>0</v>
      </c>
      <c r="M259" s="243">
        <v>0</v>
      </c>
      <c r="N259" s="243">
        <v>0</v>
      </c>
      <c r="O259" s="243">
        <f t="shared" si="57"/>
        <v>8215</v>
      </c>
      <c r="Q259" s="243">
        <f>-Q184</f>
        <v>46</v>
      </c>
      <c r="R259" s="243">
        <f t="shared" si="64"/>
        <v>8261</v>
      </c>
      <c r="T259" s="243"/>
      <c r="U259" s="243">
        <f t="shared" si="59"/>
        <v>0</v>
      </c>
      <c r="W259" s="243">
        <f>-W184</f>
        <v>0</v>
      </c>
      <c r="X259" s="243">
        <f t="shared" si="65"/>
        <v>0</v>
      </c>
      <c r="Z259" s="243"/>
      <c r="AA259" s="243">
        <f t="shared" si="60"/>
        <v>8215</v>
      </c>
      <c r="AC259" s="243">
        <f>-AC184</f>
        <v>46</v>
      </c>
      <c r="AD259" s="243">
        <f t="shared" si="66"/>
        <v>8261</v>
      </c>
      <c r="AF259" s="243">
        <f t="shared" si="58"/>
        <v>0</v>
      </c>
    </row>
    <row r="260" spans="1:32">
      <c r="B260" t="s">
        <v>1270</v>
      </c>
      <c r="C260" s="243">
        <v>0</v>
      </c>
      <c r="D260" s="243">
        <v>0</v>
      </c>
      <c r="E260" s="243">
        <v>0</v>
      </c>
      <c r="F260" s="243">
        <v>0</v>
      </c>
      <c r="G260" s="243">
        <v>0</v>
      </c>
      <c r="H260" s="243">
        <v>704</v>
      </c>
      <c r="I260" s="243">
        <v>0</v>
      </c>
      <c r="J260" s="243">
        <v>0</v>
      </c>
      <c r="K260" s="243">
        <v>0</v>
      </c>
      <c r="L260" s="243">
        <v>0</v>
      </c>
      <c r="M260" s="243">
        <v>0</v>
      </c>
      <c r="N260" s="243">
        <v>0</v>
      </c>
      <c r="O260" s="243">
        <f t="shared" si="57"/>
        <v>704</v>
      </c>
      <c r="Q260" s="243">
        <f>-Q185</f>
        <v>3</v>
      </c>
      <c r="R260" s="243">
        <f t="shared" si="64"/>
        <v>707</v>
      </c>
      <c r="T260" s="243"/>
      <c r="U260" s="243">
        <f t="shared" si="59"/>
        <v>0</v>
      </c>
      <c r="W260" s="243">
        <f>-W185</f>
        <v>0</v>
      </c>
      <c r="X260" s="243">
        <f t="shared" si="65"/>
        <v>0</v>
      </c>
      <c r="Z260" s="243"/>
      <c r="AA260" s="243">
        <f t="shared" si="60"/>
        <v>704</v>
      </c>
      <c r="AC260" s="243">
        <f>-AC185</f>
        <v>3</v>
      </c>
      <c r="AD260" s="243">
        <f t="shared" si="66"/>
        <v>707</v>
      </c>
      <c r="AF260" s="243">
        <f t="shared" si="58"/>
        <v>0</v>
      </c>
    </row>
    <row r="261" spans="1:32">
      <c r="B261" t="s">
        <v>1271</v>
      </c>
      <c r="C261" s="243">
        <v>0</v>
      </c>
      <c r="D261" s="243">
        <v>0</v>
      </c>
      <c r="E261" s="243">
        <v>0</v>
      </c>
      <c r="F261" s="243">
        <v>0</v>
      </c>
      <c r="G261" s="243">
        <v>0</v>
      </c>
      <c r="H261" s="243">
        <v>2194</v>
      </c>
      <c r="I261" s="243">
        <v>0</v>
      </c>
      <c r="J261" s="243">
        <v>0</v>
      </c>
      <c r="K261" s="243">
        <v>0</v>
      </c>
      <c r="L261" s="243">
        <v>0</v>
      </c>
      <c r="M261" s="243">
        <v>0</v>
      </c>
      <c r="N261" s="243">
        <v>0</v>
      </c>
      <c r="O261" s="243">
        <f t="shared" si="57"/>
        <v>2194</v>
      </c>
      <c r="Q261" s="243">
        <f>-Q186</f>
        <v>5</v>
      </c>
      <c r="R261" s="243">
        <f t="shared" si="64"/>
        <v>2199</v>
      </c>
      <c r="T261" s="243"/>
      <c r="U261" s="243">
        <f t="shared" si="59"/>
        <v>0</v>
      </c>
      <c r="W261" s="243">
        <f>-W186</f>
        <v>0</v>
      </c>
      <c r="X261" s="243">
        <f t="shared" si="65"/>
        <v>0</v>
      </c>
      <c r="Z261" s="243"/>
      <c r="AA261" s="243">
        <f t="shared" si="60"/>
        <v>2194</v>
      </c>
      <c r="AC261" s="243">
        <f>-AC186</f>
        <v>5</v>
      </c>
      <c r="AD261" s="243">
        <f t="shared" si="66"/>
        <v>2199</v>
      </c>
      <c r="AF261" s="243">
        <f t="shared" si="58"/>
        <v>0</v>
      </c>
    </row>
    <row r="262" spans="1:32">
      <c r="A262" t="s">
        <v>1343</v>
      </c>
      <c r="B262" t="s">
        <v>1268</v>
      </c>
      <c r="C262" s="243">
        <v>0</v>
      </c>
      <c r="D262" s="243">
        <v>0</v>
      </c>
      <c r="E262" s="243">
        <v>0</v>
      </c>
      <c r="F262" s="243">
        <v>0</v>
      </c>
      <c r="G262" s="243">
        <v>0</v>
      </c>
      <c r="H262" s="243">
        <v>251</v>
      </c>
      <c r="I262" s="243">
        <v>0</v>
      </c>
      <c r="J262" s="243">
        <v>0</v>
      </c>
      <c r="K262" s="243">
        <v>0</v>
      </c>
      <c r="L262" s="243">
        <v>0</v>
      </c>
      <c r="M262" s="243">
        <v>0</v>
      </c>
      <c r="N262" s="243">
        <v>0</v>
      </c>
      <c r="O262" s="243">
        <f>SUM(C262:N262)</f>
        <v>251</v>
      </c>
      <c r="Q262" s="243"/>
      <c r="R262" s="243">
        <f>+O262+Q262</f>
        <v>251</v>
      </c>
      <c r="T262" s="243"/>
      <c r="U262" s="243">
        <f t="shared" si="59"/>
        <v>0</v>
      </c>
      <c r="W262" s="243"/>
      <c r="X262" s="243">
        <f>+U262+W262</f>
        <v>0</v>
      </c>
      <c r="Z262" s="243"/>
      <c r="AA262" s="243">
        <f t="shared" si="60"/>
        <v>251</v>
      </c>
      <c r="AC262" s="243"/>
      <c r="AD262" s="243">
        <f>+AA262+AC262</f>
        <v>251</v>
      </c>
      <c r="AF262" s="243">
        <f t="shared" si="58"/>
        <v>0</v>
      </c>
    </row>
    <row r="263" spans="1:32">
      <c r="B263" t="s">
        <v>1270</v>
      </c>
      <c r="C263" s="243">
        <v>0</v>
      </c>
      <c r="D263" s="243">
        <v>0</v>
      </c>
      <c r="E263" s="243">
        <v>0</v>
      </c>
      <c r="F263" s="243">
        <v>0</v>
      </c>
      <c r="G263" s="243">
        <v>0</v>
      </c>
      <c r="H263" s="243">
        <v>0</v>
      </c>
      <c r="I263" s="243">
        <v>0</v>
      </c>
      <c r="J263" s="243">
        <v>0</v>
      </c>
      <c r="K263" s="243">
        <v>0</v>
      </c>
      <c r="L263" s="243">
        <v>0</v>
      </c>
      <c r="M263" s="243">
        <v>0</v>
      </c>
      <c r="N263" s="243">
        <v>0</v>
      </c>
      <c r="O263" s="243">
        <f>SUM(C263:N263)</f>
        <v>0</v>
      </c>
      <c r="Q263" s="243">
        <f>-Q188+Q275</f>
        <v>0</v>
      </c>
      <c r="R263" s="243">
        <f>+O263+Q263</f>
        <v>0</v>
      </c>
      <c r="T263" s="243"/>
      <c r="U263" s="243">
        <f t="shared" si="59"/>
        <v>0</v>
      </c>
      <c r="W263" s="243"/>
      <c r="X263" s="243">
        <f>+U263+W263</f>
        <v>0</v>
      </c>
      <c r="Z263" s="243"/>
      <c r="AA263" s="243">
        <f t="shared" si="60"/>
        <v>0</v>
      </c>
      <c r="AC263" s="243"/>
      <c r="AD263" s="243">
        <f>+AA263+AC263</f>
        <v>0</v>
      </c>
      <c r="AF263" s="243">
        <f t="shared" si="58"/>
        <v>0</v>
      </c>
    </row>
    <row r="264" spans="1:32">
      <c r="B264" t="s">
        <v>1271</v>
      </c>
      <c r="C264" s="243">
        <v>0</v>
      </c>
      <c r="D264" s="243">
        <v>0</v>
      </c>
      <c r="E264" s="243">
        <v>0</v>
      </c>
      <c r="F264" s="243">
        <v>0</v>
      </c>
      <c r="G264" s="243">
        <v>0</v>
      </c>
      <c r="H264" s="243">
        <v>0</v>
      </c>
      <c r="I264" s="243">
        <v>0</v>
      </c>
      <c r="J264" s="243">
        <v>0</v>
      </c>
      <c r="K264" s="243">
        <v>0</v>
      </c>
      <c r="L264" s="243">
        <v>0</v>
      </c>
      <c r="M264" s="243">
        <v>0</v>
      </c>
      <c r="N264" s="243">
        <v>0</v>
      </c>
      <c r="O264" s="243">
        <f>SUM(C264:N264)</f>
        <v>0</v>
      </c>
      <c r="Q264" s="243">
        <f>-Q189+Q276</f>
        <v>0</v>
      </c>
      <c r="R264" s="243">
        <f>+O264+Q264</f>
        <v>0</v>
      </c>
      <c r="T264" s="243"/>
      <c r="U264" s="243">
        <f t="shared" si="59"/>
        <v>0</v>
      </c>
      <c r="W264" s="243"/>
      <c r="X264" s="243">
        <f>+U264+W264</f>
        <v>0</v>
      </c>
      <c r="Z264" s="243"/>
      <c r="AA264" s="243">
        <f t="shared" si="60"/>
        <v>0</v>
      </c>
      <c r="AC264" s="243"/>
      <c r="AD264" s="243">
        <f>+AA264+AC264</f>
        <v>0</v>
      </c>
      <c r="AF264" s="243">
        <f t="shared" ref="AF264:AF276" si="75">IF(B264="CHE",X264/12,0)</f>
        <v>0</v>
      </c>
    </row>
    <row r="265" spans="1:32">
      <c r="A265" t="s">
        <v>1256</v>
      </c>
      <c r="B265" t="s">
        <v>1268</v>
      </c>
      <c r="C265" s="243">
        <v>0</v>
      </c>
      <c r="D265" s="243">
        <v>0</v>
      </c>
      <c r="E265" s="243">
        <v>0</v>
      </c>
      <c r="F265" s="243">
        <v>0</v>
      </c>
      <c r="G265" s="243">
        <v>0</v>
      </c>
      <c r="H265" s="243">
        <v>693</v>
      </c>
      <c r="I265" s="243">
        <v>0</v>
      </c>
      <c r="J265" s="243">
        <v>0</v>
      </c>
      <c r="K265" s="243">
        <v>0</v>
      </c>
      <c r="L265" s="243">
        <v>0</v>
      </c>
      <c r="M265" s="243">
        <v>0</v>
      </c>
      <c r="N265" s="243">
        <v>0</v>
      </c>
      <c r="O265" s="243">
        <f t="shared" si="57"/>
        <v>693</v>
      </c>
      <c r="Q265" s="243">
        <f>-Q187</f>
        <v>1</v>
      </c>
      <c r="R265" s="243">
        <f t="shared" si="64"/>
        <v>694</v>
      </c>
      <c r="T265" s="243"/>
      <c r="U265" s="243">
        <f t="shared" si="59"/>
        <v>0</v>
      </c>
      <c r="W265" s="243">
        <f>-W187</f>
        <v>0</v>
      </c>
      <c r="X265" s="243">
        <f t="shared" si="65"/>
        <v>0</v>
      </c>
      <c r="Z265" s="243"/>
      <c r="AA265" s="243">
        <f t="shared" si="60"/>
        <v>693</v>
      </c>
      <c r="AC265" s="243">
        <f>-AC187</f>
        <v>1</v>
      </c>
      <c r="AD265" s="243">
        <f t="shared" si="66"/>
        <v>694</v>
      </c>
      <c r="AF265" s="243">
        <f t="shared" si="75"/>
        <v>0</v>
      </c>
    </row>
    <row r="266" spans="1:32">
      <c r="B266" t="s">
        <v>1270</v>
      </c>
      <c r="C266" s="243">
        <v>0</v>
      </c>
      <c r="D266" s="243">
        <v>0</v>
      </c>
      <c r="E266" s="243">
        <v>0</v>
      </c>
      <c r="F266" s="243">
        <v>0</v>
      </c>
      <c r="G266" s="243">
        <v>0</v>
      </c>
      <c r="H266" s="243">
        <v>52</v>
      </c>
      <c r="I266" s="243">
        <v>0</v>
      </c>
      <c r="J266" s="243">
        <v>0</v>
      </c>
      <c r="K266" s="243">
        <v>0</v>
      </c>
      <c r="L266" s="243">
        <v>0</v>
      </c>
      <c r="M266" s="243">
        <v>0</v>
      </c>
      <c r="N266" s="243">
        <v>0</v>
      </c>
      <c r="O266" s="243">
        <f t="shared" si="57"/>
        <v>52</v>
      </c>
      <c r="Q266" s="243">
        <f>-Q188</f>
        <v>0</v>
      </c>
      <c r="R266" s="243">
        <f t="shared" si="64"/>
        <v>52</v>
      </c>
      <c r="T266" s="243"/>
      <c r="U266" s="243">
        <f t="shared" si="59"/>
        <v>0</v>
      </c>
      <c r="W266" s="243">
        <f>-W188</f>
        <v>0</v>
      </c>
      <c r="X266" s="243">
        <f t="shared" si="65"/>
        <v>0</v>
      </c>
      <c r="Z266" s="243"/>
      <c r="AA266" s="243">
        <f t="shared" si="60"/>
        <v>52</v>
      </c>
      <c r="AC266" s="243">
        <f>-AC188</f>
        <v>0</v>
      </c>
      <c r="AD266" s="243">
        <f t="shared" si="66"/>
        <v>52</v>
      </c>
      <c r="AF266" s="243">
        <f t="shared" si="75"/>
        <v>0</v>
      </c>
    </row>
    <row r="267" spans="1:32">
      <c r="B267" t="s">
        <v>1271</v>
      </c>
      <c r="C267" s="243">
        <v>0</v>
      </c>
      <c r="D267" s="243">
        <v>0</v>
      </c>
      <c r="E267" s="243">
        <v>0</v>
      </c>
      <c r="F267" s="243">
        <v>0</v>
      </c>
      <c r="G267" s="243">
        <v>0</v>
      </c>
      <c r="H267" s="243">
        <v>0</v>
      </c>
      <c r="I267" s="243">
        <v>0</v>
      </c>
      <c r="J267" s="243">
        <v>0</v>
      </c>
      <c r="K267" s="243">
        <v>0</v>
      </c>
      <c r="L267" s="243">
        <v>0</v>
      </c>
      <c r="M267" s="243">
        <v>0</v>
      </c>
      <c r="N267" s="243">
        <v>0</v>
      </c>
      <c r="O267" s="243">
        <f t="shared" si="57"/>
        <v>0</v>
      </c>
      <c r="Q267" s="243">
        <f>-Q189</f>
        <v>0</v>
      </c>
      <c r="R267" s="243">
        <f t="shared" si="64"/>
        <v>0</v>
      </c>
      <c r="T267" s="243"/>
      <c r="U267" s="243">
        <f t="shared" ref="U267:U276" si="76">+D267</f>
        <v>0</v>
      </c>
      <c r="W267" s="243">
        <f>-W189</f>
        <v>0</v>
      </c>
      <c r="X267" s="243">
        <f t="shared" si="65"/>
        <v>0</v>
      </c>
      <c r="Z267" s="243"/>
      <c r="AA267" s="243">
        <f t="shared" ref="AA267:AA276" si="77">+H267</f>
        <v>0</v>
      </c>
      <c r="AC267" s="243">
        <f>-AC189</f>
        <v>0</v>
      </c>
      <c r="AD267" s="243">
        <f t="shared" si="66"/>
        <v>0</v>
      </c>
      <c r="AF267" s="243">
        <f t="shared" si="75"/>
        <v>0</v>
      </c>
    </row>
    <row r="268" spans="1:32">
      <c r="A268" t="s">
        <v>1257</v>
      </c>
      <c r="B268" t="s">
        <v>1268</v>
      </c>
      <c r="C268" s="243">
        <v>0</v>
      </c>
      <c r="D268" s="243">
        <v>0</v>
      </c>
      <c r="E268" s="243">
        <v>0</v>
      </c>
      <c r="F268" s="243">
        <v>0</v>
      </c>
      <c r="G268" s="243">
        <v>0</v>
      </c>
      <c r="H268" s="243">
        <v>2184</v>
      </c>
      <c r="I268" s="243">
        <v>0</v>
      </c>
      <c r="J268" s="243">
        <v>0</v>
      </c>
      <c r="K268" s="243">
        <v>0</v>
      </c>
      <c r="L268" s="243">
        <v>0</v>
      </c>
      <c r="M268" s="243">
        <v>0</v>
      </c>
      <c r="N268" s="243">
        <v>0</v>
      </c>
      <c r="O268" s="243">
        <f t="shared" si="57"/>
        <v>2184</v>
      </c>
      <c r="Q268" s="243">
        <f t="shared" ref="Q268:Q273" si="78">-Q193</f>
        <v>16</v>
      </c>
      <c r="R268" s="243">
        <f t="shared" si="64"/>
        <v>2200</v>
      </c>
      <c r="T268" s="243"/>
      <c r="U268" s="243">
        <f t="shared" si="76"/>
        <v>0</v>
      </c>
      <c r="W268" s="243">
        <f t="shared" ref="W268:W273" si="79">-W193</f>
        <v>0</v>
      </c>
      <c r="X268" s="243">
        <f t="shared" si="65"/>
        <v>0</v>
      </c>
      <c r="Z268" s="243"/>
      <c r="AA268" s="243">
        <f t="shared" si="77"/>
        <v>2184</v>
      </c>
      <c r="AC268" s="243">
        <f t="shared" ref="AC268:AC273" si="80">-AC193</f>
        <v>16</v>
      </c>
      <c r="AD268" s="243">
        <f t="shared" si="66"/>
        <v>2200</v>
      </c>
      <c r="AF268" s="243">
        <f t="shared" si="75"/>
        <v>0</v>
      </c>
    </row>
    <row r="269" spans="1:32">
      <c r="B269" t="s">
        <v>1270</v>
      </c>
      <c r="C269" s="243">
        <v>0</v>
      </c>
      <c r="D269" s="243">
        <v>0</v>
      </c>
      <c r="E269" s="243">
        <v>0</v>
      </c>
      <c r="F269" s="243">
        <v>0</v>
      </c>
      <c r="G269" s="243">
        <v>0</v>
      </c>
      <c r="H269" s="243">
        <v>609</v>
      </c>
      <c r="I269" s="243">
        <v>0</v>
      </c>
      <c r="J269" s="243">
        <v>0</v>
      </c>
      <c r="K269" s="243">
        <v>0</v>
      </c>
      <c r="L269" s="243">
        <v>0</v>
      </c>
      <c r="M269" s="243">
        <v>0</v>
      </c>
      <c r="N269" s="243">
        <v>0</v>
      </c>
      <c r="O269" s="243">
        <f t="shared" si="57"/>
        <v>609</v>
      </c>
      <c r="Q269" s="243">
        <f t="shared" si="78"/>
        <v>0</v>
      </c>
      <c r="R269" s="243">
        <f t="shared" si="64"/>
        <v>609</v>
      </c>
      <c r="T269" s="243"/>
      <c r="U269" s="243">
        <f t="shared" si="76"/>
        <v>0</v>
      </c>
      <c r="W269" s="243">
        <f t="shared" si="79"/>
        <v>0</v>
      </c>
      <c r="X269" s="243">
        <f t="shared" si="65"/>
        <v>0</v>
      </c>
      <c r="Z269" s="243"/>
      <c r="AA269" s="243">
        <f t="shared" si="77"/>
        <v>609</v>
      </c>
      <c r="AC269" s="243">
        <f t="shared" si="80"/>
        <v>0</v>
      </c>
      <c r="AD269" s="243">
        <f t="shared" si="66"/>
        <v>609</v>
      </c>
      <c r="AF269" s="243">
        <f t="shared" si="75"/>
        <v>0</v>
      </c>
    </row>
    <row r="270" spans="1:32">
      <c r="B270" t="s">
        <v>1271</v>
      </c>
      <c r="C270" s="243">
        <v>0</v>
      </c>
      <c r="D270" s="243">
        <v>0</v>
      </c>
      <c r="E270" s="243">
        <v>0</v>
      </c>
      <c r="F270" s="243">
        <v>0</v>
      </c>
      <c r="G270" s="243">
        <v>0</v>
      </c>
      <c r="H270" s="243">
        <v>850</v>
      </c>
      <c r="I270" s="243">
        <v>0</v>
      </c>
      <c r="J270" s="243">
        <v>0</v>
      </c>
      <c r="K270" s="243">
        <v>0</v>
      </c>
      <c r="L270" s="243">
        <v>0</v>
      </c>
      <c r="M270" s="243">
        <v>0</v>
      </c>
      <c r="N270" s="243">
        <v>0</v>
      </c>
      <c r="O270" s="243">
        <f t="shared" si="57"/>
        <v>850</v>
      </c>
      <c r="Q270" s="243">
        <f t="shared" si="78"/>
        <v>0</v>
      </c>
      <c r="R270" s="243">
        <f t="shared" si="64"/>
        <v>850</v>
      </c>
      <c r="T270" s="243"/>
      <c r="U270" s="243">
        <f t="shared" si="76"/>
        <v>0</v>
      </c>
      <c r="W270" s="243">
        <f t="shared" si="79"/>
        <v>0</v>
      </c>
      <c r="X270" s="243">
        <f t="shared" si="65"/>
        <v>0</v>
      </c>
      <c r="Z270" s="243"/>
      <c r="AA270" s="243">
        <f t="shared" si="77"/>
        <v>850</v>
      </c>
      <c r="AC270" s="243">
        <f t="shared" si="80"/>
        <v>0</v>
      </c>
      <c r="AD270" s="243">
        <f t="shared" si="66"/>
        <v>850</v>
      </c>
      <c r="AF270" s="243">
        <f t="shared" si="75"/>
        <v>0</v>
      </c>
    </row>
    <row r="271" spans="1:32">
      <c r="A271" t="s">
        <v>1258</v>
      </c>
      <c r="B271" t="s">
        <v>1268</v>
      </c>
      <c r="C271" s="243">
        <v>0</v>
      </c>
      <c r="D271" s="243">
        <v>0</v>
      </c>
      <c r="E271" s="243">
        <v>0</v>
      </c>
      <c r="F271" s="243">
        <v>0</v>
      </c>
      <c r="G271" s="243">
        <v>0</v>
      </c>
      <c r="H271" s="243">
        <v>2184</v>
      </c>
      <c r="I271" s="243">
        <v>0</v>
      </c>
      <c r="J271" s="243">
        <v>0</v>
      </c>
      <c r="K271" s="243">
        <v>0</v>
      </c>
      <c r="L271" s="243">
        <v>0</v>
      </c>
      <c r="M271" s="243">
        <v>0</v>
      </c>
      <c r="N271" s="243">
        <v>0</v>
      </c>
      <c r="O271" s="243">
        <f t="shared" si="57"/>
        <v>2184</v>
      </c>
      <c r="Q271" s="243">
        <f t="shared" si="78"/>
        <v>8</v>
      </c>
      <c r="R271" s="243">
        <f t="shared" si="64"/>
        <v>2192</v>
      </c>
      <c r="T271" s="243"/>
      <c r="U271" s="243">
        <f t="shared" si="76"/>
        <v>0</v>
      </c>
      <c r="W271" s="243">
        <f t="shared" si="79"/>
        <v>0</v>
      </c>
      <c r="X271" s="243">
        <f t="shared" si="65"/>
        <v>0</v>
      </c>
      <c r="Z271" s="243"/>
      <c r="AA271" s="243">
        <f t="shared" si="77"/>
        <v>2184</v>
      </c>
      <c r="AC271" s="243">
        <f t="shared" si="80"/>
        <v>8</v>
      </c>
      <c r="AD271" s="243">
        <f t="shared" si="66"/>
        <v>2192</v>
      </c>
      <c r="AF271" s="243">
        <f t="shared" si="75"/>
        <v>0</v>
      </c>
    </row>
    <row r="272" spans="1:32">
      <c r="B272" t="s">
        <v>1270</v>
      </c>
      <c r="C272" s="243">
        <v>0</v>
      </c>
      <c r="D272" s="243">
        <v>0</v>
      </c>
      <c r="E272" s="243">
        <v>0</v>
      </c>
      <c r="F272" s="243">
        <v>0</v>
      </c>
      <c r="G272" s="243">
        <v>0</v>
      </c>
      <c r="H272" s="243">
        <v>182</v>
      </c>
      <c r="I272" s="243">
        <v>0</v>
      </c>
      <c r="J272" s="243">
        <v>0</v>
      </c>
      <c r="K272" s="243">
        <v>0</v>
      </c>
      <c r="L272" s="243">
        <v>0</v>
      </c>
      <c r="M272" s="243">
        <v>0</v>
      </c>
      <c r="N272" s="243">
        <v>0</v>
      </c>
      <c r="O272" s="243">
        <f>SUM(C272:N272)</f>
        <v>182</v>
      </c>
      <c r="Q272" s="243">
        <f t="shared" si="78"/>
        <v>0</v>
      </c>
      <c r="R272" s="243">
        <f t="shared" si="64"/>
        <v>182</v>
      </c>
      <c r="T272" s="243"/>
      <c r="U272" s="243">
        <f t="shared" si="76"/>
        <v>0</v>
      </c>
      <c r="W272" s="243">
        <f t="shared" si="79"/>
        <v>0</v>
      </c>
      <c r="X272" s="243">
        <f t="shared" si="65"/>
        <v>0</v>
      </c>
      <c r="Z272" s="243"/>
      <c r="AA272" s="243">
        <f t="shared" si="77"/>
        <v>182</v>
      </c>
      <c r="AC272" s="243">
        <f t="shared" si="80"/>
        <v>0</v>
      </c>
      <c r="AD272" s="243">
        <f t="shared" si="66"/>
        <v>182</v>
      </c>
      <c r="AF272" s="243">
        <f t="shared" si="75"/>
        <v>0</v>
      </c>
    </row>
    <row r="273" spans="1:32">
      <c r="B273" t="s">
        <v>1271</v>
      </c>
      <c r="C273" s="243">
        <v>0</v>
      </c>
      <c r="D273" s="243">
        <v>0</v>
      </c>
      <c r="E273" s="243">
        <v>0</v>
      </c>
      <c r="F273" s="243">
        <v>0</v>
      </c>
      <c r="G273" s="243">
        <v>0</v>
      </c>
      <c r="H273" s="243">
        <v>2522</v>
      </c>
      <c r="I273" s="243">
        <v>0</v>
      </c>
      <c r="J273" s="243">
        <v>0</v>
      </c>
      <c r="K273" s="243">
        <v>0</v>
      </c>
      <c r="L273" s="243">
        <v>0</v>
      </c>
      <c r="M273" s="243">
        <v>0</v>
      </c>
      <c r="N273" s="243">
        <v>0</v>
      </c>
      <c r="O273" s="243">
        <f>SUM(C273:N273)</f>
        <v>2522</v>
      </c>
      <c r="Q273" s="243">
        <f t="shared" si="78"/>
        <v>1</v>
      </c>
      <c r="R273" s="243">
        <f t="shared" si="64"/>
        <v>2523</v>
      </c>
      <c r="T273" s="243"/>
      <c r="U273" s="243">
        <f t="shared" si="76"/>
        <v>0</v>
      </c>
      <c r="W273" s="243">
        <f t="shared" si="79"/>
        <v>0</v>
      </c>
      <c r="X273" s="243">
        <f t="shared" si="65"/>
        <v>0</v>
      </c>
      <c r="Z273" s="243"/>
      <c r="AA273" s="243">
        <f t="shared" si="77"/>
        <v>2522</v>
      </c>
      <c r="AC273" s="243">
        <f t="shared" si="80"/>
        <v>1</v>
      </c>
      <c r="AD273" s="243">
        <f t="shared" si="66"/>
        <v>2523</v>
      </c>
      <c r="AF273" s="243">
        <f t="shared" si="75"/>
        <v>0</v>
      </c>
    </row>
    <row r="274" spans="1:32">
      <c r="A274" t="s">
        <v>1344</v>
      </c>
      <c r="B274" t="s">
        <v>1268</v>
      </c>
      <c r="C274" s="243">
        <v>0</v>
      </c>
      <c r="D274" s="243">
        <v>0</v>
      </c>
      <c r="E274" s="243">
        <v>0</v>
      </c>
      <c r="F274" s="243">
        <v>0</v>
      </c>
      <c r="G274" s="243">
        <v>0</v>
      </c>
      <c r="H274" s="243">
        <v>0</v>
      </c>
      <c r="I274" s="243">
        <v>0</v>
      </c>
      <c r="J274" s="243">
        <v>0</v>
      </c>
      <c r="K274" s="243">
        <v>0</v>
      </c>
      <c r="L274" s="243">
        <v>0</v>
      </c>
      <c r="M274" s="243">
        <v>0</v>
      </c>
      <c r="N274" s="243">
        <v>0</v>
      </c>
      <c r="O274" s="243">
        <f>SUM(C274:N274)</f>
        <v>0</v>
      </c>
      <c r="R274" s="243">
        <f>+O274+Q274</f>
        <v>0</v>
      </c>
      <c r="T274" s="243"/>
      <c r="U274" s="243">
        <f t="shared" si="76"/>
        <v>0</v>
      </c>
      <c r="X274" s="243">
        <f>+U274+W274</f>
        <v>0</v>
      </c>
      <c r="Z274" s="243"/>
      <c r="AA274" s="243">
        <f t="shared" si="77"/>
        <v>0</v>
      </c>
      <c r="AD274" s="243">
        <f>+AA274+AC274</f>
        <v>0</v>
      </c>
      <c r="AF274" s="243">
        <f t="shared" si="75"/>
        <v>0</v>
      </c>
    </row>
    <row r="275" spans="1:32">
      <c r="B275" t="s">
        <v>1270</v>
      </c>
      <c r="C275" s="243">
        <v>0</v>
      </c>
      <c r="D275" s="243">
        <v>0</v>
      </c>
      <c r="E275" s="243">
        <v>0</v>
      </c>
      <c r="F275" s="243">
        <v>0</v>
      </c>
      <c r="G275" s="243">
        <v>0</v>
      </c>
      <c r="H275" s="243">
        <v>0</v>
      </c>
      <c r="I275" s="243">
        <v>0</v>
      </c>
      <c r="J275" s="243">
        <v>0</v>
      </c>
      <c r="K275" s="243">
        <v>0</v>
      </c>
      <c r="L275" s="243">
        <v>0</v>
      </c>
      <c r="M275" s="243">
        <v>0</v>
      </c>
      <c r="N275" s="243">
        <v>0</v>
      </c>
      <c r="O275" s="243">
        <f>SUM(C275:N275)</f>
        <v>0</v>
      </c>
      <c r="R275" s="243">
        <f>+O275+Q275</f>
        <v>0</v>
      </c>
      <c r="T275" s="243"/>
      <c r="U275" s="243">
        <f t="shared" si="76"/>
        <v>0</v>
      </c>
      <c r="X275" s="243">
        <f>+U275+W275</f>
        <v>0</v>
      </c>
      <c r="Z275" s="243"/>
      <c r="AA275" s="243">
        <f t="shared" si="77"/>
        <v>0</v>
      </c>
      <c r="AD275" s="243">
        <f>+AA275+AC275</f>
        <v>0</v>
      </c>
      <c r="AF275" s="243">
        <f t="shared" si="75"/>
        <v>0</v>
      </c>
    </row>
    <row r="276" spans="1:32">
      <c r="B276" t="s">
        <v>1271</v>
      </c>
      <c r="C276" s="243">
        <v>0</v>
      </c>
      <c r="D276" s="243">
        <v>0</v>
      </c>
      <c r="E276" s="243">
        <v>0</v>
      </c>
      <c r="F276" s="243">
        <v>0</v>
      </c>
      <c r="G276" s="243">
        <v>0</v>
      </c>
      <c r="H276" s="243">
        <v>0</v>
      </c>
      <c r="I276" s="243">
        <v>0</v>
      </c>
      <c r="J276" s="243">
        <v>0</v>
      </c>
      <c r="K276" s="243">
        <v>0</v>
      </c>
      <c r="L276" s="243">
        <v>0</v>
      </c>
      <c r="M276" s="243">
        <v>0</v>
      </c>
      <c r="N276" s="243">
        <v>0</v>
      </c>
      <c r="O276" s="243">
        <f>SUM(C276:N276)</f>
        <v>0</v>
      </c>
      <c r="R276" s="243">
        <f>+O276+Q276</f>
        <v>0</v>
      </c>
      <c r="T276" s="243"/>
      <c r="U276" s="243">
        <f t="shared" si="76"/>
        <v>0</v>
      </c>
      <c r="X276" s="243">
        <f>+U276+W276</f>
        <v>0</v>
      </c>
      <c r="Z276" s="243"/>
      <c r="AA276" s="243">
        <f t="shared" si="77"/>
        <v>0</v>
      </c>
      <c r="AD276" s="243">
        <f>+AA276+AC276</f>
        <v>0</v>
      </c>
      <c r="AF276" s="243">
        <f t="shared" si="75"/>
        <v>0</v>
      </c>
    </row>
    <row r="280" spans="1:32">
      <c r="AD280" s="243">
        <f>SUM(AD10:AD276)</f>
        <v>140648.85852193995</v>
      </c>
    </row>
  </sheetData>
  <printOptions headings="1"/>
  <pageMargins left="0" right="0" top="0.09" bottom="0.4" header="0.5" footer="0.5"/>
  <pageSetup scale="73" fitToHeight="4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  <pageSetUpPr fitToPage="1"/>
  </sheetPr>
  <dimension ref="A1:AI42"/>
  <sheetViews>
    <sheetView workbookViewId="0">
      <selection activeCell="F3" sqref="F3"/>
    </sheetView>
  </sheetViews>
  <sheetFormatPr defaultRowHeight="12.75"/>
  <cols>
    <col min="3" max="3" width="3.140625" customWidth="1"/>
    <col min="6" max="6" width="10" customWidth="1"/>
    <col min="17" max="18" width="10.140625" bestFit="1" customWidth="1"/>
    <col min="19" max="20" width="10.140625" customWidth="1"/>
    <col min="21" max="21" width="10.85546875" customWidth="1"/>
  </cols>
  <sheetData>
    <row r="1" spans="1:35">
      <c r="A1" t="s">
        <v>4</v>
      </c>
    </row>
    <row r="3" spans="1:35">
      <c r="A3" t="s">
        <v>1345</v>
      </c>
      <c r="E3" s="459" t="s">
        <v>11</v>
      </c>
      <c r="F3" s="462" t="s">
        <v>12</v>
      </c>
      <c r="G3" s="476"/>
      <c r="H3" s="477"/>
    </row>
    <row r="4" spans="1:35">
      <c r="G4" s="147"/>
      <c r="H4" s="147"/>
    </row>
    <row r="5" spans="1:35">
      <c r="A5" s="468" t="s">
        <v>1416</v>
      </c>
      <c r="B5" s="147"/>
    </row>
    <row r="6" spans="1:35">
      <c r="X6" t="s">
        <v>14</v>
      </c>
    </row>
    <row r="7" spans="1:35">
      <c r="D7" s="530"/>
      <c r="E7" s="530"/>
      <c r="F7" s="530"/>
      <c r="G7" s="530"/>
      <c r="H7" s="530"/>
      <c r="I7" s="530"/>
      <c r="Q7" s="530" t="s">
        <v>26</v>
      </c>
      <c r="R7" s="530" t="s">
        <v>26</v>
      </c>
      <c r="S7" s="530" t="s">
        <v>29</v>
      </c>
      <c r="T7" s="530" t="s">
        <v>29</v>
      </c>
    </row>
    <row r="8" spans="1:35">
      <c r="Q8" s="49">
        <v>44927</v>
      </c>
      <c r="R8" s="49">
        <v>45292</v>
      </c>
      <c r="S8" s="49">
        <v>44562</v>
      </c>
      <c r="T8" s="49">
        <v>44927</v>
      </c>
      <c r="U8" s="530" t="s">
        <v>112</v>
      </c>
    </row>
    <row r="9" spans="1:35">
      <c r="A9" t="s">
        <v>1346</v>
      </c>
      <c r="D9" s="530" t="s">
        <v>1119</v>
      </c>
      <c r="E9" s="530" t="s">
        <v>1120</v>
      </c>
      <c r="F9" s="530" t="s">
        <v>1121</v>
      </c>
      <c r="G9" s="530" t="s">
        <v>1113</v>
      </c>
      <c r="H9" s="530" t="s">
        <v>1114</v>
      </c>
      <c r="I9" s="530" t="s">
        <v>1115</v>
      </c>
      <c r="J9" s="530" t="s">
        <v>648</v>
      </c>
      <c r="K9" s="530" t="s">
        <v>649</v>
      </c>
      <c r="L9" s="530" t="s">
        <v>650</v>
      </c>
      <c r="M9" s="530" t="s">
        <v>1116</v>
      </c>
      <c r="N9" s="530" t="s">
        <v>1117</v>
      </c>
      <c r="O9" s="530" t="s">
        <v>1118</v>
      </c>
      <c r="P9" s="530" t="s">
        <v>388</v>
      </c>
      <c r="Q9" s="49">
        <v>45291</v>
      </c>
      <c r="R9" s="49">
        <v>45504</v>
      </c>
      <c r="S9" s="49">
        <v>44773</v>
      </c>
      <c r="T9" s="49">
        <v>45291</v>
      </c>
      <c r="U9" s="530" t="s">
        <v>29</v>
      </c>
      <c r="W9" s="530"/>
      <c r="X9" s="530" t="str">
        <f>+D9</f>
        <v>July</v>
      </c>
      <c r="Y9" s="530" t="str">
        <f t="shared" ref="Y9:AI9" si="0">+E9</f>
        <v>August</v>
      </c>
      <c r="Z9" s="530" t="str">
        <f t="shared" si="0"/>
        <v>September</v>
      </c>
      <c r="AA9" s="530" t="str">
        <f t="shared" si="0"/>
        <v>October</v>
      </c>
      <c r="AB9" s="530" t="str">
        <f t="shared" si="0"/>
        <v>November</v>
      </c>
      <c r="AC9" s="530" t="str">
        <f t="shared" si="0"/>
        <v>December</v>
      </c>
      <c r="AD9" s="530" t="str">
        <f t="shared" si="0"/>
        <v>January</v>
      </c>
      <c r="AE9" s="530" t="str">
        <f t="shared" si="0"/>
        <v>February</v>
      </c>
      <c r="AF9" s="530" t="str">
        <f t="shared" si="0"/>
        <v>March</v>
      </c>
      <c r="AG9" s="530" t="str">
        <f t="shared" si="0"/>
        <v>April</v>
      </c>
      <c r="AH9" s="530" t="str">
        <f t="shared" si="0"/>
        <v>May</v>
      </c>
      <c r="AI9" s="530" t="str">
        <f t="shared" si="0"/>
        <v>June</v>
      </c>
    </row>
    <row r="11" spans="1:35">
      <c r="A11" t="s">
        <v>30</v>
      </c>
    </row>
    <row r="12" spans="1:35">
      <c r="A12" t="s">
        <v>1347</v>
      </c>
      <c r="D12">
        <v>18</v>
      </c>
      <c r="E12">
        <v>18</v>
      </c>
      <c r="F12">
        <v>18</v>
      </c>
      <c r="G12">
        <v>18</v>
      </c>
      <c r="H12">
        <v>18</v>
      </c>
      <c r="I12">
        <v>18</v>
      </c>
      <c r="J12">
        <v>20</v>
      </c>
      <c r="K12">
        <v>16</v>
      </c>
      <c r="L12">
        <v>16</v>
      </c>
      <c r="M12">
        <v>15</v>
      </c>
      <c r="N12">
        <v>15</v>
      </c>
      <c r="O12">
        <v>14</v>
      </c>
      <c r="P12">
        <f>SUM(D12:O12)</f>
        <v>204</v>
      </c>
      <c r="Q12" s="48">
        <v>19.7</v>
      </c>
      <c r="R12" s="48">
        <v>19.7</v>
      </c>
      <c r="S12" s="48">
        <v>0</v>
      </c>
      <c r="T12" s="48">
        <f>SUM(D12:O12)*R12</f>
        <v>4018.7999999999997</v>
      </c>
      <c r="U12" s="48">
        <f>+S12+T12</f>
        <v>4018.7999999999997</v>
      </c>
      <c r="W12" s="69"/>
      <c r="X12" s="48">
        <f t="shared" ref="X12:AG12" si="1">D12*$Q12</f>
        <v>354.59999999999997</v>
      </c>
      <c r="Y12" s="48">
        <f t="shared" si="1"/>
        <v>354.59999999999997</v>
      </c>
      <c r="Z12" s="48">
        <f t="shared" si="1"/>
        <v>354.59999999999997</v>
      </c>
      <c r="AA12" s="48">
        <f t="shared" si="1"/>
        <v>354.59999999999997</v>
      </c>
      <c r="AB12" s="48">
        <f t="shared" si="1"/>
        <v>354.59999999999997</v>
      </c>
      <c r="AC12" s="48">
        <f t="shared" si="1"/>
        <v>354.59999999999997</v>
      </c>
      <c r="AD12" s="48">
        <f t="shared" si="1"/>
        <v>394</v>
      </c>
      <c r="AE12" s="48">
        <f t="shared" si="1"/>
        <v>315.2</v>
      </c>
      <c r="AF12" s="48">
        <f t="shared" si="1"/>
        <v>315.2</v>
      </c>
      <c r="AG12" s="48">
        <f t="shared" si="1"/>
        <v>295.5</v>
      </c>
      <c r="AH12" s="48">
        <f>N12*$R12</f>
        <v>295.5</v>
      </c>
      <c r="AI12" s="48">
        <f>O12*$R12</f>
        <v>275.8</v>
      </c>
    </row>
    <row r="13" spans="1:35">
      <c r="A13" t="s">
        <v>1348</v>
      </c>
      <c r="D13">
        <v>189</v>
      </c>
      <c r="E13">
        <v>190</v>
      </c>
      <c r="F13">
        <v>190</v>
      </c>
      <c r="G13">
        <v>193</v>
      </c>
      <c r="H13">
        <v>188</v>
      </c>
      <c r="I13">
        <v>188</v>
      </c>
      <c r="J13">
        <v>192</v>
      </c>
      <c r="K13">
        <v>192</v>
      </c>
      <c r="L13">
        <v>196</v>
      </c>
      <c r="M13">
        <v>193</v>
      </c>
      <c r="N13">
        <v>194</v>
      </c>
      <c r="O13">
        <v>194</v>
      </c>
      <c r="P13">
        <f>SUM(D13:O13)</f>
        <v>2299</v>
      </c>
      <c r="Q13" s="48">
        <v>21.4</v>
      </c>
      <c r="R13" s="48">
        <v>21.4</v>
      </c>
      <c r="S13" s="48">
        <v>0</v>
      </c>
      <c r="T13" s="48">
        <f>SUM(D13:O13)*R13</f>
        <v>49198.6</v>
      </c>
      <c r="U13" s="48">
        <f>+S13+T13</f>
        <v>49198.6</v>
      </c>
      <c r="W13" s="69"/>
      <c r="X13" s="48">
        <f t="shared" ref="X13:Y16" si="2">D13*$Q13</f>
        <v>4044.6</v>
      </c>
      <c r="Y13" s="48">
        <f t="shared" si="2"/>
        <v>4065.9999999999995</v>
      </c>
      <c r="Z13" s="48">
        <f t="shared" ref="Z13:Z33" si="3">F13*$Q13</f>
        <v>4065.9999999999995</v>
      </c>
      <c r="AA13" s="48">
        <f t="shared" ref="AA13:AA33" si="4">G13*$Q13</f>
        <v>4130.2</v>
      </c>
      <c r="AB13" s="48">
        <f t="shared" ref="AB13:AB33" si="5">H13*$Q13</f>
        <v>4023.2</v>
      </c>
      <c r="AC13" s="48">
        <f t="shared" ref="AC13:AC33" si="6">I13*$Q13</f>
        <v>4023.2</v>
      </c>
      <c r="AD13" s="48">
        <f t="shared" ref="AD13:AD33" si="7">J13*$Q13</f>
        <v>4108.7999999999993</v>
      </c>
      <c r="AE13" s="48">
        <f t="shared" ref="AE13:AE33" si="8">K13*$Q13</f>
        <v>4108.7999999999993</v>
      </c>
      <c r="AF13" s="48">
        <f t="shared" ref="AF13:AF33" si="9">L13*$Q13</f>
        <v>4194.3999999999996</v>
      </c>
      <c r="AG13" s="48">
        <f t="shared" ref="AG13:AG33" si="10">M13*$Q13</f>
        <v>4130.2</v>
      </c>
      <c r="AH13" s="48">
        <f t="shared" ref="AH13:AH33" si="11">N13*$R13</f>
        <v>4151.5999999999995</v>
      </c>
      <c r="AI13" s="48">
        <f t="shared" ref="AI13:AI33" si="12">O13*$R13</f>
        <v>4151.5999999999995</v>
      </c>
    </row>
    <row r="14" spans="1:35">
      <c r="A14" t="s">
        <v>1349</v>
      </c>
      <c r="D14">
        <v>17</v>
      </c>
      <c r="E14">
        <v>16</v>
      </c>
      <c r="F14">
        <v>16</v>
      </c>
      <c r="G14">
        <v>17</v>
      </c>
      <c r="H14">
        <v>16</v>
      </c>
      <c r="I14">
        <v>16</v>
      </c>
      <c r="J14">
        <v>16</v>
      </c>
      <c r="K14">
        <v>16</v>
      </c>
      <c r="L14">
        <v>17</v>
      </c>
      <c r="M14">
        <v>16</v>
      </c>
      <c r="N14">
        <v>15</v>
      </c>
      <c r="O14">
        <v>16</v>
      </c>
      <c r="P14">
        <f>SUM(D14:O14)</f>
        <v>194</v>
      </c>
      <c r="Q14" s="48">
        <v>31.75</v>
      </c>
      <c r="R14" s="48">
        <v>31.75</v>
      </c>
      <c r="S14" s="48">
        <v>0</v>
      </c>
      <c r="T14" s="48">
        <f>SUM(D14:O14)*R14</f>
        <v>6159.5</v>
      </c>
      <c r="U14" s="48">
        <f>+S14+T14</f>
        <v>6159.5</v>
      </c>
      <c r="W14" s="69"/>
      <c r="X14" s="48">
        <f t="shared" si="2"/>
        <v>539.75</v>
      </c>
      <c r="Y14" s="48">
        <f t="shared" si="2"/>
        <v>508</v>
      </c>
      <c r="Z14" s="48">
        <f t="shared" si="3"/>
        <v>508</v>
      </c>
      <c r="AA14" s="48">
        <f t="shared" si="4"/>
        <v>539.75</v>
      </c>
      <c r="AB14" s="48">
        <f t="shared" si="5"/>
        <v>508</v>
      </c>
      <c r="AC14" s="48">
        <f t="shared" si="6"/>
        <v>508</v>
      </c>
      <c r="AD14" s="48">
        <f t="shared" si="7"/>
        <v>508</v>
      </c>
      <c r="AE14" s="48">
        <f t="shared" si="8"/>
        <v>508</v>
      </c>
      <c r="AF14" s="48">
        <f t="shared" si="9"/>
        <v>539.75</v>
      </c>
      <c r="AG14" s="48">
        <f t="shared" si="10"/>
        <v>508</v>
      </c>
      <c r="AH14" s="48">
        <f t="shared" si="11"/>
        <v>476.25</v>
      </c>
      <c r="AI14" s="48">
        <f t="shared" si="12"/>
        <v>508</v>
      </c>
    </row>
    <row r="15" spans="1:35">
      <c r="A15" t="s">
        <v>1350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>
        <v>5</v>
      </c>
      <c r="K15">
        <v>5</v>
      </c>
      <c r="L15">
        <v>5</v>
      </c>
      <c r="M15">
        <v>5</v>
      </c>
      <c r="N15">
        <v>5</v>
      </c>
      <c r="O15">
        <v>5</v>
      </c>
      <c r="P15">
        <f>SUM(D15:O15)</f>
        <v>60</v>
      </c>
      <c r="Q15" s="48">
        <v>49.8</v>
      </c>
      <c r="R15" s="48">
        <v>49.8</v>
      </c>
      <c r="S15" s="48">
        <v>0</v>
      </c>
      <c r="T15" s="48">
        <f>SUM(D15:O15)*R15</f>
        <v>2988</v>
      </c>
      <c r="U15" s="48">
        <f>+S15+T15</f>
        <v>2988</v>
      </c>
      <c r="W15" s="69"/>
      <c r="X15" s="48">
        <f t="shared" si="2"/>
        <v>249</v>
      </c>
      <c r="Y15" s="48">
        <f t="shared" si="2"/>
        <v>249</v>
      </c>
      <c r="Z15" s="48">
        <f t="shared" si="3"/>
        <v>249</v>
      </c>
      <c r="AA15" s="48">
        <f t="shared" si="4"/>
        <v>249</v>
      </c>
      <c r="AB15" s="48">
        <f t="shared" si="5"/>
        <v>249</v>
      </c>
      <c r="AC15" s="48">
        <f t="shared" si="6"/>
        <v>249</v>
      </c>
      <c r="AD15" s="48">
        <f t="shared" si="7"/>
        <v>249</v>
      </c>
      <c r="AE15" s="48">
        <f t="shared" si="8"/>
        <v>249</v>
      </c>
      <c r="AF15" s="48">
        <f t="shared" si="9"/>
        <v>249</v>
      </c>
      <c r="AG15" s="48">
        <f t="shared" si="10"/>
        <v>249</v>
      </c>
      <c r="AH15" s="48">
        <f t="shared" si="11"/>
        <v>249</v>
      </c>
      <c r="AI15" s="48">
        <f t="shared" si="12"/>
        <v>249</v>
      </c>
    </row>
    <row r="16" spans="1:35">
      <c r="A16" t="s">
        <v>1351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SUM(D16:O16)</f>
        <v>0</v>
      </c>
      <c r="Q16" s="48">
        <v>0</v>
      </c>
      <c r="R16" s="48">
        <v>0</v>
      </c>
      <c r="S16" s="48">
        <f>SUM(D16:J16)*Q16</f>
        <v>0</v>
      </c>
      <c r="T16" s="48">
        <f>SUM(D16:O16)*R16</f>
        <v>0</v>
      </c>
      <c r="U16" s="48">
        <f>+S16+T16</f>
        <v>0</v>
      </c>
      <c r="V16" s="48">
        <f>SUM(U12:U16)</f>
        <v>62364.9</v>
      </c>
      <c r="W16" s="69"/>
      <c r="X16" s="48">
        <f t="shared" si="2"/>
        <v>0</v>
      </c>
      <c r="Y16" s="48">
        <f t="shared" si="2"/>
        <v>0</v>
      </c>
      <c r="Z16" s="48">
        <f t="shared" si="3"/>
        <v>0</v>
      </c>
      <c r="AA16" s="48">
        <f t="shared" si="4"/>
        <v>0</v>
      </c>
      <c r="AB16" s="48">
        <f t="shared" si="5"/>
        <v>0</v>
      </c>
      <c r="AC16" s="48">
        <f t="shared" si="6"/>
        <v>0</v>
      </c>
      <c r="AD16" s="48">
        <f t="shared" si="7"/>
        <v>0</v>
      </c>
      <c r="AE16" s="48">
        <f t="shared" si="8"/>
        <v>0</v>
      </c>
      <c r="AF16" s="48">
        <f t="shared" si="9"/>
        <v>0</v>
      </c>
      <c r="AG16" s="48">
        <f t="shared" si="10"/>
        <v>0</v>
      </c>
      <c r="AH16" s="48">
        <f t="shared" si="11"/>
        <v>0</v>
      </c>
      <c r="AI16" s="48">
        <f t="shared" si="12"/>
        <v>0</v>
      </c>
    </row>
    <row r="17" spans="1:35">
      <c r="A17" t="s">
        <v>49</v>
      </c>
      <c r="Q17" s="48"/>
      <c r="R17" s="48"/>
      <c r="S17" s="48"/>
      <c r="T17" s="48"/>
      <c r="U17" s="48"/>
      <c r="W17" s="69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>
      <c r="A18" t="s">
        <v>1348</v>
      </c>
      <c r="D18">
        <v>10</v>
      </c>
      <c r="E18">
        <v>10</v>
      </c>
      <c r="F18">
        <v>10</v>
      </c>
      <c r="G18">
        <v>10</v>
      </c>
      <c r="H18">
        <v>10</v>
      </c>
      <c r="I18">
        <v>10</v>
      </c>
      <c r="J18">
        <v>10</v>
      </c>
      <c r="K18">
        <v>10</v>
      </c>
      <c r="L18">
        <v>9</v>
      </c>
      <c r="M18">
        <v>9</v>
      </c>
      <c r="N18">
        <v>9</v>
      </c>
      <c r="O18">
        <v>9</v>
      </c>
      <c r="P18">
        <f t="shared" ref="P18:P31" si="13">SUM(D18:O18)</f>
        <v>116</v>
      </c>
      <c r="Q18" s="48">
        <v>26.5</v>
      </c>
      <c r="R18" s="48">
        <v>26.5</v>
      </c>
      <c r="S18" s="48">
        <v>0</v>
      </c>
      <c r="T18" s="48">
        <f t="shared" ref="T18:T31" si="14">SUM(D18:O18)*R18</f>
        <v>3074</v>
      </c>
      <c r="U18" s="48">
        <f t="shared" ref="U18:U31" si="15">+S18+T18</f>
        <v>3074</v>
      </c>
      <c r="W18" s="69"/>
      <c r="X18" s="48">
        <f t="shared" ref="X18:X31" si="16">D18*$Q18</f>
        <v>265</v>
      </c>
      <c r="Y18" s="48">
        <f t="shared" ref="Y18:Y31" si="17">E18*$Q18</f>
        <v>265</v>
      </c>
      <c r="Z18" s="48">
        <f t="shared" si="3"/>
        <v>265</v>
      </c>
      <c r="AA18" s="48">
        <f t="shared" si="4"/>
        <v>265</v>
      </c>
      <c r="AB18" s="48">
        <f t="shared" si="5"/>
        <v>265</v>
      </c>
      <c r="AC18" s="48">
        <f t="shared" si="6"/>
        <v>265</v>
      </c>
      <c r="AD18" s="48">
        <f t="shared" si="7"/>
        <v>265</v>
      </c>
      <c r="AE18" s="48">
        <f t="shared" si="8"/>
        <v>265</v>
      </c>
      <c r="AF18" s="48">
        <f t="shared" si="9"/>
        <v>238.5</v>
      </c>
      <c r="AG18" s="48">
        <f t="shared" si="10"/>
        <v>238.5</v>
      </c>
      <c r="AH18" s="48">
        <f t="shared" si="11"/>
        <v>238.5</v>
      </c>
      <c r="AI18" s="48">
        <f t="shared" si="12"/>
        <v>238.5</v>
      </c>
    </row>
    <row r="19" spans="1:35">
      <c r="A19" t="s">
        <v>1349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13"/>
        <v>0</v>
      </c>
      <c r="Q19" s="48">
        <v>41</v>
      </c>
      <c r="R19" s="48">
        <v>41</v>
      </c>
      <c r="S19" s="48">
        <v>0</v>
      </c>
      <c r="T19" s="48">
        <f t="shared" si="14"/>
        <v>0</v>
      </c>
      <c r="U19" s="48">
        <f t="shared" si="15"/>
        <v>0</v>
      </c>
      <c r="W19" s="69"/>
      <c r="X19" s="48">
        <f t="shared" si="16"/>
        <v>0</v>
      </c>
      <c r="Y19" s="48">
        <f t="shared" si="17"/>
        <v>0</v>
      </c>
      <c r="Z19" s="48">
        <f t="shared" si="3"/>
        <v>0</v>
      </c>
      <c r="AA19" s="48">
        <f t="shared" si="4"/>
        <v>0</v>
      </c>
      <c r="AB19" s="48">
        <f t="shared" si="5"/>
        <v>0</v>
      </c>
      <c r="AC19" s="48">
        <f t="shared" si="6"/>
        <v>0</v>
      </c>
      <c r="AD19" s="48">
        <f t="shared" si="7"/>
        <v>0</v>
      </c>
      <c r="AE19" s="48">
        <f t="shared" si="8"/>
        <v>0</v>
      </c>
      <c r="AF19" s="48">
        <f t="shared" si="9"/>
        <v>0</v>
      </c>
      <c r="AG19" s="48">
        <f t="shared" si="10"/>
        <v>0</v>
      </c>
      <c r="AH19" s="48">
        <f t="shared" si="11"/>
        <v>0</v>
      </c>
      <c r="AI19" s="48">
        <f t="shared" si="12"/>
        <v>0</v>
      </c>
    </row>
    <row r="20" spans="1:35">
      <c r="A20" t="s">
        <v>50</v>
      </c>
      <c r="D20">
        <v>10</v>
      </c>
      <c r="E20">
        <v>10</v>
      </c>
      <c r="F20">
        <v>10</v>
      </c>
      <c r="G20">
        <v>10</v>
      </c>
      <c r="H20">
        <v>10</v>
      </c>
      <c r="I20">
        <v>10</v>
      </c>
      <c r="J20">
        <v>10</v>
      </c>
      <c r="K20">
        <v>12</v>
      </c>
      <c r="L20">
        <v>10</v>
      </c>
      <c r="M20">
        <v>11</v>
      </c>
      <c r="N20">
        <v>10</v>
      </c>
      <c r="O20">
        <v>11</v>
      </c>
      <c r="P20">
        <f t="shared" si="13"/>
        <v>124</v>
      </c>
      <c r="Q20" s="48">
        <v>60.9</v>
      </c>
      <c r="R20" s="48">
        <v>60.9</v>
      </c>
      <c r="S20" s="48">
        <v>0</v>
      </c>
      <c r="T20" s="48">
        <f t="shared" si="14"/>
        <v>7551.5999999999995</v>
      </c>
      <c r="U20" s="48">
        <f t="shared" si="15"/>
        <v>7551.5999999999995</v>
      </c>
      <c r="W20" s="69"/>
      <c r="X20" s="48">
        <f t="shared" si="16"/>
        <v>609</v>
      </c>
      <c r="Y20" s="48">
        <f t="shared" si="17"/>
        <v>609</v>
      </c>
      <c r="Z20" s="48">
        <f t="shared" si="3"/>
        <v>609</v>
      </c>
      <c r="AA20" s="48">
        <f t="shared" si="4"/>
        <v>609</v>
      </c>
      <c r="AB20" s="48">
        <f t="shared" si="5"/>
        <v>609</v>
      </c>
      <c r="AC20" s="48">
        <f t="shared" si="6"/>
        <v>609</v>
      </c>
      <c r="AD20" s="48">
        <f t="shared" si="7"/>
        <v>609</v>
      </c>
      <c r="AE20" s="48">
        <f t="shared" si="8"/>
        <v>730.8</v>
      </c>
      <c r="AF20" s="48">
        <f t="shared" si="9"/>
        <v>609</v>
      </c>
      <c r="AG20" s="48">
        <f t="shared" si="10"/>
        <v>669.9</v>
      </c>
      <c r="AH20" s="48">
        <f t="shared" si="11"/>
        <v>609</v>
      </c>
      <c r="AI20" s="48">
        <f t="shared" si="12"/>
        <v>669.9</v>
      </c>
    </row>
    <row r="21" spans="1:35">
      <c r="A21" t="s">
        <v>1352</v>
      </c>
      <c r="D21">
        <v>10</v>
      </c>
      <c r="E21">
        <v>11</v>
      </c>
      <c r="F21">
        <v>11</v>
      </c>
      <c r="G21">
        <v>11</v>
      </c>
      <c r="H21">
        <v>11</v>
      </c>
      <c r="I21">
        <v>11</v>
      </c>
      <c r="J21">
        <v>11</v>
      </c>
      <c r="K21">
        <v>13</v>
      </c>
      <c r="L21">
        <v>11</v>
      </c>
      <c r="M21">
        <v>13</v>
      </c>
      <c r="N21">
        <v>11</v>
      </c>
      <c r="O21">
        <v>12</v>
      </c>
      <c r="P21">
        <f t="shared" si="13"/>
        <v>136</v>
      </c>
      <c r="Q21" s="48">
        <v>9.5500000000000007</v>
      </c>
      <c r="R21" s="48">
        <v>9.5500000000000007</v>
      </c>
      <c r="S21" s="48">
        <v>0</v>
      </c>
      <c r="T21" s="48">
        <f t="shared" si="14"/>
        <v>1298.8000000000002</v>
      </c>
      <c r="U21" s="48">
        <f t="shared" si="15"/>
        <v>1298.8000000000002</v>
      </c>
      <c r="W21" s="69"/>
      <c r="X21" s="48">
        <f t="shared" si="16"/>
        <v>95.5</v>
      </c>
      <c r="Y21" s="48">
        <f t="shared" si="17"/>
        <v>105.05000000000001</v>
      </c>
      <c r="Z21" s="48">
        <f t="shared" si="3"/>
        <v>105.05000000000001</v>
      </c>
      <c r="AA21" s="48">
        <f t="shared" si="4"/>
        <v>105.05000000000001</v>
      </c>
      <c r="AB21" s="48">
        <f t="shared" si="5"/>
        <v>105.05000000000001</v>
      </c>
      <c r="AC21" s="48">
        <f t="shared" si="6"/>
        <v>105.05000000000001</v>
      </c>
      <c r="AD21" s="48">
        <f t="shared" si="7"/>
        <v>105.05000000000001</v>
      </c>
      <c r="AE21" s="48">
        <f t="shared" si="8"/>
        <v>124.15</v>
      </c>
      <c r="AF21" s="48">
        <f t="shared" si="9"/>
        <v>105.05000000000001</v>
      </c>
      <c r="AG21" s="48">
        <f t="shared" si="10"/>
        <v>124.15</v>
      </c>
      <c r="AH21" s="48">
        <f t="shared" si="11"/>
        <v>105.05000000000001</v>
      </c>
      <c r="AI21" s="48">
        <f t="shared" si="12"/>
        <v>114.60000000000001</v>
      </c>
    </row>
    <row r="22" spans="1:35">
      <c r="A22" t="s">
        <v>53</v>
      </c>
      <c r="D22">
        <v>6</v>
      </c>
      <c r="E22">
        <v>6</v>
      </c>
      <c r="F22">
        <v>6</v>
      </c>
      <c r="G22">
        <v>6</v>
      </c>
      <c r="H22">
        <v>6</v>
      </c>
      <c r="I22">
        <v>6</v>
      </c>
      <c r="J22">
        <v>5</v>
      </c>
      <c r="K22">
        <v>6</v>
      </c>
      <c r="L22">
        <v>5</v>
      </c>
      <c r="M22">
        <v>5</v>
      </c>
      <c r="N22">
        <v>5</v>
      </c>
      <c r="O22">
        <v>5</v>
      </c>
      <c r="P22">
        <f t="shared" si="13"/>
        <v>67</v>
      </c>
      <c r="Q22" s="48">
        <v>105.85</v>
      </c>
      <c r="R22" s="48">
        <v>105.85</v>
      </c>
      <c r="S22" s="48">
        <v>0</v>
      </c>
      <c r="T22" s="48">
        <f t="shared" si="14"/>
        <v>7091.95</v>
      </c>
      <c r="U22" s="48">
        <f t="shared" si="15"/>
        <v>7091.95</v>
      </c>
      <c r="W22" s="69"/>
      <c r="X22" s="48">
        <f t="shared" si="16"/>
        <v>635.09999999999991</v>
      </c>
      <c r="Y22" s="48">
        <f t="shared" si="17"/>
        <v>635.09999999999991</v>
      </c>
      <c r="Z22" s="48">
        <f t="shared" si="3"/>
        <v>635.09999999999991</v>
      </c>
      <c r="AA22" s="48">
        <f t="shared" si="4"/>
        <v>635.09999999999991</v>
      </c>
      <c r="AB22" s="48">
        <f t="shared" si="5"/>
        <v>635.09999999999991</v>
      </c>
      <c r="AC22" s="48">
        <f t="shared" si="6"/>
        <v>635.09999999999991</v>
      </c>
      <c r="AD22" s="48">
        <f t="shared" si="7"/>
        <v>529.25</v>
      </c>
      <c r="AE22" s="48">
        <f t="shared" si="8"/>
        <v>635.09999999999991</v>
      </c>
      <c r="AF22" s="48">
        <f t="shared" si="9"/>
        <v>529.25</v>
      </c>
      <c r="AG22" s="48">
        <f t="shared" si="10"/>
        <v>529.25</v>
      </c>
      <c r="AH22" s="48">
        <f t="shared" si="11"/>
        <v>529.25</v>
      </c>
      <c r="AI22" s="48">
        <f t="shared" si="12"/>
        <v>529.25</v>
      </c>
    </row>
    <row r="23" spans="1:35">
      <c r="A23" t="s">
        <v>1353</v>
      </c>
      <c r="D23">
        <v>14</v>
      </c>
      <c r="E23">
        <v>15</v>
      </c>
      <c r="F23">
        <v>15</v>
      </c>
      <c r="G23">
        <v>14</v>
      </c>
      <c r="H23">
        <v>15</v>
      </c>
      <c r="I23">
        <v>15</v>
      </c>
      <c r="J23">
        <v>14</v>
      </c>
      <c r="K23">
        <v>14</v>
      </c>
      <c r="L23">
        <v>13</v>
      </c>
      <c r="M23">
        <v>14</v>
      </c>
      <c r="N23">
        <v>13</v>
      </c>
      <c r="O23">
        <v>13</v>
      </c>
      <c r="P23">
        <f t="shared" si="13"/>
        <v>169</v>
      </c>
      <c r="Q23" s="48">
        <v>12.45</v>
      </c>
      <c r="R23" s="48">
        <v>12.45</v>
      </c>
      <c r="S23" s="48">
        <v>0</v>
      </c>
      <c r="T23" s="48">
        <f t="shared" si="14"/>
        <v>2104.0499999999997</v>
      </c>
      <c r="U23" s="48">
        <f t="shared" si="15"/>
        <v>2104.0499999999997</v>
      </c>
      <c r="W23" s="69"/>
      <c r="X23" s="48">
        <f t="shared" si="16"/>
        <v>174.29999999999998</v>
      </c>
      <c r="Y23" s="48">
        <f t="shared" si="17"/>
        <v>186.75</v>
      </c>
      <c r="Z23" s="48">
        <f t="shared" si="3"/>
        <v>186.75</v>
      </c>
      <c r="AA23" s="48">
        <f t="shared" si="4"/>
        <v>174.29999999999998</v>
      </c>
      <c r="AB23" s="48">
        <f t="shared" si="5"/>
        <v>186.75</v>
      </c>
      <c r="AC23" s="48">
        <f t="shared" si="6"/>
        <v>186.75</v>
      </c>
      <c r="AD23" s="48">
        <f t="shared" si="7"/>
        <v>174.29999999999998</v>
      </c>
      <c r="AE23" s="48">
        <f t="shared" si="8"/>
        <v>174.29999999999998</v>
      </c>
      <c r="AF23" s="48">
        <f t="shared" si="9"/>
        <v>161.85</v>
      </c>
      <c r="AG23" s="48">
        <f t="shared" si="10"/>
        <v>174.29999999999998</v>
      </c>
      <c r="AH23" s="48">
        <f t="shared" si="11"/>
        <v>161.85</v>
      </c>
      <c r="AI23" s="48">
        <f t="shared" si="12"/>
        <v>161.85</v>
      </c>
    </row>
    <row r="24" spans="1:35">
      <c r="A24" t="s">
        <v>56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f t="shared" si="13"/>
        <v>0</v>
      </c>
      <c r="Q24" s="48">
        <v>190.95</v>
      </c>
      <c r="R24" s="48">
        <v>190.95</v>
      </c>
      <c r="S24" s="48">
        <v>0</v>
      </c>
      <c r="T24" s="48">
        <f t="shared" si="14"/>
        <v>0</v>
      </c>
      <c r="U24" s="48">
        <f t="shared" si="15"/>
        <v>0</v>
      </c>
      <c r="W24" s="69"/>
      <c r="X24" s="48">
        <f t="shared" si="16"/>
        <v>0</v>
      </c>
      <c r="Y24" s="48">
        <f t="shared" si="17"/>
        <v>0</v>
      </c>
      <c r="Z24" s="48">
        <f t="shared" si="3"/>
        <v>0</v>
      </c>
      <c r="AA24" s="48">
        <f t="shared" si="4"/>
        <v>0</v>
      </c>
      <c r="AB24" s="48">
        <f t="shared" si="5"/>
        <v>0</v>
      </c>
      <c r="AC24" s="48">
        <f t="shared" si="6"/>
        <v>0</v>
      </c>
      <c r="AD24" s="48">
        <f t="shared" si="7"/>
        <v>0</v>
      </c>
      <c r="AE24" s="48">
        <f t="shared" si="8"/>
        <v>0</v>
      </c>
      <c r="AF24" s="48">
        <f t="shared" si="9"/>
        <v>0</v>
      </c>
      <c r="AG24" s="48">
        <f t="shared" si="10"/>
        <v>0</v>
      </c>
      <c r="AH24" s="48">
        <f t="shared" si="11"/>
        <v>0</v>
      </c>
      <c r="AI24" s="48">
        <f t="shared" si="12"/>
        <v>0</v>
      </c>
    </row>
    <row r="25" spans="1:35">
      <c r="A25" t="s">
        <v>1354</v>
      </c>
      <c r="D25">
        <v>2</v>
      </c>
      <c r="E25">
        <v>2</v>
      </c>
      <c r="F25">
        <v>1</v>
      </c>
      <c r="G25">
        <v>1</v>
      </c>
      <c r="H25">
        <v>1</v>
      </c>
      <c r="I25">
        <v>1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f t="shared" si="13"/>
        <v>20</v>
      </c>
      <c r="Q25" s="48">
        <v>22.8</v>
      </c>
      <c r="R25" s="48">
        <v>22.8</v>
      </c>
      <c r="S25" s="48">
        <v>0</v>
      </c>
      <c r="T25" s="48">
        <f t="shared" si="14"/>
        <v>456</v>
      </c>
      <c r="U25" s="48">
        <f t="shared" si="15"/>
        <v>456</v>
      </c>
      <c r="W25" s="69"/>
      <c r="X25" s="48">
        <f t="shared" si="16"/>
        <v>45.6</v>
      </c>
      <c r="Y25" s="48">
        <f t="shared" si="17"/>
        <v>45.6</v>
      </c>
      <c r="Z25" s="48">
        <f t="shared" si="3"/>
        <v>22.8</v>
      </c>
      <c r="AA25" s="48">
        <f t="shared" si="4"/>
        <v>22.8</v>
      </c>
      <c r="AB25" s="48">
        <f t="shared" si="5"/>
        <v>22.8</v>
      </c>
      <c r="AC25" s="48">
        <f t="shared" si="6"/>
        <v>22.8</v>
      </c>
      <c r="AD25" s="48">
        <f t="shared" si="7"/>
        <v>45.6</v>
      </c>
      <c r="AE25" s="48">
        <f t="shared" si="8"/>
        <v>45.6</v>
      </c>
      <c r="AF25" s="48">
        <f t="shared" si="9"/>
        <v>45.6</v>
      </c>
      <c r="AG25" s="48">
        <f t="shared" si="10"/>
        <v>45.6</v>
      </c>
      <c r="AH25" s="48">
        <f t="shared" si="11"/>
        <v>45.6</v>
      </c>
      <c r="AI25" s="48">
        <f t="shared" si="12"/>
        <v>45.6</v>
      </c>
    </row>
    <row r="26" spans="1:35">
      <c r="A26" t="s">
        <v>57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f t="shared" si="13"/>
        <v>0</v>
      </c>
      <c r="Q26" s="48">
        <v>296.05</v>
      </c>
      <c r="R26" s="48">
        <v>296.05</v>
      </c>
      <c r="S26" s="48">
        <v>0</v>
      </c>
      <c r="T26" s="48">
        <f t="shared" si="14"/>
        <v>0</v>
      </c>
      <c r="U26" s="48">
        <f t="shared" si="15"/>
        <v>0</v>
      </c>
      <c r="W26" s="69"/>
      <c r="X26" s="48">
        <f t="shared" si="16"/>
        <v>0</v>
      </c>
      <c r="Y26" s="48">
        <f t="shared" si="17"/>
        <v>0</v>
      </c>
      <c r="Z26" s="48">
        <f t="shared" si="3"/>
        <v>0</v>
      </c>
      <c r="AA26" s="48">
        <f t="shared" si="4"/>
        <v>0</v>
      </c>
      <c r="AB26" s="48">
        <f t="shared" si="5"/>
        <v>0</v>
      </c>
      <c r="AC26" s="48">
        <f t="shared" si="6"/>
        <v>0</v>
      </c>
      <c r="AD26" s="48">
        <f t="shared" si="7"/>
        <v>0</v>
      </c>
      <c r="AE26" s="48">
        <f t="shared" si="8"/>
        <v>0</v>
      </c>
      <c r="AF26" s="48">
        <f t="shared" si="9"/>
        <v>0</v>
      </c>
      <c r="AG26" s="48">
        <f t="shared" si="10"/>
        <v>0</v>
      </c>
      <c r="AH26" s="48">
        <f t="shared" si="11"/>
        <v>0</v>
      </c>
      <c r="AI26" s="48">
        <f t="shared" si="12"/>
        <v>0</v>
      </c>
    </row>
    <row r="27" spans="1:35">
      <c r="A27" t="s">
        <v>1355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si="13"/>
        <v>0</v>
      </c>
      <c r="Q27" s="48">
        <v>33.9</v>
      </c>
      <c r="R27" s="48">
        <v>33.9</v>
      </c>
      <c r="S27" s="48">
        <v>0</v>
      </c>
      <c r="T27" s="48">
        <f t="shared" si="14"/>
        <v>0</v>
      </c>
      <c r="U27" s="48">
        <f t="shared" si="15"/>
        <v>0</v>
      </c>
      <c r="W27" s="69"/>
      <c r="X27" s="48">
        <f t="shared" si="16"/>
        <v>0</v>
      </c>
      <c r="Y27" s="48">
        <f t="shared" si="17"/>
        <v>0</v>
      </c>
      <c r="Z27" s="48">
        <f t="shared" si="3"/>
        <v>0</v>
      </c>
      <c r="AA27" s="48">
        <f t="shared" si="4"/>
        <v>0</v>
      </c>
      <c r="AB27" s="48">
        <f t="shared" si="5"/>
        <v>0</v>
      </c>
      <c r="AC27" s="48">
        <f t="shared" si="6"/>
        <v>0</v>
      </c>
      <c r="AD27" s="48">
        <f t="shared" si="7"/>
        <v>0</v>
      </c>
      <c r="AE27" s="48">
        <f t="shared" si="8"/>
        <v>0</v>
      </c>
      <c r="AF27" s="48">
        <f t="shared" si="9"/>
        <v>0</v>
      </c>
      <c r="AG27" s="48">
        <f t="shared" si="10"/>
        <v>0</v>
      </c>
      <c r="AH27" s="48">
        <f t="shared" si="11"/>
        <v>0</v>
      </c>
      <c r="AI27" s="48">
        <f t="shared" si="12"/>
        <v>0</v>
      </c>
    </row>
    <row r="28" spans="1:35">
      <c r="A28" t="s">
        <v>1356</v>
      </c>
      <c r="D28">
        <v>2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2</v>
      </c>
      <c r="N28">
        <v>1</v>
      </c>
      <c r="O28">
        <v>2</v>
      </c>
      <c r="P28">
        <f t="shared" si="13"/>
        <v>15</v>
      </c>
      <c r="Q28" s="48">
        <v>121.8</v>
      </c>
      <c r="R28" s="48">
        <v>121.8</v>
      </c>
      <c r="S28" s="48">
        <v>0</v>
      </c>
      <c r="T28" s="48">
        <f t="shared" si="14"/>
        <v>1827</v>
      </c>
      <c r="U28" s="48">
        <f t="shared" si="15"/>
        <v>1827</v>
      </c>
      <c r="W28" s="69"/>
      <c r="X28" s="48">
        <f t="shared" si="16"/>
        <v>243.6</v>
      </c>
      <c r="Y28" s="48">
        <f t="shared" si="17"/>
        <v>121.8</v>
      </c>
      <c r="Z28" s="48">
        <f t="shared" si="3"/>
        <v>121.8</v>
      </c>
      <c r="AA28" s="48">
        <f t="shared" si="4"/>
        <v>121.8</v>
      </c>
      <c r="AB28" s="48">
        <f t="shared" si="5"/>
        <v>121.8</v>
      </c>
      <c r="AC28" s="48">
        <f t="shared" si="6"/>
        <v>121.8</v>
      </c>
      <c r="AD28" s="48">
        <f t="shared" si="7"/>
        <v>121.8</v>
      </c>
      <c r="AE28" s="48">
        <f t="shared" si="8"/>
        <v>121.8</v>
      </c>
      <c r="AF28" s="48">
        <f t="shared" si="9"/>
        <v>121.8</v>
      </c>
      <c r="AG28" s="48">
        <f t="shared" si="10"/>
        <v>243.6</v>
      </c>
      <c r="AH28" s="48">
        <f t="shared" si="11"/>
        <v>121.8</v>
      </c>
      <c r="AI28" s="48">
        <f t="shared" si="12"/>
        <v>243.6</v>
      </c>
    </row>
    <row r="29" spans="1:35">
      <c r="A29" t="s">
        <v>1357</v>
      </c>
      <c r="D29">
        <v>9</v>
      </c>
      <c r="E29">
        <v>9</v>
      </c>
      <c r="F29">
        <v>9</v>
      </c>
      <c r="G29">
        <v>8</v>
      </c>
      <c r="H29">
        <v>9</v>
      </c>
      <c r="I29">
        <v>9</v>
      </c>
      <c r="J29">
        <v>8</v>
      </c>
      <c r="K29">
        <v>8</v>
      </c>
      <c r="L29">
        <v>8</v>
      </c>
      <c r="M29">
        <v>9</v>
      </c>
      <c r="N29">
        <v>8</v>
      </c>
      <c r="O29">
        <v>8</v>
      </c>
      <c r="P29">
        <f t="shared" si="13"/>
        <v>102</v>
      </c>
      <c r="Q29" s="48">
        <v>211.7</v>
      </c>
      <c r="R29" s="48">
        <v>211.7</v>
      </c>
      <c r="S29" s="48">
        <v>0</v>
      </c>
      <c r="T29" s="48">
        <f t="shared" si="14"/>
        <v>21593.399999999998</v>
      </c>
      <c r="U29" s="48">
        <f t="shared" si="15"/>
        <v>21593.399999999998</v>
      </c>
      <c r="W29" s="69"/>
      <c r="X29" s="48">
        <f t="shared" si="16"/>
        <v>1905.3</v>
      </c>
      <c r="Y29" s="48">
        <f t="shared" si="17"/>
        <v>1905.3</v>
      </c>
      <c r="Z29" s="48">
        <f t="shared" si="3"/>
        <v>1905.3</v>
      </c>
      <c r="AA29" s="48">
        <f t="shared" si="4"/>
        <v>1693.6</v>
      </c>
      <c r="AB29" s="48">
        <f t="shared" si="5"/>
        <v>1905.3</v>
      </c>
      <c r="AC29" s="48">
        <f t="shared" si="6"/>
        <v>1905.3</v>
      </c>
      <c r="AD29" s="48">
        <f t="shared" si="7"/>
        <v>1693.6</v>
      </c>
      <c r="AE29" s="48">
        <f t="shared" si="8"/>
        <v>1693.6</v>
      </c>
      <c r="AF29" s="48">
        <f t="shared" si="9"/>
        <v>1693.6</v>
      </c>
      <c r="AG29" s="48">
        <f t="shared" si="10"/>
        <v>1905.3</v>
      </c>
      <c r="AH29" s="48">
        <f t="shared" si="11"/>
        <v>1693.6</v>
      </c>
      <c r="AI29" s="48">
        <f t="shared" si="12"/>
        <v>1693.6</v>
      </c>
    </row>
    <row r="30" spans="1:35">
      <c r="A30" t="s">
        <v>1358</v>
      </c>
      <c r="D30">
        <v>2</v>
      </c>
      <c r="E30">
        <v>2</v>
      </c>
      <c r="F30">
        <v>1</v>
      </c>
      <c r="G30">
        <v>1</v>
      </c>
      <c r="H30">
        <v>1</v>
      </c>
      <c r="I30">
        <v>1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f t="shared" si="13"/>
        <v>20</v>
      </c>
      <c r="Q30" s="48">
        <v>381.9</v>
      </c>
      <c r="R30" s="48">
        <v>381.9</v>
      </c>
      <c r="S30" s="48">
        <v>0</v>
      </c>
      <c r="T30" s="48">
        <f t="shared" si="14"/>
        <v>7638</v>
      </c>
      <c r="U30" s="48">
        <f t="shared" si="15"/>
        <v>7638</v>
      </c>
      <c r="W30" s="69"/>
      <c r="X30" s="48">
        <f t="shared" si="16"/>
        <v>763.8</v>
      </c>
      <c r="Y30" s="48">
        <f t="shared" si="17"/>
        <v>763.8</v>
      </c>
      <c r="Z30" s="48">
        <f t="shared" si="3"/>
        <v>381.9</v>
      </c>
      <c r="AA30" s="48">
        <f t="shared" si="4"/>
        <v>381.9</v>
      </c>
      <c r="AB30" s="48">
        <f t="shared" si="5"/>
        <v>381.9</v>
      </c>
      <c r="AC30" s="48">
        <f t="shared" si="6"/>
        <v>381.9</v>
      </c>
      <c r="AD30" s="48">
        <f t="shared" si="7"/>
        <v>763.8</v>
      </c>
      <c r="AE30" s="48">
        <f t="shared" si="8"/>
        <v>763.8</v>
      </c>
      <c r="AF30" s="48">
        <f t="shared" si="9"/>
        <v>763.8</v>
      </c>
      <c r="AG30" s="48">
        <f t="shared" si="10"/>
        <v>763.8</v>
      </c>
      <c r="AH30" s="48">
        <f t="shared" si="11"/>
        <v>763.8</v>
      </c>
      <c r="AI30" s="48">
        <f t="shared" si="12"/>
        <v>763.8</v>
      </c>
    </row>
    <row r="31" spans="1:35">
      <c r="A31" t="s">
        <v>1359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f t="shared" si="13"/>
        <v>0</v>
      </c>
      <c r="Q31" s="48">
        <v>592.1</v>
      </c>
      <c r="R31" s="48">
        <v>592.1</v>
      </c>
      <c r="S31" s="48">
        <f>SUM(D31:J31)*Q31</f>
        <v>0</v>
      </c>
      <c r="T31" s="48">
        <f t="shared" si="14"/>
        <v>0</v>
      </c>
      <c r="U31" s="48">
        <f t="shared" si="15"/>
        <v>0</v>
      </c>
      <c r="W31" s="69"/>
      <c r="X31" s="48">
        <f t="shared" si="16"/>
        <v>0</v>
      </c>
      <c r="Y31" s="48">
        <f t="shared" si="17"/>
        <v>0</v>
      </c>
      <c r="Z31" s="48">
        <f t="shared" si="3"/>
        <v>0</v>
      </c>
      <c r="AA31" s="48">
        <f t="shared" si="4"/>
        <v>0</v>
      </c>
      <c r="AB31" s="48">
        <f t="shared" si="5"/>
        <v>0</v>
      </c>
      <c r="AC31" s="48">
        <f t="shared" si="6"/>
        <v>0</v>
      </c>
      <c r="AD31" s="48">
        <f t="shared" si="7"/>
        <v>0</v>
      </c>
      <c r="AE31" s="48">
        <f t="shared" si="8"/>
        <v>0</v>
      </c>
      <c r="AF31" s="48">
        <f t="shared" si="9"/>
        <v>0</v>
      </c>
      <c r="AG31" s="48">
        <f t="shared" si="10"/>
        <v>0</v>
      </c>
      <c r="AH31" s="48">
        <f t="shared" si="11"/>
        <v>0</v>
      </c>
      <c r="AI31" s="48">
        <f t="shared" si="12"/>
        <v>0</v>
      </c>
    </row>
    <row r="32" spans="1:35">
      <c r="Q32" s="48"/>
      <c r="R32" s="48"/>
      <c r="S32" s="48"/>
      <c r="T32" s="48"/>
      <c r="U32" s="48"/>
      <c r="W32" s="69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>
      <c r="A33" t="s">
        <v>1360</v>
      </c>
      <c r="D33">
        <v>7</v>
      </c>
      <c r="E33">
        <v>8</v>
      </c>
      <c r="F33">
        <v>1</v>
      </c>
      <c r="G33">
        <v>1</v>
      </c>
      <c r="H33">
        <v>4</v>
      </c>
      <c r="I33">
        <v>5</v>
      </c>
      <c r="J33">
        <v>0</v>
      </c>
      <c r="K33">
        <v>1</v>
      </c>
      <c r="L33">
        <v>2</v>
      </c>
      <c r="M33">
        <v>5</v>
      </c>
      <c r="N33">
        <v>4</v>
      </c>
      <c r="O33">
        <v>10</v>
      </c>
      <c r="P33">
        <f>SUM(D33:O33)</f>
        <v>48</v>
      </c>
      <c r="Q33" s="48">
        <v>21.65</v>
      </c>
      <c r="R33" s="48">
        <v>21.65</v>
      </c>
      <c r="S33" s="48">
        <v>0</v>
      </c>
      <c r="T33" s="48">
        <f>SUM(D33:O33)*R33</f>
        <v>1039.1999999999998</v>
      </c>
      <c r="U33" s="52">
        <f>+S33+T33</f>
        <v>1039.1999999999998</v>
      </c>
      <c r="V33" s="48">
        <f>SUM(U18:U33)</f>
        <v>53673.999999999993</v>
      </c>
      <c r="W33" s="69"/>
      <c r="X33" s="52">
        <f>D33*$Q33</f>
        <v>151.54999999999998</v>
      </c>
      <c r="Y33" s="52">
        <f>E33*$Q33</f>
        <v>173.2</v>
      </c>
      <c r="Z33" s="52">
        <f t="shared" si="3"/>
        <v>21.65</v>
      </c>
      <c r="AA33" s="52">
        <f t="shared" si="4"/>
        <v>21.65</v>
      </c>
      <c r="AB33" s="52">
        <f t="shared" si="5"/>
        <v>86.6</v>
      </c>
      <c r="AC33" s="52">
        <f t="shared" si="6"/>
        <v>108.25</v>
      </c>
      <c r="AD33" s="52">
        <f t="shared" si="7"/>
        <v>0</v>
      </c>
      <c r="AE33" s="52">
        <f t="shared" si="8"/>
        <v>21.65</v>
      </c>
      <c r="AF33" s="52">
        <f t="shared" si="9"/>
        <v>43.3</v>
      </c>
      <c r="AG33" s="52">
        <f t="shared" si="10"/>
        <v>108.25</v>
      </c>
      <c r="AH33" s="52">
        <f t="shared" si="11"/>
        <v>86.6</v>
      </c>
      <c r="AI33" s="52">
        <f t="shared" si="12"/>
        <v>216.5</v>
      </c>
    </row>
    <row r="34" spans="1:35">
      <c r="P34">
        <f>SUM(P12:P33)</f>
        <v>3574</v>
      </c>
      <c r="Q34" s="48"/>
      <c r="R34" s="48"/>
      <c r="S34" s="48"/>
      <c r="T34" s="48"/>
      <c r="U34" s="48"/>
      <c r="W34" s="69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>
      <c r="A35" t="s">
        <v>240</v>
      </c>
      <c r="N35" s="459" t="s">
        <v>1361</v>
      </c>
      <c r="P35">
        <f>SUM(P12:P20)+P22+P24+P26</f>
        <v>3064</v>
      </c>
      <c r="Q35" s="48"/>
      <c r="R35" s="48"/>
      <c r="S35" s="48"/>
      <c r="T35" s="48"/>
      <c r="U35" s="48">
        <f>SUM(U12:U33)</f>
        <v>116038.9</v>
      </c>
      <c r="W35" s="69"/>
      <c r="X35" s="48">
        <f t="shared" ref="X35:AI35" si="18">SUM(X12:X33)</f>
        <v>10076.699999999999</v>
      </c>
      <c r="Y35" s="48">
        <f t="shared" si="18"/>
        <v>9988.2000000000007</v>
      </c>
      <c r="Z35" s="48">
        <f t="shared" si="18"/>
        <v>9431.9499999999989</v>
      </c>
      <c r="AA35" s="48">
        <f t="shared" si="18"/>
        <v>9303.75</v>
      </c>
      <c r="AB35" s="48">
        <f t="shared" si="18"/>
        <v>9454.1</v>
      </c>
      <c r="AC35" s="48">
        <f t="shared" si="18"/>
        <v>9475.75</v>
      </c>
      <c r="AD35" s="48">
        <f t="shared" si="18"/>
        <v>9567.1999999999989</v>
      </c>
      <c r="AE35" s="48">
        <f t="shared" si="18"/>
        <v>9756.7999999999993</v>
      </c>
      <c r="AF35" s="48">
        <f t="shared" si="18"/>
        <v>9610.0999999999985</v>
      </c>
      <c r="AG35" s="48">
        <f t="shared" si="18"/>
        <v>9985.3499999999985</v>
      </c>
      <c r="AH35" s="48">
        <f t="shared" si="18"/>
        <v>9527.4</v>
      </c>
      <c r="AI35" s="48">
        <f t="shared" si="18"/>
        <v>9861.6</v>
      </c>
    </row>
    <row r="36" spans="1:35">
      <c r="U36" s="48"/>
      <c r="W36" s="69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>
      <c r="A37" t="s">
        <v>1362</v>
      </c>
      <c r="U37" s="52">
        <f>SUM(X37:AI37)</f>
        <v>115021.26999999999</v>
      </c>
      <c r="W37" s="69"/>
      <c r="X37" s="52">
        <f>'Monthy Income Statements'!C12</f>
        <v>9959.31</v>
      </c>
      <c r="Y37" s="52">
        <f>'Monthy Income Statements'!D12</f>
        <v>9878.0499999999993</v>
      </c>
      <c r="Z37" s="52">
        <f>'Monthy Income Statements'!E12</f>
        <v>9521</v>
      </c>
      <c r="AA37" s="52">
        <f>'Monthy Income Statements'!F12</f>
        <v>9520.7199999999993</v>
      </c>
      <c r="AB37" s="52">
        <f>'Monthy Income Statements'!G12</f>
        <v>9466.1</v>
      </c>
      <c r="AC37" s="52">
        <f>'Monthy Income Statements'!H12</f>
        <v>9490.5499999999993</v>
      </c>
      <c r="AD37" s="52">
        <f>'Monthy Income Statements'!I12</f>
        <v>9454.2000000000007</v>
      </c>
      <c r="AE37" s="52">
        <f>'Monthy Income Statements'!J12</f>
        <v>9310.35</v>
      </c>
      <c r="AF37" s="52">
        <f>'Monthy Income Statements'!K12</f>
        <v>9504.8700000000008</v>
      </c>
      <c r="AG37" s="52">
        <f>'Monthy Income Statements'!L12</f>
        <v>9901.7199999999993</v>
      </c>
      <c r="AH37" s="52">
        <f>'Monthy Income Statements'!M12</f>
        <v>9344.5</v>
      </c>
      <c r="AI37" s="52">
        <f>'Monthy Income Statements'!N12</f>
        <v>9669.9</v>
      </c>
    </row>
    <row r="38" spans="1:35">
      <c r="W38" s="69"/>
    </row>
    <row r="39" spans="1:35">
      <c r="A39" t="s">
        <v>710</v>
      </c>
      <c r="U39" s="48">
        <f>+U35-U37</f>
        <v>1017.6300000000047</v>
      </c>
      <c r="V39" s="104">
        <f>+U39/U37</f>
        <v>8.8473201521771117E-3</v>
      </c>
      <c r="W39" s="69"/>
      <c r="X39" s="48">
        <f t="shared" ref="X39:AI39" si="19">+X35-X37</f>
        <v>117.38999999999942</v>
      </c>
      <c r="Y39" s="48">
        <f t="shared" si="19"/>
        <v>110.15000000000146</v>
      </c>
      <c r="Z39" s="48">
        <f t="shared" si="19"/>
        <v>-89.050000000001091</v>
      </c>
      <c r="AA39" s="48">
        <f t="shared" si="19"/>
        <v>-216.96999999999935</v>
      </c>
      <c r="AB39" s="48">
        <f t="shared" si="19"/>
        <v>-12</v>
      </c>
      <c r="AC39" s="48">
        <f t="shared" si="19"/>
        <v>-14.799999999999272</v>
      </c>
      <c r="AD39" s="48">
        <f t="shared" si="19"/>
        <v>112.99999999999818</v>
      </c>
      <c r="AE39" s="48">
        <f t="shared" si="19"/>
        <v>446.44999999999891</v>
      </c>
      <c r="AF39" s="48">
        <f t="shared" si="19"/>
        <v>105.22999999999774</v>
      </c>
      <c r="AG39" s="48">
        <f t="shared" si="19"/>
        <v>83.6299999999992</v>
      </c>
      <c r="AH39" s="48">
        <f t="shared" si="19"/>
        <v>182.89999999999964</v>
      </c>
      <c r="AI39" s="48">
        <f t="shared" si="19"/>
        <v>191.70000000000073</v>
      </c>
    </row>
    <row r="40" spans="1:35">
      <c r="D40" s="530"/>
      <c r="E40" s="530"/>
      <c r="F40" s="530"/>
      <c r="G40" s="530"/>
      <c r="H40" s="530"/>
      <c r="I40" s="530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</row>
    <row r="41" spans="1:35">
      <c r="S41" s="459" t="s">
        <v>1238</v>
      </c>
      <c r="U41" s="48">
        <f>SUM(U12:U16)</f>
        <v>62364.9</v>
      </c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</row>
    <row r="42" spans="1:35">
      <c r="S42" s="459" t="s">
        <v>220</v>
      </c>
      <c r="U42" s="48">
        <f>SUM(U18:U33)</f>
        <v>53673.999999999993</v>
      </c>
    </row>
  </sheetData>
  <pageMargins left="0.2" right="0.45" top="0.54" bottom="0.45" header="0.5" footer="0.5"/>
  <pageSetup scale="6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  <pageSetUpPr fitToPage="1"/>
  </sheetPr>
  <dimension ref="A1:AJ61"/>
  <sheetViews>
    <sheetView workbookViewId="0"/>
  </sheetViews>
  <sheetFormatPr defaultRowHeight="12.75"/>
  <cols>
    <col min="1" max="1" width="12.7109375" customWidth="1"/>
    <col min="3" max="3" width="0.7109375" customWidth="1"/>
    <col min="17" max="17" width="10.140625" customWidth="1"/>
    <col min="18" max="20" width="11.5703125" customWidth="1"/>
    <col min="21" max="21" width="10.7109375" bestFit="1" customWidth="1"/>
    <col min="22" max="22" width="10.140625" bestFit="1" customWidth="1"/>
    <col min="24" max="24" width="9.5703125" bestFit="1" customWidth="1"/>
    <col min="35" max="35" width="10.42578125" customWidth="1"/>
  </cols>
  <sheetData>
    <row r="1" spans="1:34">
      <c r="A1" t="s">
        <v>4</v>
      </c>
    </row>
    <row r="3" spans="1:34">
      <c r="A3" t="s">
        <v>1363</v>
      </c>
      <c r="E3" s="477"/>
      <c r="F3" s="459" t="s">
        <v>11</v>
      </c>
      <c r="G3" s="459" t="s">
        <v>12</v>
      </c>
    </row>
    <row r="5" spans="1:34">
      <c r="A5" s="459" t="s">
        <v>1416</v>
      </c>
    </row>
    <row r="6" spans="1:34">
      <c r="M6" s="530"/>
      <c r="N6" s="530"/>
      <c r="O6" s="530"/>
    </row>
    <row r="7" spans="1:34">
      <c r="Q7" s="530" t="s">
        <v>26</v>
      </c>
      <c r="R7" s="530" t="s">
        <v>26</v>
      </c>
      <c r="S7" s="530" t="s">
        <v>29</v>
      </c>
      <c r="T7" s="530" t="s">
        <v>29</v>
      </c>
    </row>
    <row r="8" spans="1:34">
      <c r="Q8" s="515">
        <v>44927</v>
      </c>
      <c r="R8" s="515">
        <v>45292</v>
      </c>
      <c r="S8" s="515">
        <v>45108</v>
      </c>
      <c r="T8" s="515">
        <v>45292</v>
      </c>
      <c r="U8" s="530" t="s">
        <v>112</v>
      </c>
    </row>
    <row r="9" spans="1:34">
      <c r="A9" t="s">
        <v>1346</v>
      </c>
      <c r="D9" s="530" t="s">
        <v>1119</v>
      </c>
      <c r="E9" s="530" t="s">
        <v>1120</v>
      </c>
      <c r="F9" s="530" t="s">
        <v>1121</v>
      </c>
      <c r="G9" s="462" t="s">
        <v>1113</v>
      </c>
      <c r="H9" s="462" t="s">
        <v>1114</v>
      </c>
      <c r="I9" s="462" t="s">
        <v>1115</v>
      </c>
      <c r="J9" s="530" t="s">
        <v>648</v>
      </c>
      <c r="K9" s="530" t="s">
        <v>649</v>
      </c>
      <c r="L9" s="530" t="s">
        <v>650</v>
      </c>
      <c r="M9" s="530" t="s">
        <v>1116</v>
      </c>
      <c r="N9" s="530" t="s">
        <v>1117</v>
      </c>
      <c r="O9" s="530" t="s">
        <v>1118</v>
      </c>
      <c r="P9" s="530" t="s">
        <v>388</v>
      </c>
      <c r="Q9" s="246">
        <v>45291</v>
      </c>
      <c r="R9" s="246">
        <v>45657</v>
      </c>
      <c r="S9" s="246">
        <v>45291</v>
      </c>
      <c r="T9" s="246">
        <v>45473</v>
      </c>
      <c r="U9" s="530" t="s">
        <v>29</v>
      </c>
      <c r="W9" s="530"/>
      <c r="AG9" s="530"/>
      <c r="AH9" s="530"/>
    </row>
    <row r="11" spans="1:34">
      <c r="A11" t="s">
        <v>30</v>
      </c>
    </row>
    <row r="12" spans="1:34">
      <c r="A12" t="s">
        <v>1347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SUM(D12:O12)</f>
        <v>0</v>
      </c>
      <c r="Q12" s="48">
        <v>0</v>
      </c>
      <c r="R12" s="48">
        <v>0</v>
      </c>
      <c r="S12" s="48">
        <f>SUM(D12:I12)*Q12</f>
        <v>0</v>
      </c>
      <c r="T12" s="48">
        <f>SUM(J12:O12)*R12</f>
        <v>0</v>
      </c>
      <c r="U12" s="48">
        <f>+S12+T12</f>
        <v>0</v>
      </c>
      <c r="W12" s="69"/>
      <c r="X12" t="s">
        <v>29</v>
      </c>
      <c r="AG12" s="69"/>
      <c r="AH12" s="69"/>
    </row>
    <row r="13" spans="1:34">
      <c r="A13" t="s">
        <v>1364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f>SUM(D13:O13)</f>
        <v>0</v>
      </c>
      <c r="Q13" s="48">
        <v>16.75</v>
      </c>
      <c r="R13" s="48">
        <v>17.350000000000001</v>
      </c>
      <c r="S13" s="48">
        <f t="shared" ref="S13:S16" si="0">SUM(D13:I13)*Q13</f>
        <v>0</v>
      </c>
      <c r="T13" s="48">
        <f t="shared" ref="T13:T16" si="1">SUM(J13:O13)*R13</f>
        <v>0</v>
      </c>
      <c r="U13" s="48">
        <f>+S13+T13</f>
        <v>0</v>
      </c>
      <c r="W13" s="69"/>
      <c r="AG13" s="69"/>
      <c r="AH13" s="69"/>
    </row>
    <row r="14" spans="1:34">
      <c r="A14" t="s">
        <v>1365</v>
      </c>
      <c r="D14">
        <v>588</v>
      </c>
      <c r="E14">
        <v>587</v>
      </c>
      <c r="F14">
        <v>586</v>
      </c>
      <c r="G14">
        <v>585</v>
      </c>
      <c r="H14">
        <v>585</v>
      </c>
      <c r="I14">
        <v>586</v>
      </c>
      <c r="J14">
        <v>586</v>
      </c>
      <c r="K14">
        <v>586</v>
      </c>
      <c r="L14">
        <v>586</v>
      </c>
      <c r="M14">
        <v>586</v>
      </c>
      <c r="N14">
        <v>586</v>
      </c>
      <c r="O14">
        <v>588</v>
      </c>
      <c r="P14">
        <f>SUM(D14:O14)</f>
        <v>7035</v>
      </c>
      <c r="Q14" s="48">
        <v>21.1</v>
      </c>
      <c r="R14" s="48">
        <v>21.85</v>
      </c>
      <c r="S14" s="48">
        <f t="shared" si="0"/>
        <v>74208.700000000012</v>
      </c>
      <c r="T14" s="48">
        <f t="shared" si="1"/>
        <v>76868.3</v>
      </c>
      <c r="U14" s="48">
        <f>+S14+T14</f>
        <v>151077</v>
      </c>
      <c r="W14" s="69"/>
      <c r="X14" s="5"/>
      <c r="AG14" s="69"/>
      <c r="AH14" s="69"/>
    </row>
    <row r="15" spans="1:34">
      <c r="A15" t="s">
        <v>1366</v>
      </c>
      <c r="D15">
        <v>65</v>
      </c>
      <c r="E15">
        <v>67</v>
      </c>
      <c r="F15">
        <v>68</v>
      </c>
      <c r="G15">
        <v>69</v>
      </c>
      <c r="H15">
        <v>69</v>
      </c>
      <c r="I15">
        <v>69</v>
      </c>
      <c r="J15">
        <v>71</v>
      </c>
      <c r="K15">
        <v>71</v>
      </c>
      <c r="L15">
        <v>71</v>
      </c>
      <c r="M15">
        <v>71</v>
      </c>
      <c r="N15">
        <v>73</v>
      </c>
      <c r="O15">
        <v>72</v>
      </c>
      <c r="P15">
        <f>SUM(D15:O15)</f>
        <v>836</v>
      </c>
      <c r="Q15" s="48">
        <v>32.1</v>
      </c>
      <c r="R15" s="48">
        <v>33.200000000000003</v>
      </c>
      <c r="S15" s="48">
        <f t="shared" si="0"/>
        <v>13064.7</v>
      </c>
      <c r="T15" s="48">
        <f t="shared" si="1"/>
        <v>14242.800000000001</v>
      </c>
      <c r="U15" s="48">
        <f>+S15+T15</f>
        <v>27307.5</v>
      </c>
      <c r="W15" s="69"/>
      <c r="X15" s="5"/>
      <c r="AG15" s="69"/>
      <c r="AH15" s="69"/>
    </row>
    <row r="16" spans="1:34">
      <c r="A16" t="s">
        <v>1351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SUM(D16:O16)</f>
        <v>0</v>
      </c>
      <c r="Q16" s="48">
        <v>0</v>
      </c>
      <c r="R16" s="48">
        <v>0</v>
      </c>
      <c r="S16" s="48">
        <f t="shared" si="0"/>
        <v>0</v>
      </c>
      <c r="T16" s="48">
        <f t="shared" si="1"/>
        <v>0</v>
      </c>
      <c r="U16" s="48">
        <f>+S16+T16</f>
        <v>0</v>
      </c>
      <c r="V16" s="48">
        <f>SUM(U12:U16)</f>
        <v>178384.5</v>
      </c>
      <c r="W16" s="69"/>
      <c r="X16" s="5"/>
      <c r="AG16" s="69"/>
      <c r="AH16" s="69"/>
    </row>
    <row r="17" spans="1:35">
      <c r="A17" t="s">
        <v>49</v>
      </c>
      <c r="Q17" s="48"/>
      <c r="R17" s="48"/>
      <c r="S17" s="48"/>
      <c r="T17" s="48"/>
      <c r="U17" s="48"/>
      <c r="W17" s="69"/>
      <c r="X17" s="5"/>
      <c r="AG17" s="69"/>
      <c r="AH17" s="69"/>
    </row>
    <row r="18" spans="1:35">
      <c r="A18" t="s">
        <v>1367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ref="P18:P27" si="2">SUM(D18:O18)</f>
        <v>0</v>
      </c>
      <c r="Q18" s="48">
        <v>24.3</v>
      </c>
      <c r="R18" s="48">
        <v>25.15</v>
      </c>
      <c r="S18" s="48">
        <f t="shared" ref="S18:S27" si="3">SUM(D18:I18)*Q18</f>
        <v>0</v>
      </c>
      <c r="T18" s="48">
        <f t="shared" ref="T18:T27" si="4">SUM(J18:O18)*R18</f>
        <v>0</v>
      </c>
      <c r="U18" s="48">
        <f t="shared" ref="U18:U27" si="5">+S18+T18</f>
        <v>0</v>
      </c>
      <c r="W18" s="69"/>
      <c r="X18" s="5"/>
      <c r="AG18" s="69"/>
      <c r="AH18" s="69"/>
    </row>
    <row r="19" spans="1:35">
      <c r="A19" t="s">
        <v>1368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2"/>
        <v>0</v>
      </c>
      <c r="Q19" s="48">
        <v>35.6</v>
      </c>
      <c r="R19" s="48">
        <v>36.85</v>
      </c>
      <c r="S19" s="48">
        <f t="shared" si="3"/>
        <v>0</v>
      </c>
      <c r="T19" s="48">
        <f t="shared" si="4"/>
        <v>0</v>
      </c>
      <c r="U19" s="48">
        <f t="shared" si="5"/>
        <v>0</v>
      </c>
      <c r="W19" s="69"/>
      <c r="X19" s="5"/>
      <c r="AG19" s="69"/>
      <c r="AH19" s="69"/>
    </row>
    <row r="20" spans="1:35">
      <c r="A20" t="s">
        <v>50</v>
      </c>
      <c r="D20">
        <v>28</v>
      </c>
      <c r="E20">
        <v>28</v>
      </c>
      <c r="F20">
        <v>28</v>
      </c>
      <c r="G20">
        <v>28</v>
      </c>
      <c r="H20">
        <v>29</v>
      </c>
      <c r="I20">
        <v>28</v>
      </c>
      <c r="J20">
        <v>28</v>
      </c>
      <c r="K20">
        <v>28</v>
      </c>
      <c r="L20">
        <v>28</v>
      </c>
      <c r="M20">
        <v>28</v>
      </c>
      <c r="N20">
        <v>28</v>
      </c>
      <c r="O20">
        <v>28</v>
      </c>
      <c r="P20">
        <f t="shared" si="2"/>
        <v>337</v>
      </c>
      <c r="Q20" s="48">
        <v>67.3</v>
      </c>
      <c r="R20" s="48">
        <v>69.650000000000006</v>
      </c>
      <c r="S20" s="48">
        <f t="shared" si="3"/>
        <v>11373.699999999999</v>
      </c>
      <c r="T20" s="48">
        <f t="shared" si="4"/>
        <v>11701.2</v>
      </c>
      <c r="U20" s="48">
        <f t="shared" si="5"/>
        <v>23074.9</v>
      </c>
      <c r="W20" s="69"/>
      <c r="X20" s="5"/>
      <c r="AG20" s="69"/>
      <c r="AH20" s="69"/>
    </row>
    <row r="21" spans="1:35">
      <c r="A21" t="s">
        <v>53</v>
      </c>
      <c r="D21">
        <v>10</v>
      </c>
      <c r="E21">
        <v>10</v>
      </c>
      <c r="F21">
        <v>10</v>
      </c>
      <c r="G21">
        <v>10</v>
      </c>
      <c r="H21">
        <v>10</v>
      </c>
      <c r="I21">
        <v>10</v>
      </c>
      <c r="J21">
        <v>10</v>
      </c>
      <c r="K21">
        <v>10</v>
      </c>
      <c r="L21">
        <v>10</v>
      </c>
      <c r="M21">
        <v>10</v>
      </c>
      <c r="N21">
        <v>10</v>
      </c>
      <c r="O21">
        <v>10</v>
      </c>
      <c r="P21">
        <f t="shared" si="2"/>
        <v>120</v>
      </c>
      <c r="Q21" s="48">
        <v>119.85</v>
      </c>
      <c r="R21" s="48">
        <v>124.05</v>
      </c>
      <c r="S21" s="48">
        <f t="shared" si="3"/>
        <v>7191</v>
      </c>
      <c r="T21" s="48">
        <f t="shared" si="4"/>
        <v>7443</v>
      </c>
      <c r="U21" s="48">
        <f t="shared" si="5"/>
        <v>14634</v>
      </c>
      <c r="W21" s="69"/>
      <c r="X21" s="5"/>
      <c r="AG21" s="69"/>
      <c r="AH21" s="69"/>
    </row>
    <row r="22" spans="1:35">
      <c r="A22" t="s">
        <v>56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2"/>
        <v>0</v>
      </c>
      <c r="Q22" s="48">
        <v>214.15</v>
      </c>
      <c r="R22" s="48">
        <v>221.65</v>
      </c>
      <c r="S22" s="48">
        <f t="shared" si="3"/>
        <v>0</v>
      </c>
      <c r="T22" s="48">
        <f t="shared" si="4"/>
        <v>0</v>
      </c>
      <c r="U22" s="48">
        <f t="shared" si="5"/>
        <v>0</v>
      </c>
      <c r="W22" s="69"/>
      <c r="X22" s="5"/>
      <c r="AG22" s="69"/>
      <c r="AH22" s="69"/>
    </row>
    <row r="23" spans="1:35">
      <c r="A23" t="s">
        <v>57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si="2"/>
        <v>0</v>
      </c>
      <c r="Q23" s="48">
        <v>324.5</v>
      </c>
      <c r="R23" s="48">
        <v>335.85</v>
      </c>
      <c r="S23" s="48">
        <f t="shared" si="3"/>
        <v>0</v>
      </c>
      <c r="T23" s="48">
        <f t="shared" si="4"/>
        <v>0</v>
      </c>
      <c r="U23" s="48">
        <f t="shared" si="5"/>
        <v>0</v>
      </c>
      <c r="W23" s="69"/>
      <c r="X23" s="5"/>
      <c r="AG23" s="69"/>
      <c r="AH23" s="69"/>
    </row>
    <row r="24" spans="1:35">
      <c r="A24" t="s">
        <v>1356</v>
      </c>
      <c r="D24">
        <v>3</v>
      </c>
      <c r="E24">
        <v>3</v>
      </c>
      <c r="F24">
        <v>3</v>
      </c>
      <c r="G24">
        <v>3</v>
      </c>
      <c r="H24">
        <v>3</v>
      </c>
      <c r="I24">
        <v>3</v>
      </c>
      <c r="J24">
        <v>2</v>
      </c>
      <c r="K24">
        <v>2</v>
      </c>
      <c r="L24">
        <v>2</v>
      </c>
      <c r="M24">
        <v>3</v>
      </c>
      <c r="N24">
        <v>3</v>
      </c>
      <c r="O24">
        <v>3</v>
      </c>
      <c r="P24">
        <f t="shared" si="2"/>
        <v>33</v>
      </c>
      <c r="Q24" s="48">
        <v>134.6</v>
      </c>
      <c r="R24" s="48">
        <v>139.30000000000001</v>
      </c>
      <c r="S24" s="48">
        <f t="shared" si="3"/>
        <v>2422.7999999999997</v>
      </c>
      <c r="T24" s="48">
        <f t="shared" si="4"/>
        <v>2089.5</v>
      </c>
      <c r="U24" s="48">
        <f t="shared" si="5"/>
        <v>4512.2999999999993</v>
      </c>
      <c r="W24" s="69"/>
      <c r="X24" s="5"/>
      <c r="AG24" s="69"/>
      <c r="AH24" s="69"/>
    </row>
    <row r="25" spans="1:35">
      <c r="A25" t="s">
        <v>1357</v>
      </c>
      <c r="D25">
        <v>8</v>
      </c>
      <c r="E25">
        <v>8</v>
      </c>
      <c r="F25">
        <v>8</v>
      </c>
      <c r="G25">
        <v>8</v>
      </c>
      <c r="H25">
        <v>8</v>
      </c>
      <c r="I25">
        <v>8</v>
      </c>
      <c r="J25">
        <v>7</v>
      </c>
      <c r="K25">
        <v>7</v>
      </c>
      <c r="L25">
        <v>7</v>
      </c>
      <c r="M25">
        <v>8</v>
      </c>
      <c r="N25">
        <v>8</v>
      </c>
      <c r="O25">
        <v>8</v>
      </c>
      <c r="P25">
        <f t="shared" si="2"/>
        <v>93</v>
      </c>
      <c r="Q25" s="48">
        <v>239.7</v>
      </c>
      <c r="R25" s="48">
        <v>248.1</v>
      </c>
      <c r="S25" s="48">
        <f t="shared" si="3"/>
        <v>11505.599999999999</v>
      </c>
      <c r="T25" s="48">
        <f t="shared" si="4"/>
        <v>11164.5</v>
      </c>
      <c r="U25" s="48">
        <f t="shared" si="5"/>
        <v>22670.1</v>
      </c>
      <c r="W25" s="69"/>
      <c r="X25" s="5"/>
      <c r="AG25" s="69"/>
      <c r="AH25" s="69"/>
    </row>
    <row r="26" spans="1:35">
      <c r="A26" t="s">
        <v>1358</v>
      </c>
      <c r="D26">
        <v>9</v>
      </c>
      <c r="E26">
        <v>9</v>
      </c>
      <c r="F26">
        <v>9</v>
      </c>
      <c r="G26">
        <v>9</v>
      </c>
      <c r="H26">
        <v>9</v>
      </c>
      <c r="I26">
        <v>9</v>
      </c>
      <c r="J26">
        <v>7</v>
      </c>
      <c r="K26">
        <v>9</v>
      </c>
      <c r="L26">
        <v>9</v>
      </c>
      <c r="M26">
        <v>9</v>
      </c>
      <c r="N26">
        <v>9</v>
      </c>
      <c r="O26">
        <v>9</v>
      </c>
      <c r="P26">
        <f t="shared" si="2"/>
        <v>106</v>
      </c>
      <c r="Q26" s="48">
        <v>428.3</v>
      </c>
      <c r="R26" s="48">
        <v>443.3</v>
      </c>
      <c r="S26" s="48">
        <f t="shared" si="3"/>
        <v>23128.2</v>
      </c>
      <c r="T26" s="48">
        <f t="shared" si="4"/>
        <v>23051.600000000002</v>
      </c>
      <c r="U26" s="48">
        <f t="shared" si="5"/>
        <v>46179.8</v>
      </c>
      <c r="W26" s="69"/>
      <c r="AG26" s="69"/>
      <c r="AH26" s="69"/>
    </row>
    <row r="27" spans="1:35">
      <c r="A27" t="s">
        <v>1359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4</v>
      </c>
      <c r="N27">
        <v>4</v>
      </c>
      <c r="O27">
        <v>4</v>
      </c>
      <c r="P27">
        <f t="shared" si="2"/>
        <v>48</v>
      </c>
      <c r="Q27" s="48">
        <v>649</v>
      </c>
      <c r="R27" s="48">
        <v>671.7</v>
      </c>
      <c r="S27" s="48">
        <f t="shared" si="3"/>
        <v>15576</v>
      </c>
      <c r="T27" s="48">
        <f t="shared" si="4"/>
        <v>16120.800000000001</v>
      </c>
      <c r="U27" s="48">
        <f t="shared" si="5"/>
        <v>31696.800000000003</v>
      </c>
      <c r="W27" s="69"/>
      <c r="AG27" s="69"/>
      <c r="AH27" s="69"/>
    </row>
    <row r="28" spans="1:35">
      <c r="Q28" s="48"/>
      <c r="R28" s="48"/>
      <c r="S28" s="48"/>
      <c r="T28" s="48"/>
      <c r="U28" s="48"/>
      <c r="W28" s="69"/>
      <c r="AG28" s="69"/>
      <c r="AH28" s="69"/>
    </row>
    <row r="29" spans="1:35">
      <c r="A29" t="s">
        <v>1360</v>
      </c>
      <c r="D29">
        <v>2</v>
      </c>
      <c r="E29">
        <v>0.5</v>
      </c>
      <c r="F29">
        <v>3</v>
      </c>
      <c r="G29">
        <v>6.5</v>
      </c>
      <c r="H29">
        <v>26</v>
      </c>
      <c r="I29">
        <v>23</v>
      </c>
      <c r="J29">
        <v>4</v>
      </c>
      <c r="K29">
        <v>8</v>
      </c>
      <c r="L29">
        <v>9</v>
      </c>
      <c r="M29">
        <v>0</v>
      </c>
      <c r="N29">
        <v>16</v>
      </c>
      <c r="O29">
        <v>6</v>
      </c>
      <c r="P29" s="65">
        <f>SUM(D29:O29)</f>
        <v>104</v>
      </c>
      <c r="Q29" s="48">
        <v>23.25</v>
      </c>
      <c r="R29" s="48">
        <v>23.5</v>
      </c>
      <c r="S29" s="48">
        <f>SUM(D29:I29)*Q29</f>
        <v>1418.25</v>
      </c>
      <c r="T29" s="48">
        <f>SUM(J29:O29)*R29</f>
        <v>1010.5</v>
      </c>
      <c r="U29" s="48">
        <f>+S29+T29</f>
        <v>2428.75</v>
      </c>
      <c r="V29" s="48">
        <f>SUM(U18:U29)</f>
        <v>145196.65000000002</v>
      </c>
      <c r="W29" s="69"/>
      <c r="X29" s="69">
        <f>SUM(X14:X26)</f>
        <v>0</v>
      </c>
      <c r="AG29" s="69"/>
      <c r="AH29" s="69"/>
    </row>
    <row r="30" spans="1:35">
      <c r="P30">
        <f>SUM(P12:P29)</f>
        <v>8712</v>
      </c>
      <c r="Q30" s="48"/>
      <c r="R30" s="48"/>
      <c r="S30" s="48"/>
      <c r="T30" s="48"/>
      <c r="U30" s="48"/>
      <c r="W30" s="69"/>
      <c r="AG30" s="69"/>
      <c r="AH30" s="69"/>
    </row>
    <row r="31" spans="1:35">
      <c r="A31" t="s">
        <v>240</v>
      </c>
      <c r="N31" s="459" t="s">
        <v>1361</v>
      </c>
      <c r="P31">
        <f>SUM(P12:P23)</f>
        <v>8328</v>
      </c>
      <c r="Q31" s="48"/>
      <c r="R31" s="48"/>
      <c r="S31" s="48"/>
      <c r="T31" s="48"/>
      <c r="U31" s="48">
        <f>SUM(U12:U29)</f>
        <v>323581.14999999997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</row>
    <row r="32" spans="1:35">
      <c r="Q32" s="48"/>
      <c r="R32" s="48"/>
      <c r="S32" s="48"/>
      <c r="T32" s="48"/>
      <c r="U32" s="4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</row>
    <row r="33" spans="1:36">
      <c r="U33" s="48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</row>
    <row r="34" spans="1:36">
      <c r="A34" t="s">
        <v>1362</v>
      </c>
      <c r="U34" s="52">
        <f>-'Monthy Income Statements'!O11</f>
        <v>-310699.99999999994</v>
      </c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</row>
    <row r="35" spans="1:36"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</row>
    <row r="36" spans="1:36">
      <c r="A36" t="s">
        <v>710</v>
      </c>
      <c r="O36" s="459" t="s">
        <v>1369</v>
      </c>
      <c r="U36" s="48">
        <f>+U31+U32+U34</f>
        <v>12881.150000000023</v>
      </c>
      <c r="V36" s="104">
        <f>+U36/U34</f>
        <v>-4.1458480849694321E-2</v>
      </c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</row>
    <row r="37" spans="1:36"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spans="1:36">
      <c r="A38" t="s">
        <v>1370</v>
      </c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39" spans="1:36">
      <c r="A39" t="s">
        <v>50</v>
      </c>
      <c r="P39">
        <f>ROUND((+P20/12)*52,0)</f>
        <v>1460</v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</row>
    <row r="40" spans="1:36">
      <c r="A40" t="s">
        <v>53</v>
      </c>
      <c r="P40">
        <f>ROUND((+P21/12)*52,0)</f>
        <v>520</v>
      </c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</row>
    <row r="41" spans="1:36">
      <c r="A41" t="s">
        <v>56</v>
      </c>
      <c r="P41">
        <f>ROUND((+P22/12)*52,0)</f>
        <v>0</v>
      </c>
      <c r="T41" s="530"/>
      <c r="U41" s="530"/>
      <c r="V41" s="530"/>
      <c r="W41" s="462"/>
      <c r="X41" s="462"/>
      <c r="Y41" s="462"/>
      <c r="Z41" s="530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</row>
    <row r="42" spans="1:36">
      <c r="A42" t="s">
        <v>57</v>
      </c>
      <c r="P42">
        <f>ROUND((+P23/12)*52,0)</f>
        <v>0</v>
      </c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</row>
    <row r="43" spans="1:36">
      <c r="A43" t="s">
        <v>1356</v>
      </c>
      <c r="P43">
        <f>ROUND((+P24/12)*104,0)</f>
        <v>286</v>
      </c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</row>
    <row r="44" spans="1:36">
      <c r="A44" t="s">
        <v>1357</v>
      </c>
      <c r="P44">
        <f>ROUND((+P25/12)*104,0)</f>
        <v>806</v>
      </c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</row>
    <row r="45" spans="1:36">
      <c r="A45" t="s">
        <v>1358</v>
      </c>
      <c r="P45">
        <f>ROUND((+P26/12)*104,0)</f>
        <v>919</v>
      </c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</row>
    <row r="46" spans="1:36">
      <c r="A46" t="s">
        <v>1359</v>
      </c>
      <c r="P46">
        <f>ROUND((+P27/12)*104,0)</f>
        <v>416</v>
      </c>
    </row>
    <row r="49" spans="1:26">
      <c r="A49" s="459"/>
    </row>
    <row r="61" spans="1:26">
      <c r="Y61" s="65"/>
      <c r="Z61" s="65"/>
    </row>
  </sheetData>
  <pageMargins left="0.22" right="0.35" top="0.44" bottom="0.53" header="0.5" footer="0.5"/>
  <pageSetup scale="6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D17"/>
  <sheetViews>
    <sheetView workbookViewId="0">
      <selection activeCell="M38" sqref="M38"/>
    </sheetView>
  </sheetViews>
  <sheetFormatPr defaultRowHeight="15"/>
  <cols>
    <col min="1" max="1" width="12" style="593" customWidth="1"/>
    <col min="2" max="16384" width="9.140625" style="593"/>
  </cols>
  <sheetData>
    <row r="1" spans="1:4">
      <c r="A1" s="593" t="s">
        <v>4</v>
      </c>
    </row>
    <row r="3" spans="1:4">
      <c r="A3" s="593" t="s">
        <v>1371</v>
      </c>
    </row>
    <row r="6" spans="1:4">
      <c r="A6" s="593" t="s">
        <v>1373</v>
      </c>
      <c r="B6" s="593">
        <v>2023</v>
      </c>
      <c r="D6" s="593">
        <v>330</v>
      </c>
    </row>
    <row r="7" spans="1:4">
      <c r="A7" s="593" t="s">
        <v>1120</v>
      </c>
      <c r="B7" s="593">
        <v>2023</v>
      </c>
      <c r="D7" s="593">
        <v>335</v>
      </c>
    </row>
    <row r="8" spans="1:4">
      <c r="A8" s="593" t="s">
        <v>1374</v>
      </c>
      <c r="B8" s="593">
        <v>2023</v>
      </c>
      <c r="D8" s="593">
        <v>334</v>
      </c>
    </row>
    <row r="9" spans="1:4">
      <c r="A9" s="593" t="s">
        <v>1113</v>
      </c>
      <c r="B9" s="593">
        <v>2023</v>
      </c>
      <c r="D9" s="593">
        <v>320</v>
      </c>
    </row>
    <row r="10" spans="1:4">
      <c r="A10" s="593" t="s">
        <v>1114</v>
      </c>
      <c r="B10" s="593">
        <v>2023</v>
      </c>
      <c r="D10" s="593">
        <v>303</v>
      </c>
    </row>
    <row r="11" spans="1:4">
      <c r="A11" s="593" t="s">
        <v>1372</v>
      </c>
      <c r="B11" s="593">
        <v>2023</v>
      </c>
      <c r="D11" s="593">
        <v>299</v>
      </c>
    </row>
    <row r="12" spans="1:4">
      <c r="A12" s="593" t="s">
        <v>648</v>
      </c>
      <c r="B12" s="593">
        <v>2024</v>
      </c>
      <c r="D12" s="593">
        <v>293</v>
      </c>
    </row>
    <row r="13" spans="1:4">
      <c r="A13" s="593" t="s">
        <v>649</v>
      </c>
      <c r="B13" s="593">
        <v>2024</v>
      </c>
      <c r="D13" s="593">
        <v>296</v>
      </c>
    </row>
    <row r="14" spans="1:4">
      <c r="A14" s="593" t="s">
        <v>650</v>
      </c>
      <c r="B14" s="593">
        <v>2024</v>
      </c>
      <c r="D14" s="593">
        <v>298</v>
      </c>
    </row>
    <row r="15" spans="1:4">
      <c r="A15" s="593" t="s">
        <v>1116</v>
      </c>
      <c r="B15" s="593">
        <v>2024</v>
      </c>
      <c r="D15" s="593">
        <v>307</v>
      </c>
    </row>
    <row r="16" spans="1:4">
      <c r="A16" s="593" t="s">
        <v>1117</v>
      </c>
      <c r="B16" s="593">
        <v>2024</v>
      </c>
      <c r="D16" s="593">
        <v>327</v>
      </c>
    </row>
    <row r="17" spans="1:4">
      <c r="A17" s="593" t="s">
        <v>1118</v>
      </c>
      <c r="B17" s="593">
        <v>2024</v>
      </c>
      <c r="D17" s="593">
        <v>337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991E2ED2BE2646A9B4F14CA182BED6" ma:contentTypeVersion="16" ma:contentTypeDescription="" ma:contentTypeScope="" ma:versionID="76f1525fc2db18ce560833ffc47675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Zippy Disposal Service, Inc.</CaseCompanyNames>
    <Nickname xmlns="http://schemas.microsoft.com/sharepoint/v3" xsi:nil="true"/>
    <DocketNumber xmlns="dc463f71-b30c-4ab2-9473-d307f9d35888">240893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121300-C938-4FAB-AAD2-CEF1888880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801C576-817C-44E9-9FEF-625564A57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B6C78-3886-459E-AB32-D71A36343EF2}"/>
</file>

<file path=customXml/itemProps4.xml><?xml version="1.0" encoding="utf-8"?>
<ds:datastoreItem xmlns:ds="http://schemas.openxmlformats.org/officeDocument/2006/customXml" ds:itemID="{874099D6-8227-4BFA-9C25-F7CC8A321220}"/>
</file>

<file path=customXml/itemProps5.xml><?xml version="1.0" encoding="utf-8"?>
<ds:datastoreItem xmlns:ds="http://schemas.openxmlformats.org/officeDocument/2006/customXml" ds:itemID="{E8A760EC-4AA3-41C6-B25C-865BBCFE235D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104</vt:i4>
      </vt:variant>
    </vt:vector>
  </HeadingPairs>
  <TitlesOfParts>
    <vt:vector size="156" baseType="lpstr">
      <vt:lpstr>Monthy Income Statements</vt:lpstr>
      <vt:lpstr>Results of Operations Co</vt:lpstr>
      <vt:lpstr>Results of Operations Regulated</vt:lpstr>
      <vt:lpstr>Restating AJEs</vt:lpstr>
      <vt:lpstr>Proforma AJEs</vt:lpstr>
      <vt:lpstr>Wage Summary</vt:lpstr>
      <vt:lpstr>L&amp;I</vt:lpstr>
      <vt:lpstr>Health Insurance</vt:lpstr>
      <vt:lpstr>City Contracts</vt:lpstr>
      <vt:lpstr>Disposal Fees</vt:lpstr>
      <vt:lpstr>Fuel Proforma</vt:lpstr>
      <vt:lpstr>Employment Security</vt:lpstr>
      <vt:lpstr>Rent</vt:lpstr>
      <vt:lpstr>Priceout-Chelan</vt:lpstr>
      <vt:lpstr>Priceout-Douglas</vt:lpstr>
      <vt:lpstr>Priceout-Okanogan</vt:lpstr>
      <vt:lpstr>Cost Allocations</vt:lpstr>
      <vt:lpstr>Cost Allocations-Recycle</vt:lpstr>
      <vt:lpstr>Cost Allocations-Contracts</vt:lpstr>
      <vt:lpstr>Cost Allocations-Rolloff</vt:lpstr>
      <vt:lpstr>Depr Allocation by County</vt:lpstr>
      <vt:lpstr>Depr Allocation</vt:lpstr>
      <vt:lpstr>DEPN2K</vt:lpstr>
      <vt:lpstr>Allocations-Hours &amp; Miles</vt:lpstr>
      <vt:lpstr>Container Count</vt:lpstr>
      <vt:lpstr>Wutc Balance Sheet</vt:lpstr>
      <vt:lpstr>New LG Total</vt:lpstr>
      <vt:lpstr>New LG Chelan - MSW</vt:lpstr>
      <vt:lpstr>New LG Chelan - Recyc</vt:lpstr>
      <vt:lpstr>New LG Total Douglas</vt:lpstr>
      <vt:lpstr>New LG Total Okanogan</vt:lpstr>
      <vt:lpstr>Lurito-Company Old</vt:lpstr>
      <vt:lpstr>Lurito Old-Chelan</vt:lpstr>
      <vt:lpstr>Lurito Old-Douglas</vt:lpstr>
      <vt:lpstr>Lurito Old-Okanogan</vt:lpstr>
      <vt:lpstr>Overhead Allocation</vt:lpstr>
      <vt:lpstr>Hours &amp; Miles by County</vt:lpstr>
      <vt:lpstr>Container Count by County</vt:lpstr>
      <vt:lpstr>Drop Box Allocation</vt:lpstr>
      <vt:lpstr>Disposal Fee Breakdown</vt:lpstr>
      <vt:lpstr>Service Counts</vt:lpstr>
      <vt:lpstr>Previous rate increases NA</vt:lpstr>
      <vt:lpstr>Fuel Summary</vt:lpstr>
      <vt:lpstr>Checklist</vt:lpstr>
      <vt:lpstr>General Data</vt:lpstr>
      <vt:lpstr>Monthly Data-Hours &amp; Miles</vt:lpstr>
      <vt:lpstr>Monthly Data-Container Count</vt:lpstr>
      <vt:lpstr>Monthly Data-Disposal Fees</vt:lpstr>
      <vt:lpstr>Service Count Data</vt:lpstr>
      <vt:lpstr>Pateros Service Counts</vt:lpstr>
      <vt:lpstr>Bridgeport Service Counts</vt:lpstr>
      <vt:lpstr>Recycling customer count</vt:lpstr>
      <vt:lpstr>Database</vt:lpstr>
      <vt:lpstr>Database_MI</vt:lpstr>
      <vt:lpstr>'New LG Chelan - MSW'!Debt_Rate</vt:lpstr>
      <vt:lpstr>'New LG Chelan - Recyc'!Debt_Rate</vt:lpstr>
      <vt:lpstr>'New LG Total'!Debt_Rate</vt:lpstr>
      <vt:lpstr>'New LG Total Douglas'!Debt_Rate</vt:lpstr>
      <vt:lpstr>'New LG Total Okanogan'!Debt_Rate</vt:lpstr>
      <vt:lpstr>'New LG Chelan - MSW'!debtP</vt:lpstr>
      <vt:lpstr>'New LG Chelan - Recyc'!debtP</vt:lpstr>
      <vt:lpstr>'New LG Total'!debtP</vt:lpstr>
      <vt:lpstr>'New LG Total Douglas'!debtP</vt:lpstr>
      <vt:lpstr>'New LG Total Okanogan'!debtP</vt:lpstr>
      <vt:lpstr>'New LG Chelan - MSW'!Equity_percent</vt:lpstr>
      <vt:lpstr>'New LG Chelan - Recyc'!Equity_percent</vt:lpstr>
      <vt:lpstr>'New LG Total'!Equity_percent</vt:lpstr>
      <vt:lpstr>'New LG Total Douglas'!Equity_percent</vt:lpstr>
      <vt:lpstr>'New LG Total Okanogan'!Equity_percent</vt:lpstr>
      <vt:lpstr>'New LG Chelan - MSW'!equityP</vt:lpstr>
      <vt:lpstr>'New LG Chelan - Recyc'!equityP</vt:lpstr>
      <vt:lpstr>'New LG Total'!equityP</vt:lpstr>
      <vt:lpstr>'New LG Total Douglas'!equityP</vt:lpstr>
      <vt:lpstr>'New LG Total Okanogan'!equityP</vt:lpstr>
      <vt:lpstr>'New LG Chelan - MSW'!expenses</vt:lpstr>
      <vt:lpstr>'New LG Chelan - Recyc'!expenses</vt:lpstr>
      <vt:lpstr>'New LG Total'!expenses</vt:lpstr>
      <vt:lpstr>'New LG Total Douglas'!expenses</vt:lpstr>
      <vt:lpstr>'New LG Total Okanogan'!expenses</vt:lpstr>
      <vt:lpstr>'New LG Chelan - MSW'!Investment</vt:lpstr>
      <vt:lpstr>'New LG Chelan - Recyc'!Investment</vt:lpstr>
      <vt:lpstr>'New LG Total'!Investment</vt:lpstr>
      <vt:lpstr>'New LG Total Douglas'!Investment</vt:lpstr>
      <vt:lpstr>'New LG Total Okanogan'!Investment</vt:lpstr>
      <vt:lpstr>PAGE_1</vt:lpstr>
      <vt:lpstr>'New LG Chelan - MSW'!Pfd_weighted</vt:lpstr>
      <vt:lpstr>'New LG Chelan - Recyc'!Pfd_weighted</vt:lpstr>
      <vt:lpstr>'New LG Total'!Pfd_weighted</vt:lpstr>
      <vt:lpstr>'New LG Total Douglas'!Pfd_weighted</vt:lpstr>
      <vt:lpstr>'New LG Total Okanogan'!Pfd_weighted</vt:lpstr>
      <vt:lpstr>'Allocations-Hours &amp; Miles'!Print_Area</vt:lpstr>
      <vt:lpstr>'Bridgeport Service Counts'!Print_Area</vt:lpstr>
      <vt:lpstr>DEPN2K!Print_Area</vt:lpstr>
      <vt:lpstr>'Lurito Old-Chelan'!Print_Area</vt:lpstr>
      <vt:lpstr>'Lurito Old-Douglas'!Print_Area</vt:lpstr>
      <vt:lpstr>'Lurito Old-Okanogan'!Print_Area</vt:lpstr>
      <vt:lpstr>'Lurito-Company Old'!Print_Area</vt:lpstr>
      <vt:lpstr>'Monthy Income Statements'!Print_Area</vt:lpstr>
      <vt:lpstr>'New LG Chelan - MSW'!Print_Area</vt:lpstr>
      <vt:lpstr>'New LG Chelan - Recyc'!Print_Area</vt:lpstr>
      <vt:lpstr>'New LG Total'!Print_Area</vt:lpstr>
      <vt:lpstr>'New LG Total Douglas'!Print_Area</vt:lpstr>
      <vt:lpstr>'New LG Total Okanogan'!Print_Area</vt:lpstr>
      <vt:lpstr>'Pateros Service Counts'!Print_Area</vt:lpstr>
      <vt:lpstr>'Priceout-Chelan'!Print_Area</vt:lpstr>
      <vt:lpstr>'Priceout-Douglas'!Print_Area</vt:lpstr>
      <vt:lpstr>'Priceout-Okanogan'!Print_Area</vt:lpstr>
      <vt:lpstr>'Results of Operations Co'!Print_Area</vt:lpstr>
      <vt:lpstr>'Results of Operations Regulated'!Print_Area</vt:lpstr>
      <vt:lpstr>'Service Count Data'!Print_Area</vt:lpstr>
      <vt:lpstr>'Service Counts'!Print_Area</vt:lpstr>
      <vt:lpstr>'Wage Summary'!Print_Area</vt:lpstr>
      <vt:lpstr>'Wutc Balance Sheet'!Print_Area</vt:lpstr>
      <vt:lpstr>Print_Area</vt:lpstr>
      <vt:lpstr>Print_Area_MI</vt:lpstr>
      <vt:lpstr>'Service Counts'!Print_Titles</vt:lpstr>
      <vt:lpstr>'New LG Chelan - MSW'!regDebt_weighted</vt:lpstr>
      <vt:lpstr>'New LG Chelan - Recyc'!regDebt_weighted</vt:lpstr>
      <vt:lpstr>'New LG Total'!regDebt_weighted</vt:lpstr>
      <vt:lpstr>'New LG Total Douglas'!regDebt_weighted</vt:lpstr>
      <vt:lpstr>'New LG Total Okanogan'!regDebt_weighted</vt:lpstr>
      <vt:lpstr>'New LG Chelan - MSW'!Revenue</vt:lpstr>
      <vt:lpstr>'New LG Chelan - Recyc'!Revenue</vt:lpstr>
      <vt:lpstr>'New LG Total'!Revenue</vt:lpstr>
      <vt:lpstr>'New LG Total Douglas'!Revenue</vt:lpstr>
      <vt:lpstr>'New LG Total Okanogan'!Revenue</vt:lpstr>
      <vt:lpstr>'New LG Chelan - MSW'!slope</vt:lpstr>
      <vt:lpstr>'New LG Chelan - Recyc'!slope</vt:lpstr>
      <vt:lpstr>'New LG Total'!slope</vt:lpstr>
      <vt:lpstr>'New LG Total Douglas'!slope</vt:lpstr>
      <vt:lpstr>'New LG Total Okanogan'!slope</vt:lpstr>
      <vt:lpstr>'New LG Chelan - MSW'!taxrate</vt:lpstr>
      <vt:lpstr>'New LG Chelan - Recyc'!taxrate</vt:lpstr>
      <vt:lpstr>'New LG Total'!taxrate</vt:lpstr>
      <vt:lpstr>'New LG Total Douglas'!taxrate</vt:lpstr>
      <vt:lpstr>'New LG Total Okanogan'!taxrate</vt:lpstr>
      <vt:lpstr>'New LG Chelan - MSW'!y_inter1</vt:lpstr>
      <vt:lpstr>'New LG Chelan - Recyc'!y_inter1</vt:lpstr>
      <vt:lpstr>'New LG Total'!y_inter1</vt:lpstr>
      <vt:lpstr>'New LG Total Douglas'!y_inter1</vt:lpstr>
      <vt:lpstr>'New LG Total Okanogan'!y_inter1</vt:lpstr>
      <vt:lpstr>'New LG Chelan - MSW'!y_inter2</vt:lpstr>
      <vt:lpstr>'New LG Chelan - Recyc'!y_inter2</vt:lpstr>
      <vt:lpstr>'New LG Total'!y_inter2</vt:lpstr>
      <vt:lpstr>'New LG Total Douglas'!y_inter2</vt:lpstr>
      <vt:lpstr>'New LG Total Okanogan'!y_inter2</vt:lpstr>
      <vt:lpstr>'New LG Chelan - MSW'!y_inter3</vt:lpstr>
      <vt:lpstr>'New LG Chelan - Recyc'!y_inter3</vt:lpstr>
      <vt:lpstr>'New LG Total'!y_inter3</vt:lpstr>
      <vt:lpstr>'New LG Total Douglas'!y_inter3</vt:lpstr>
      <vt:lpstr>'New LG Total Okanogan'!y_inter3</vt:lpstr>
      <vt:lpstr>'New LG Chelan - MSW'!y_inter4</vt:lpstr>
      <vt:lpstr>'New LG Chelan - Recyc'!y_inter4</vt:lpstr>
      <vt:lpstr>'New LG Total'!y_inter4</vt:lpstr>
      <vt:lpstr>'New LG Total Douglas'!y_inter4</vt:lpstr>
      <vt:lpstr>'New LG Total Okanogan'!y_inter4</vt:lpstr>
    </vt:vector>
  </TitlesOfParts>
  <Manager/>
  <Company>Gateway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Gateway Client</dc:creator>
  <cp:keywords/>
  <dc:description/>
  <cp:lastModifiedBy>Booth, Avery (UTC)</cp:lastModifiedBy>
  <cp:revision/>
  <cp:lastPrinted>2024-11-15T19:55:04Z</cp:lastPrinted>
  <dcterms:created xsi:type="dcterms:W3CDTF">2003-12-07T20:58:46Z</dcterms:created>
  <dcterms:modified xsi:type="dcterms:W3CDTF">2024-11-19T19:23:31Z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0x0101006E56B4D1795A2E4DB2F0B01679ED314A009C991E2ED2BE2646A9B4F14CA182BED6</vt:lpwstr>
  </property>
  <property fmtid="{D5CDD505-2E9C-101B-9397-08002B2CF9AE}" pid="3" name="_docset_NoMedatataSyncRequired">
    <vt:lpwstr>False</vt:lpwstr>
  </property>
</Properties>
</file>