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Kalahiki Consulting LLC\Summit View Water\2024 GRC Work\GRC Support Documents - Workpapers\For Filing 2024-07-31\"/>
    </mc:Choice>
  </mc:AlternateContent>
  <xr:revisionPtr revIDLastSave="0" documentId="13_ncr:1_{F37FD356-F1CB-41E3-B6C4-8B27752D9BBC}" xr6:coauthVersionLast="47" xr6:coauthVersionMax="47" xr10:uidLastSave="{00000000-0000-0000-0000-000000000000}"/>
  <bookViews>
    <workbookView xWindow="-120" yWindow="-120" windowWidth="29040" windowHeight="15720" tabRatio="664" xr2:uid="{00000000-000D-0000-FFFF-FFFF00000000}"/>
  </bookViews>
  <sheets>
    <sheet name="cover" sheetId="17" r:id="rId1"/>
    <sheet name="1.0 Inc. Stmt. RB " sheetId="3" r:id="rId2"/>
    <sheet name="1.1 Inc Stmt detail" sheetId="49" r:id="rId3"/>
    <sheet name="1.2 Restating Adj" sheetId="45" r:id="rId4"/>
    <sheet name="1.3 Pro Forma Adj" sheetId="46" r:id="rId5"/>
    <sheet name="2.1 Rate Base" sheetId="6" r:id="rId6"/>
    <sheet name="2.2 CIAC" sheetId="21" r:id="rId7"/>
    <sheet name="2.3 Working Cap" sheetId="48" r:id="rId8"/>
    <sheet name="3.1 Plant" sheetId="9" r:id="rId9"/>
    <sheet name="3.2 Depr Exp " sheetId="39" r:id="rId10"/>
    <sheet name="4.1 Capital" sheetId="7" r:id="rId11"/>
    <sheet name="4.2 Cost Debt" sheetId="43" r:id="rId12"/>
    <sheet name="4.3 PF Debt" sheetId="8" r:id="rId13"/>
    <sheet name="5.1 Income Taxes" sheetId="41" r:id="rId14"/>
    <sheet name="5.2 Bal Sheet " sheetId="51" r:id="rId15"/>
    <sheet name="END" sheetId="53" r:id="rId16"/>
  </sheets>
  <definedNames>
    <definedName name="fees">#REF!</definedName>
    <definedName name="inc_tax">'5.1 Income Taxes'!$I$51:$N$55</definedName>
    <definedName name="prime" localSheetId="11">'4.2 Cost Debt'!#REF!</definedName>
    <definedName name="prime">'4.3 PF Debt'!#REF!</definedName>
    <definedName name="_xlnm.Print_Area" localSheetId="1">'1.0 Inc. Stmt. RB '!$B$3:$L$73</definedName>
    <definedName name="_xlnm.Print_Area" localSheetId="2">'1.1 Inc Stmt detail'!$B$2:$J$41</definedName>
    <definedName name="_xlnm.Print_Area" localSheetId="3">'1.2 Restating Adj'!$B$3:$P$74</definedName>
    <definedName name="_xlnm.Print_Area" localSheetId="4">'1.3 Pro Forma Adj'!$B$3:$P$76</definedName>
    <definedName name="_xlnm.Print_Area" localSheetId="5">'2.1 Rate Base'!$B$3:$L$42</definedName>
    <definedName name="_xlnm.Print_Area" localSheetId="6">'2.2 CIAC'!$B$3:$H$50</definedName>
    <definedName name="_xlnm.Print_Area" localSheetId="7">'2.3 Working Cap'!$B$3:$P$55</definedName>
    <definedName name="_xlnm.Print_Area" localSheetId="8">'3.1 Plant'!$B$3:$J$62</definedName>
    <definedName name="_xlnm.Print_Area" localSheetId="9">'3.2 Depr Exp '!$B$3:$J$41</definedName>
    <definedName name="_xlnm.Print_Area" localSheetId="10">'4.1 Capital'!$B$3:$J$47</definedName>
    <definedName name="_xlnm.Print_Area" localSheetId="11">'4.2 Cost Debt'!$B$3:$K$43</definedName>
    <definedName name="_xlnm.Print_Area" localSheetId="12">'4.3 PF Debt'!$B$3:$I$43</definedName>
    <definedName name="_xlnm.Print_Area" localSheetId="13">'5.1 Income Taxes'!$B$3:$O$41</definedName>
    <definedName name="_xlnm.Print_Area" localSheetId="14">'5.2 Bal Sheet '!$B$4:$G$57</definedName>
    <definedName name="_xlnm.Print_Area" localSheetId="0">cover!$B$3:$H$53</definedName>
    <definedName name="_xlnm.Print_Titles" localSheetId="3">'1.2 Restating Adj'!$B:$D</definedName>
    <definedName name="_xlnm.Print_Titles" localSheetId="4">'1.3 Pro Forma Adj'!$B:$D</definedName>
    <definedName name="roe">'4.1 Capital'!$G$16</definedName>
    <definedName name="Test_Yr">cover!$B$12</definedName>
    <definedName name="T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48" l="1"/>
  <c r="K49" i="48"/>
  <c r="I49" i="48"/>
  <c r="E27" i="43"/>
  <c r="E25" i="43"/>
  <c r="F15" i="7" l="1"/>
  <c r="F14" i="7"/>
  <c r="D35" i="51"/>
  <c r="D37" i="51"/>
  <c r="D38" i="51"/>
  <c r="D39" i="51"/>
  <c r="D40" i="51"/>
  <c r="D41" i="51"/>
  <c r="D42" i="51"/>
  <c r="D34" i="51"/>
  <c r="D33" i="51"/>
  <c r="B43" i="9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I15" i="6"/>
  <c r="I14" i="6"/>
  <c r="Q66" i="46"/>
  <c r="Q71" i="46" s="1"/>
  <c r="Q54" i="46"/>
  <c r="Q19" i="46"/>
  <c r="Q57" i="46" s="1"/>
  <c r="L15" i="45" l="1"/>
  <c r="F15" i="45" s="1"/>
  <c r="L14" i="45"/>
  <c r="L17" i="45" s="1"/>
  <c r="M52" i="45"/>
  <c r="M55" i="45" s="1"/>
  <c r="M57" i="45" s="1"/>
  <c r="N64" i="45"/>
  <c r="N69" i="45" s="1"/>
  <c r="N52" i="45"/>
  <c r="N17" i="45"/>
  <c r="N55" i="45" s="1"/>
  <c r="I64" i="45"/>
  <c r="I69" i="45" s="1"/>
  <c r="I52" i="45"/>
  <c r="I17" i="45"/>
  <c r="I55" i="45" s="1"/>
  <c r="H64" i="45"/>
  <c r="H69" i="45" s="1"/>
  <c r="H52" i="45"/>
  <c r="H17" i="45"/>
  <c r="F41" i="46"/>
  <c r="I39" i="3" s="1"/>
  <c r="F42" i="46"/>
  <c r="I40" i="3" s="1"/>
  <c r="F43" i="46"/>
  <c r="I41" i="3" s="1"/>
  <c r="F45" i="46"/>
  <c r="I43" i="3" s="1"/>
  <c r="F46" i="46"/>
  <c r="I44" i="3" s="1"/>
  <c r="F47" i="46"/>
  <c r="F48" i="46"/>
  <c r="F49" i="46"/>
  <c r="F50" i="46"/>
  <c r="F51" i="46"/>
  <c r="I49" i="3" s="1"/>
  <c r="F52" i="46"/>
  <c r="I50" i="3" s="1"/>
  <c r="F53" i="46"/>
  <c r="I51" i="3" s="1"/>
  <c r="F24" i="46"/>
  <c r="I22" i="3" s="1"/>
  <c r="F25" i="46"/>
  <c r="I23" i="3" s="1"/>
  <c r="F26" i="46"/>
  <c r="I24" i="3" s="1"/>
  <c r="F27" i="46"/>
  <c r="I25" i="3" s="1"/>
  <c r="F28" i="46"/>
  <c r="F29" i="46"/>
  <c r="I27" i="3" s="1"/>
  <c r="F30" i="46"/>
  <c r="I28" i="3" s="1"/>
  <c r="F31" i="46"/>
  <c r="F32" i="46"/>
  <c r="I30" i="3" s="1"/>
  <c r="F33" i="46"/>
  <c r="I31" i="3" s="1"/>
  <c r="F34" i="46"/>
  <c r="I32" i="3" s="1"/>
  <c r="F35" i="46"/>
  <c r="I33" i="3" s="1"/>
  <c r="F36" i="46"/>
  <c r="I34" i="3" s="1"/>
  <c r="F37" i="46"/>
  <c r="I35" i="3" s="1"/>
  <c r="F39" i="46"/>
  <c r="I37" i="3" s="1"/>
  <c r="F40" i="46"/>
  <c r="I38" i="3" s="1"/>
  <c r="F23" i="46"/>
  <c r="I21" i="3" s="1"/>
  <c r="F14" i="46"/>
  <c r="I15" i="3" s="1"/>
  <c r="F15" i="46"/>
  <c r="F16" i="46"/>
  <c r="F17" i="46"/>
  <c r="F13" i="46"/>
  <c r="R66" i="46"/>
  <c r="R71" i="46" s="1"/>
  <c r="H17" i="9" s="1"/>
  <c r="R54" i="46"/>
  <c r="R19" i="46"/>
  <c r="K17" i="3"/>
  <c r="K15" i="3" s="1"/>
  <c r="K14" i="3" s="1"/>
  <c r="J37" i="9"/>
  <c r="J36" i="9"/>
  <c r="J35" i="9"/>
  <c r="J34" i="9"/>
  <c r="J33" i="9"/>
  <c r="J32" i="9"/>
  <c r="H38" i="9"/>
  <c r="H21" i="9"/>
  <c r="H41" i="9" s="1"/>
  <c r="H28" i="9"/>
  <c r="G38" i="9"/>
  <c r="F38" i="9"/>
  <c r="J28" i="9"/>
  <c r="J27" i="9"/>
  <c r="J26" i="9"/>
  <c r="J25" i="9"/>
  <c r="J24" i="9"/>
  <c r="J14" i="9"/>
  <c r="J15" i="9"/>
  <c r="J16" i="9"/>
  <c r="J17" i="9"/>
  <c r="J21" i="9" s="1"/>
  <c r="J18" i="9"/>
  <c r="J19" i="9"/>
  <c r="J13" i="9"/>
  <c r="G28" i="9"/>
  <c r="G21" i="9"/>
  <c r="G41" i="9" s="1"/>
  <c r="G15" i="6" s="1"/>
  <c r="F28" i="9"/>
  <c r="F21" i="9"/>
  <c r="F41" i="9" s="1"/>
  <c r="G14" i="6" s="1"/>
  <c r="F62" i="3" s="1"/>
  <c r="B34" i="39"/>
  <c r="B35" i="39"/>
  <c r="B36" i="39" s="1"/>
  <c r="B37" i="39" s="1"/>
  <c r="B38" i="39" s="1"/>
  <c r="L44" i="46"/>
  <c r="F44" i="46" s="1"/>
  <c r="I42" i="3" s="1"/>
  <c r="O38" i="46"/>
  <c r="F38" i="46" s="1"/>
  <c r="F40" i="45"/>
  <c r="G40" i="3" s="1"/>
  <c r="F41" i="45"/>
  <c r="F42" i="45"/>
  <c r="G42" i="3" s="1"/>
  <c r="F43" i="45"/>
  <c r="F44" i="45"/>
  <c r="G44" i="3" s="1"/>
  <c r="F45" i="45"/>
  <c r="F46" i="45"/>
  <c r="G46" i="3" s="1"/>
  <c r="F47" i="45"/>
  <c r="G47" i="3" s="1"/>
  <c r="F48" i="45"/>
  <c r="F49" i="45"/>
  <c r="F50" i="45"/>
  <c r="F51" i="45"/>
  <c r="G51" i="3" s="1"/>
  <c r="F37" i="45"/>
  <c r="G37" i="3" s="1"/>
  <c r="F38" i="45"/>
  <c r="G38" i="3" s="1"/>
  <c r="H38" i="3" s="1"/>
  <c r="F39" i="45"/>
  <c r="G39" i="3" s="1"/>
  <c r="H39" i="3" s="1"/>
  <c r="F36" i="45"/>
  <c r="F26" i="45"/>
  <c r="F27" i="45"/>
  <c r="F28" i="45"/>
  <c r="F29" i="45"/>
  <c r="G29" i="3" s="1"/>
  <c r="F30" i="45"/>
  <c r="G30" i="3" s="1"/>
  <c r="H30" i="3" s="1"/>
  <c r="F31" i="45"/>
  <c r="F32" i="45"/>
  <c r="F33" i="45"/>
  <c r="F34" i="45"/>
  <c r="G34" i="3" s="1"/>
  <c r="F22" i="45"/>
  <c r="F23" i="45"/>
  <c r="F24" i="45"/>
  <c r="F21" i="45"/>
  <c r="Q64" i="45"/>
  <c r="Q69" i="45" s="1"/>
  <c r="Q52" i="45"/>
  <c r="Q17" i="45"/>
  <c r="Q55" i="45" s="1"/>
  <c r="G23" i="3"/>
  <c r="H23" i="3"/>
  <c r="B4" i="51"/>
  <c r="B5" i="51"/>
  <c r="F22" i="51"/>
  <c r="D26" i="51"/>
  <c r="F26" i="51" s="1"/>
  <c r="F51" i="51"/>
  <c r="F33" i="21"/>
  <c r="G33" i="21"/>
  <c r="G32" i="21"/>
  <c r="E33" i="21"/>
  <c r="F16" i="7"/>
  <c r="I26" i="6"/>
  <c r="B27" i="6"/>
  <c r="B28" i="6"/>
  <c r="B29" i="6" s="1"/>
  <c r="I21" i="6"/>
  <c r="G17" i="21"/>
  <c r="G18" i="21"/>
  <c r="G19" i="21"/>
  <c r="G20" i="21"/>
  <c r="G21" i="21"/>
  <c r="G22" i="21"/>
  <c r="G23" i="21"/>
  <c r="G24" i="21"/>
  <c r="G25" i="21"/>
  <c r="G26" i="21"/>
  <c r="G27" i="21"/>
  <c r="F22" i="3"/>
  <c r="F21" i="3"/>
  <c r="G36" i="39"/>
  <c r="G25" i="43"/>
  <c r="G31" i="3"/>
  <c r="I45" i="3"/>
  <c r="I46" i="3"/>
  <c r="I47" i="3"/>
  <c r="I48" i="3"/>
  <c r="G26" i="39"/>
  <c r="I26" i="39" s="1"/>
  <c r="G19" i="39"/>
  <c r="I19" i="39" s="1"/>
  <c r="M57" i="46"/>
  <c r="K43" i="48"/>
  <c r="K37" i="48"/>
  <c r="M37" i="48"/>
  <c r="O37" i="48"/>
  <c r="I37" i="48"/>
  <c r="K25" i="6"/>
  <c r="K24" i="6"/>
  <c r="G50" i="3"/>
  <c r="F51" i="3"/>
  <c r="F49" i="3"/>
  <c r="I30" i="48" s="1"/>
  <c r="F45" i="3"/>
  <c r="F43" i="3"/>
  <c r="F27" i="3"/>
  <c r="B3" i="49"/>
  <c r="B2" i="49"/>
  <c r="G32" i="7"/>
  <c r="G16" i="7" s="1"/>
  <c r="H28" i="21"/>
  <c r="F32" i="3" s="1"/>
  <c r="F28" i="3"/>
  <c r="F40" i="3"/>
  <c r="F50" i="3"/>
  <c r="F24" i="3"/>
  <c r="F28" i="21"/>
  <c r="G20" i="6" s="1"/>
  <c r="E28" i="21"/>
  <c r="B23" i="21"/>
  <c r="B24" i="21" s="1"/>
  <c r="B25" i="21" s="1"/>
  <c r="B26" i="21" s="1"/>
  <c r="B27" i="21" s="1"/>
  <c r="B28" i="21" s="1"/>
  <c r="G13" i="21"/>
  <c r="B4" i="48"/>
  <c r="B3" i="48"/>
  <c r="B12" i="48"/>
  <c r="B13" i="48" s="1"/>
  <c r="B14" i="48" s="1"/>
  <c r="B15" i="48" s="1"/>
  <c r="B16" i="48" s="1"/>
  <c r="B17" i="48" s="1"/>
  <c r="B18" i="48" s="1"/>
  <c r="B19" i="48" s="1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2" i="48" s="1"/>
  <c r="B33" i="48" s="1"/>
  <c r="B34" i="48" s="1"/>
  <c r="B35" i="48" s="1"/>
  <c r="B36" i="48" s="1"/>
  <c r="B37" i="48" s="1"/>
  <c r="B38" i="48" s="1"/>
  <c r="B39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4" i="6"/>
  <c r="G26" i="6"/>
  <c r="B11" i="6"/>
  <c r="B12" i="6" s="1"/>
  <c r="B13" i="6" s="1"/>
  <c r="B14" i="6" s="1"/>
  <c r="B15" i="6" s="1"/>
  <c r="B16" i="6" s="1"/>
  <c r="B17" i="6" s="1"/>
  <c r="B18" i="6" s="1"/>
  <c r="B3" i="6"/>
  <c r="Q44" i="6"/>
  <c r="B4" i="7"/>
  <c r="B3" i="7"/>
  <c r="B12" i="7"/>
  <c r="B13" i="7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" i="21"/>
  <c r="B3" i="21"/>
  <c r="G14" i="21"/>
  <c r="G15" i="21"/>
  <c r="G16" i="21"/>
  <c r="B13" i="21"/>
  <c r="B14" i="21" s="1"/>
  <c r="B15" i="21" s="1"/>
  <c r="B16" i="21" s="1"/>
  <c r="B17" i="21" s="1"/>
  <c r="B18" i="21" s="1"/>
  <c r="B19" i="21" s="1"/>
  <c r="B20" i="21" s="1"/>
  <c r="B21" i="21" s="1"/>
  <c r="B22" i="21" s="1"/>
  <c r="O56" i="21"/>
  <c r="L56" i="21"/>
  <c r="J56" i="21"/>
  <c r="R48" i="21"/>
  <c r="B4" i="43"/>
  <c r="B3" i="43"/>
  <c r="B12" i="43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R48" i="43"/>
  <c r="U45" i="43"/>
  <c r="B4" i="3"/>
  <c r="I14" i="3"/>
  <c r="F13" i="45"/>
  <c r="F14" i="45"/>
  <c r="G14" i="3" s="1"/>
  <c r="H14" i="3" s="1"/>
  <c r="G15" i="3"/>
  <c r="F16" i="45"/>
  <c r="G16" i="3" s="1"/>
  <c r="H16" i="3" s="1"/>
  <c r="J16" i="3" s="1"/>
  <c r="G21" i="3"/>
  <c r="I26" i="3"/>
  <c r="G26" i="3"/>
  <c r="G27" i="3"/>
  <c r="G28" i="3"/>
  <c r="I29" i="3"/>
  <c r="I66" i="3"/>
  <c r="G66" i="3"/>
  <c r="F68" i="46"/>
  <c r="I67" i="3" s="1"/>
  <c r="F66" i="45"/>
  <c r="G67" i="3" s="1"/>
  <c r="H67" i="3" s="1"/>
  <c r="F69" i="46"/>
  <c r="B4" i="39"/>
  <c r="B3" i="39"/>
  <c r="B10" i="39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G24" i="3"/>
  <c r="F64" i="46"/>
  <c r="I62" i="3"/>
  <c r="F62" i="45"/>
  <c r="G62" i="3" s="1"/>
  <c r="G32" i="3"/>
  <c r="G33" i="3"/>
  <c r="H33" i="3" s="1"/>
  <c r="G36" i="3"/>
  <c r="G41" i="3"/>
  <c r="G43" i="3"/>
  <c r="G45" i="3"/>
  <c r="G48" i="3"/>
  <c r="G49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3" i="3"/>
  <c r="F17" i="3"/>
  <c r="F35" i="3" s="1"/>
  <c r="I31" i="48" s="1"/>
  <c r="K17" i="41"/>
  <c r="N17" i="41" s="1"/>
  <c r="K19" i="41"/>
  <c r="N19" i="41" s="1"/>
  <c r="B13" i="41"/>
  <c r="B14" i="41" s="1"/>
  <c r="B15" i="41" s="1"/>
  <c r="B16" i="41" s="1"/>
  <c r="B17" i="41" s="1"/>
  <c r="B18" i="41" s="1"/>
  <c r="B19" i="41" s="1"/>
  <c r="B20" i="41" s="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B31" i="41" s="1"/>
  <c r="B32" i="41" s="1"/>
  <c r="B33" i="41" s="1"/>
  <c r="B34" i="41" s="1"/>
  <c r="B35" i="41" s="1"/>
  <c r="B36" i="41" s="1"/>
  <c r="B37" i="41" s="1"/>
  <c r="B38" i="41" s="1"/>
  <c r="B39" i="41" s="1"/>
  <c r="B4" i="41"/>
  <c r="B3" i="41"/>
  <c r="G22" i="8"/>
  <c r="B4" i="8"/>
  <c r="B3" i="8"/>
  <c r="B12" i="8"/>
  <c r="B13" i="8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P48" i="8"/>
  <c r="S45" i="8"/>
  <c r="B11" i="9"/>
  <c r="B12" i="9" s="1"/>
  <c r="B13" i="9" s="1"/>
  <c r="B4" i="9"/>
  <c r="B3" i="9"/>
  <c r="P66" i="46"/>
  <c r="P71" i="46" s="1"/>
  <c r="P19" i="46"/>
  <c r="P54" i="46"/>
  <c r="O66" i="46"/>
  <c r="O71" i="46" s="1"/>
  <c r="N66" i="46"/>
  <c r="N71" i="46" s="1"/>
  <c r="M66" i="46"/>
  <c r="L66" i="46"/>
  <c r="L71" i="46" s="1"/>
  <c r="K66" i="46"/>
  <c r="K71" i="46" s="1"/>
  <c r="J66" i="46"/>
  <c r="J71" i="46" s="1"/>
  <c r="I66" i="46"/>
  <c r="I71" i="46" s="1"/>
  <c r="H66" i="46"/>
  <c r="H71" i="46" s="1"/>
  <c r="G71" i="46"/>
  <c r="F65" i="46"/>
  <c r="L19" i="46"/>
  <c r="J54" i="46"/>
  <c r="J19" i="46"/>
  <c r="J57" i="46" s="1"/>
  <c r="H54" i="46"/>
  <c r="H19" i="46"/>
  <c r="O19" i="46"/>
  <c r="D50" i="46"/>
  <c r="D51" i="46"/>
  <c r="D52" i="46"/>
  <c r="D53" i="46"/>
  <c r="D54" i="46"/>
  <c r="D56" i="46"/>
  <c r="D57" i="46"/>
  <c r="D60" i="46"/>
  <c r="D62" i="46"/>
  <c r="D64" i="46"/>
  <c r="D65" i="46"/>
  <c r="D66" i="46"/>
  <c r="D68" i="46"/>
  <c r="D69" i="46"/>
  <c r="D70" i="46"/>
  <c r="D71" i="46"/>
  <c r="D23" i="46"/>
  <c r="D26" i="46"/>
  <c r="D27" i="46"/>
  <c r="D28" i="46"/>
  <c r="D29" i="46"/>
  <c r="D30" i="46"/>
  <c r="D31" i="46"/>
  <c r="D32" i="46"/>
  <c r="D33" i="46"/>
  <c r="D34" i="46"/>
  <c r="D35" i="46"/>
  <c r="D36" i="46"/>
  <c r="D37" i="46"/>
  <c r="D38" i="46"/>
  <c r="D39" i="46"/>
  <c r="D40" i="46"/>
  <c r="D41" i="46"/>
  <c r="D42" i="46"/>
  <c r="D43" i="46"/>
  <c r="D44" i="46"/>
  <c r="D45" i="46"/>
  <c r="D46" i="46"/>
  <c r="D48" i="46"/>
  <c r="D49" i="46"/>
  <c r="K54" i="46"/>
  <c r="N19" i="46"/>
  <c r="N54" i="46"/>
  <c r="B11" i="46"/>
  <c r="B12" i="46" s="1"/>
  <c r="B13" i="46" s="1"/>
  <c r="B14" i="46" s="1"/>
  <c r="B15" i="46" s="1"/>
  <c r="B16" i="46" s="1"/>
  <c r="B17" i="46" s="1"/>
  <c r="B18" i="46" s="1"/>
  <c r="B19" i="46" s="1"/>
  <c r="B20" i="46" s="1"/>
  <c r="B21" i="46" s="1"/>
  <c r="B22" i="46" s="1"/>
  <c r="B23" i="46" s="1"/>
  <c r="B24" i="46" s="1"/>
  <c r="B25" i="46" s="1"/>
  <c r="B26" i="46" s="1"/>
  <c r="B27" i="46" s="1"/>
  <c r="B28" i="46" s="1"/>
  <c r="B29" i="46" s="1"/>
  <c r="B30" i="46" s="1"/>
  <c r="B31" i="46" s="1"/>
  <c r="B32" i="46" s="1"/>
  <c r="B33" i="46" s="1"/>
  <c r="B34" i="46" s="1"/>
  <c r="B35" i="46" s="1"/>
  <c r="B36" i="46" s="1"/>
  <c r="B37" i="46" s="1"/>
  <c r="B38" i="46" s="1"/>
  <c r="B39" i="46" s="1"/>
  <c r="B40" i="46" s="1"/>
  <c r="B41" i="46" s="1"/>
  <c r="B42" i="46" s="1"/>
  <c r="B43" i="46" s="1"/>
  <c r="B44" i="46" s="1"/>
  <c r="B45" i="46" s="1"/>
  <c r="B46" i="46" s="1"/>
  <c r="B47" i="46" s="1"/>
  <c r="B48" i="46" s="1"/>
  <c r="B4" i="46"/>
  <c r="B3" i="46"/>
  <c r="K19" i="46"/>
  <c r="I54" i="46"/>
  <c r="G19" i="46"/>
  <c r="I19" i="46"/>
  <c r="P64" i="45"/>
  <c r="P69" i="45" s="1"/>
  <c r="P52" i="45"/>
  <c r="O64" i="45"/>
  <c r="O69" i="45"/>
  <c r="M64" i="45"/>
  <c r="L64" i="45"/>
  <c r="L69" i="45" s="1"/>
  <c r="K64" i="45"/>
  <c r="K69" i="45" s="1"/>
  <c r="J64" i="45"/>
  <c r="J69" i="45" s="1"/>
  <c r="G69" i="45"/>
  <c r="F67" i="45"/>
  <c r="F63" i="45"/>
  <c r="G63" i="3" s="1"/>
  <c r="L52" i="45"/>
  <c r="J17" i="45"/>
  <c r="O52" i="45"/>
  <c r="O55" i="45" s="1"/>
  <c r="O57" i="45" s="1"/>
  <c r="D52" i="45"/>
  <c r="D54" i="45"/>
  <c r="D55" i="45"/>
  <c r="D58" i="45"/>
  <c r="D60" i="45"/>
  <c r="D62" i="45"/>
  <c r="D63" i="45"/>
  <c r="D64" i="45"/>
  <c r="D66" i="45"/>
  <c r="D67" i="45"/>
  <c r="D68" i="45"/>
  <c r="D69" i="45"/>
  <c r="B11" i="45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4" i="45"/>
  <c r="B3" i="45"/>
  <c r="K17" i="45"/>
  <c r="G17" i="45"/>
  <c r="G54" i="46"/>
  <c r="I16" i="43" l="1"/>
  <c r="F20" i="7"/>
  <c r="F21" i="7" s="1"/>
  <c r="I18" i="43"/>
  <c r="D36" i="51"/>
  <c r="D43" i="51" s="1"/>
  <c r="F43" i="51" s="1"/>
  <c r="H55" i="45"/>
  <c r="I42" i="48"/>
  <c r="I44" i="48" s="1"/>
  <c r="I17" i="48" s="1"/>
  <c r="R57" i="46"/>
  <c r="L54" i="46"/>
  <c r="J23" i="3"/>
  <c r="L23" i="3" s="1"/>
  <c r="O54" i="46"/>
  <c r="H57" i="45"/>
  <c r="H58" i="45" s="1"/>
  <c r="I57" i="45"/>
  <c r="I58" i="45" s="1"/>
  <c r="N57" i="45"/>
  <c r="N58" i="45"/>
  <c r="F54" i="46"/>
  <c r="I36" i="3"/>
  <c r="G22" i="3"/>
  <c r="N57" i="46"/>
  <c r="J38" i="9"/>
  <c r="J41" i="9" s="1"/>
  <c r="F63" i="3"/>
  <c r="I23" i="43"/>
  <c r="I24" i="43"/>
  <c r="I19" i="43"/>
  <c r="L55" i="45"/>
  <c r="L57" i="45" s="1"/>
  <c r="Q57" i="45"/>
  <c r="Q58" i="45" s="1"/>
  <c r="D49" i="51"/>
  <c r="F49" i="51" s="1"/>
  <c r="K20" i="6"/>
  <c r="G19" i="6"/>
  <c r="G21" i="6" s="1"/>
  <c r="H62" i="3"/>
  <c r="J62" i="3" s="1"/>
  <c r="L62" i="3" s="1"/>
  <c r="D13" i="51" s="1"/>
  <c r="G52" i="45"/>
  <c r="G55" i="45" s="1"/>
  <c r="G57" i="45" s="1"/>
  <c r="I15" i="43"/>
  <c r="I22" i="43"/>
  <c r="I21" i="43"/>
  <c r="I20" i="43"/>
  <c r="I17" i="43"/>
  <c r="B49" i="46"/>
  <c r="B50" i="46" s="1"/>
  <c r="B51" i="46" s="1"/>
  <c r="B52" i="46" s="1"/>
  <c r="B53" i="46" s="1"/>
  <c r="B54" i="46" s="1"/>
  <c r="B55" i="46" s="1"/>
  <c r="B56" i="46" s="1"/>
  <c r="B57" i="46" s="1"/>
  <c r="B58" i="46" s="1"/>
  <c r="B59" i="46" s="1"/>
  <c r="B60" i="46" s="1"/>
  <c r="B61" i="46" s="1"/>
  <c r="B62" i="46" s="1"/>
  <c r="B63" i="46" s="1"/>
  <c r="B64" i="46" s="1"/>
  <c r="B65" i="46" s="1"/>
  <c r="B66" i="46" s="1"/>
  <c r="B67" i="46" s="1"/>
  <c r="B68" i="46" s="1"/>
  <c r="B69" i="46" s="1"/>
  <c r="B70" i="46" s="1"/>
  <c r="B71" i="46" s="1"/>
  <c r="B72" i="46" s="1"/>
  <c r="B73" i="46" s="1"/>
  <c r="B74" i="46" s="1"/>
  <c r="B75" i="46" s="1"/>
  <c r="B76" i="46" s="1"/>
  <c r="I36" i="39"/>
  <c r="I38" i="39" s="1"/>
  <c r="B14" i="9"/>
  <c r="B15" i="9" s="1"/>
  <c r="O57" i="46"/>
  <c r="P57" i="46"/>
  <c r="I63" i="3"/>
  <c r="I64" i="3" s="1"/>
  <c r="L57" i="46"/>
  <c r="G57" i="46"/>
  <c r="H26" i="3"/>
  <c r="J26" i="3" s="1"/>
  <c r="L26" i="3" s="1"/>
  <c r="M43" i="48"/>
  <c r="B50" i="48"/>
  <c r="B51" i="48" s="1"/>
  <c r="B52" i="48" s="1"/>
  <c r="B53" i="48" s="1"/>
  <c r="B54" i="48" s="1"/>
  <c r="B55" i="48" s="1"/>
  <c r="H34" i="3"/>
  <c r="H46" i="3"/>
  <c r="J46" i="3" s="1"/>
  <c r="H42" i="3"/>
  <c r="J42" i="3" s="1"/>
  <c r="H41" i="3"/>
  <c r="J41" i="3" s="1"/>
  <c r="L41" i="3" s="1"/>
  <c r="H37" i="3"/>
  <c r="J37" i="3" s="1"/>
  <c r="B19" i="6"/>
  <c r="B20" i="6" s="1"/>
  <c r="B21" i="6" s="1"/>
  <c r="B22" i="6" s="1"/>
  <c r="B23" i="6" s="1"/>
  <c r="B24" i="6" s="1"/>
  <c r="B25" i="6" s="1"/>
  <c r="B26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H44" i="3"/>
  <c r="B24" i="45"/>
  <c r="B25" i="45" s="1"/>
  <c r="B26" i="45" s="1"/>
  <c r="B27" i="45" s="1"/>
  <c r="B28" i="45" s="1"/>
  <c r="B29" i="45" s="1"/>
  <c r="B30" i="45" s="1"/>
  <c r="B31" i="45" s="1"/>
  <c r="B32" i="45" s="1"/>
  <c r="B33" i="45" s="1"/>
  <c r="B34" i="45" s="1"/>
  <c r="B35" i="45" s="1"/>
  <c r="B36" i="45" s="1"/>
  <c r="B37" i="45" s="1"/>
  <c r="B38" i="45" s="1"/>
  <c r="B39" i="45" s="1"/>
  <c r="B40" i="45" s="1"/>
  <c r="B41" i="45" s="1"/>
  <c r="B42" i="45" s="1"/>
  <c r="B43" i="45" s="1"/>
  <c r="B44" i="45" s="1"/>
  <c r="B45" i="45" s="1"/>
  <c r="B46" i="45" s="1"/>
  <c r="B47" i="45" s="1"/>
  <c r="B48" i="45" s="1"/>
  <c r="B40" i="41"/>
  <c r="B41" i="41" s="1"/>
  <c r="B42" i="41" s="1"/>
  <c r="H43" i="3"/>
  <c r="J43" i="3" s="1"/>
  <c r="L43" i="3" s="1"/>
  <c r="H32" i="3"/>
  <c r="H22" i="3"/>
  <c r="H40" i="3"/>
  <c r="J40" i="3" s="1"/>
  <c r="L40" i="3" s="1"/>
  <c r="H27" i="3"/>
  <c r="J27" i="3" s="1"/>
  <c r="H47" i="3"/>
  <c r="J47" i="3" s="1"/>
  <c r="H45" i="3"/>
  <c r="J45" i="3" s="1"/>
  <c r="L45" i="3" s="1"/>
  <c r="L16" i="3"/>
  <c r="H28" i="3"/>
  <c r="J28" i="3" s="1"/>
  <c r="H48" i="3"/>
  <c r="J48" i="3" s="1"/>
  <c r="L48" i="3" s="1"/>
  <c r="B21" i="3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H24" i="3"/>
  <c r="J24" i="3" s="1"/>
  <c r="L24" i="3" s="1"/>
  <c r="H50" i="3"/>
  <c r="J50" i="3" s="1"/>
  <c r="H49" i="3"/>
  <c r="G28" i="21"/>
  <c r="F66" i="3" s="1"/>
  <c r="H66" i="3" s="1"/>
  <c r="B29" i="2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J39" i="3"/>
  <c r="L39" i="3" s="1"/>
  <c r="F19" i="46"/>
  <c r="J14" i="3"/>
  <c r="F64" i="45"/>
  <c r="J38" i="3"/>
  <c r="F66" i="46"/>
  <c r="J67" i="3"/>
  <c r="J33" i="3"/>
  <c r="F17" i="45"/>
  <c r="P55" i="45"/>
  <c r="P57" i="45" s="1"/>
  <c r="J30" i="3"/>
  <c r="L30" i="3" s="1"/>
  <c r="H29" i="3"/>
  <c r="J29" i="3" s="1"/>
  <c r="H57" i="46"/>
  <c r="H21" i="3"/>
  <c r="I17" i="3"/>
  <c r="F53" i="51" l="1"/>
  <c r="J44" i="3"/>
  <c r="K32" i="48"/>
  <c r="I16" i="6"/>
  <c r="I28" i="6" s="1"/>
  <c r="I29" i="48"/>
  <c r="I33" i="48" s="1"/>
  <c r="I25" i="43"/>
  <c r="G20" i="7" s="1"/>
  <c r="K19" i="6"/>
  <c r="B16" i="9"/>
  <c r="B17" i="9" s="1"/>
  <c r="B18" i="9" s="1"/>
  <c r="B19" i="9" s="1"/>
  <c r="H63" i="3"/>
  <c r="J63" i="3" s="1"/>
  <c r="L63" i="3" s="1"/>
  <c r="D14" i="51" s="1"/>
  <c r="D15" i="51" s="1"/>
  <c r="F15" i="51" s="1"/>
  <c r="F28" i="51" s="1"/>
  <c r="J32" i="3"/>
  <c r="J49" i="3"/>
  <c r="M30" i="48" s="1"/>
  <c r="K30" i="48"/>
  <c r="J34" i="3"/>
  <c r="L34" i="3" s="1"/>
  <c r="O43" i="48"/>
  <c r="B49" i="45"/>
  <c r="B50" i="45" s="1"/>
  <c r="B51" i="45" s="1"/>
  <c r="L67" i="3"/>
  <c r="B44" i="3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L37" i="3"/>
  <c r="L33" i="3"/>
  <c r="L28" i="3"/>
  <c r="L27" i="3"/>
  <c r="L38" i="3"/>
  <c r="L46" i="3"/>
  <c r="I16" i="7"/>
  <c r="I20" i="7"/>
  <c r="F57" i="46"/>
  <c r="L50" i="3"/>
  <c r="G17" i="3"/>
  <c r="H15" i="3"/>
  <c r="K26" i="6"/>
  <c r="L29" i="3"/>
  <c r="J21" i="3"/>
  <c r="L47" i="3"/>
  <c r="J22" i="3"/>
  <c r="L42" i="3"/>
  <c r="K42" i="48" l="1"/>
  <c r="K44" i="48" s="1"/>
  <c r="K17" i="48" s="1"/>
  <c r="M42" i="48"/>
  <c r="M44" i="48" s="1"/>
  <c r="M17" i="48" s="1"/>
  <c r="L44" i="3"/>
  <c r="O32" i="48" s="1"/>
  <c r="M32" i="48"/>
  <c r="F52" i="3"/>
  <c r="I27" i="48" s="1"/>
  <c r="I34" i="48" s="1"/>
  <c r="I38" i="48" s="1"/>
  <c r="I15" i="48" s="1"/>
  <c r="I18" i="48" s="1"/>
  <c r="B52" i="45"/>
  <c r="B53" i="45" s="1"/>
  <c r="B54" i="45" s="1"/>
  <c r="B55" i="45" s="1"/>
  <c r="B56" i="45" s="1"/>
  <c r="B57" i="45" s="1"/>
  <c r="B58" i="45" s="1"/>
  <c r="B59" i="45" s="1"/>
  <c r="B60" i="45" s="1"/>
  <c r="B61" i="45" s="1"/>
  <c r="B62" i="45" s="1"/>
  <c r="B63" i="45" s="1"/>
  <c r="B64" i="45" s="1"/>
  <c r="B65" i="45" s="1"/>
  <c r="B66" i="45" s="1"/>
  <c r="B67" i="45" s="1"/>
  <c r="B68" i="45" s="1"/>
  <c r="B69" i="45" s="1"/>
  <c r="B70" i="45" s="1"/>
  <c r="B71" i="45" s="1"/>
  <c r="B72" i="45" s="1"/>
  <c r="B73" i="45" s="1"/>
  <c r="B74" i="45" s="1"/>
  <c r="K14" i="6"/>
  <c r="G16" i="6"/>
  <c r="G28" i="6" s="1"/>
  <c r="G30" i="6" s="1"/>
  <c r="B20" i="9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54" i="9" s="1"/>
  <c r="B55" i="9" s="1"/>
  <c r="B56" i="9" s="1"/>
  <c r="B57" i="9" s="1"/>
  <c r="B58" i="9" s="1"/>
  <c r="B59" i="9" s="1"/>
  <c r="B60" i="9" s="1"/>
  <c r="B61" i="9" s="1"/>
  <c r="K15" i="6"/>
  <c r="I21" i="7"/>
  <c r="J16" i="7"/>
  <c r="R57" i="3" s="1"/>
  <c r="L49" i="3"/>
  <c r="O30" i="48" s="1"/>
  <c r="L32" i="3"/>
  <c r="J66" i="3"/>
  <c r="L66" i="3" s="1"/>
  <c r="K21" i="6"/>
  <c r="H17" i="3"/>
  <c r="H25" i="3" s="1"/>
  <c r="G25" i="3" s="1"/>
  <c r="J15" i="3"/>
  <c r="L21" i="3"/>
  <c r="H64" i="3"/>
  <c r="L22" i="3"/>
  <c r="F64" i="3"/>
  <c r="F69" i="3" s="1"/>
  <c r="O42" i="48" l="1"/>
  <c r="O44" i="48" s="1"/>
  <c r="O17" i="48" s="1"/>
  <c r="K25" i="45"/>
  <c r="F25" i="45" s="1"/>
  <c r="K16" i="6"/>
  <c r="K28" i="6" s="1"/>
  <c r="F55" i="3"/>
  <c r="G16" i="41" s="1"/>
  <c r="G21" i="41" s="1"/>
  <c r="G23" i="41" s="1"/>
  <c r="G27" i="41" s="1"/>
  <c r="I20" i="48"/>
  <c r="I36" i="48"/>
  <c r="K52" i="45"/>
  <c r="K55" i="45" s="1"/>
  <c r="K57" i="45" s="1"/>
  <c r="H35" i="3"/>
  <c r="K31" i="48" s="1"/>
  <c r="J17" i="3"/>
  <c r="I1" i="3" s="1"/>
  <c r="F58" i="3" l="1"/>
  <c r="F71" i="3" s="1"/>
  <c r="G25" i="41"/>
  <c r="J25" i="3"/>
  <c r="J35" i="3"/>
  <c r="J35" i="45"/>
  <c r="J64" i="3"/>
  <c r="J52" i="45" l="1"/>
  <c r="F35" i="45"/>
  <c r="G35" i="3" s="1"/>
  <c r="M31" i="48"/>
  <c r="K58" i="45"/>
  <c r="M58" i="45"/>
  <c r="G58" i="45"/>
  <c r="O58" i="45"/>
  <c r="L58" i="45"/>
  <c r="P58" i="45"/>
  <c r="L64" i="3"/>
  <c r="I52" i="3" l="1"/>
  <c r="I55" i="3" s="1"/>
  <c r="J55" i="45"/>
  <c r="J57" i="45" s="1"/>
  <c r="H36" i="3"/>
  <c r="F52" i="45"/>
  <c r="J58" i="45" l="1"/>
  <c r="F57" i="45"/>
  <c r="H51" i="3"/>
  <c r="J51" i="3" s="1"/>
  <c r="F55" i="45"/>
  <c r="J36" i="3"/>
  <c r="F58" i="45" l="1"/>
  <c r="L36" i="3"/>
  <c r="L51" i="3"/>
  <c r="J20" i="7" l="1"/>
  <c r="R56" i="3" s="1"/>
  <c r="R58" i="3" s="1"/>
  <c r="F19" i="8" l="1"/>
  <c r="J21" i="7"/>
  <c r="O11" i="3" l="1"/>
  <c r="L15" i="3" l="1"/>
  <c r="L14" i="3" l="1"/>
  <c r="L17" i="3" s="1"/>
  <c r="L35" i="3" s="1"/>
  <c r="L25" i="3" l="1"/>
  <c r="K25" i="3" s="1"/>
  <c r="K35" i="3"/>
  <c r="O31" i="48" l="1"/>
  <c r="K52" i="3"/>
  <c r="G60" i="46" l="1"/>
  <c r="G52" i="3"/>
  <c r="G55" i="3" s="1"/>
  <c r="I16" i="41" s="1"/>
  <c r="K16" i="41" s="1"/>
  <c r="H31" i="3"/>
  <c r="H52" i="3" s="1"/>
  <c r="J31" i="3" l="1"/>
  <c r="M29" i="48" s="1"/>
  <c r="M33" i="48" s="1"/>
  <c r="H55" i="3"/>
  <c r="K27" i="48"/>
  <c r="K29" i="48"/>
  <c r="K33" i="48" s="1"/>
  <c r="J52" i="3" l="1"/>
  <c r="J55" i="3" s="1"/>
  <c r="L31" i="3"/>
  <c r="O29" i="48" s="1"/>
  <c r="O33" i="48" s="1"/>
  <c r="K34" i="48"/>
  <c r="M27" i="48" l="1"/>
  <c r="M34" i="48" s="1"/>
  <c r="M38" i="48" s="1"/>
  <c r="L52" i="3"/>
  <c r="O27" i="48" s="1"/>
  <c r="O34" i="48" s="1"/>
  <c r="K38" i="48"/>
  <c r="K36" i="48"/>
  <c r="M36" i="48" l="1"/>
  <c r="L55" i="3"/>
  <c r="N16" i="41" s="1"/>
  <c r="M16" i="41" s="1"/>
  <c r="O36" i="48"/>
  <c r="O38" i="48"/>
  <c r="O49" i="48" s="1"/>
  <c r="M20" i="48"/>
  <c r="M15" i="48"/>
  <c r="M18" i="48" s="1"/>
  <c r="K20" i="48"/>
  <c r="K15" i="48"/>
  <c r="K18" i="48" s="1"/>
  <c r="H68" i="3" l="1"/>
  <c r="M68" i="45"/>
  <c r="M70" i="46"/>
  <c r="I29" i="6"/>
  <c r="K29" i="6" s="1"/>
  <c r="K30" i="6" s="1"/>
  <c r="J68" i="3"/>
  <c r="J69" i="3" s="1"/>
  <c r="O20" i="48"/>
  <c r="L68" i="3" s="1"/>
  <c r="L69" i="3" s="1"/>
  <c r="O15" i="48"/>
  <c r="O18" i="48" s="1"/>
  <c r="I68" i="3" l="1"/>
  <c r="I69" i="3" s="1"/>
  <c r="H69" i="3"/>
  <c r="G68" i="3"/>
  <c r="F70" i="46"/>
  <c r="F71" i="46" s="1"/>
  <c r="M71" i="46"/>
  <c r="F68" i="45"/>
  <c r="F69" i="45" s="1"/>
  <c r="M69" i="45"/>
  <c r="Q56" i="3"/>
  <c r="F14" i="8"/>
  <c r="F16" i="8" s="1"/>
  <c r="F20" i="8" s="1"/>
  <c r="Q57" i="3"/>
  <c r="Q58" i="3" l="1"/>
  <c r="N18" i="41"/>
  <c r="G20" i="8"/>
  <c r="G24" i="8" s="1"/>
  <c r="I18" i="41" l="1"/>
  <c r="N21" i="41"/>
  <c r="N23" i="41" l="1"/>
  <c r="L57" i="3" s="1"/>
  <c r="K18" i="41"/>
  <c r="I21" i="41"/>
  <c r="N27" i="41" l="1"/>
  <c r="Q59" i="46" s="1"/>
  <c r="Q60" i="46" s="1"/>
  <c r="N25" i="41"/>
  <c r="I23" i="41"/>
  <c r="I25" i="41" s="1"/>
  <c r="K21" i="41"/>
  <c r="M18" i="41"/>
  <c r="M21" i="41" s="1"/>
  <c r="L58" i="3"/>
  <c r="L71" i="3" s="1"/>
  <c r="O14" i="3" s="1"/>
  <c r="P59" i="46" l="1"/>
  <c r="P60" i="46" s="1"/>
  <c r="R59" i="46"/>
  <c r="R60" i="46" s="1"/>
  <c r="O15" i="3"/>
  <c r="L1" i="3"/>
  <c r="O59" i="46"/>
  <c r="O60" i="46" s="1"/>
  <c r="M59" i="46"/>
  <c r="M60" i="46" s="1"/>
  <c r="N59" i="46"/>
  <c r="N60" i="46" s="1"/>
  <c r="G31" i="8"/>
  <c r="G33" i="8" s="1"/>
  <c r="H59" i="46"/>
  <c r="H60" i="46" s="1"/>
  <c r="L59" i="46"/>
  <c r="L60" i="46" s="1"/>
  <c r="J59" i="46"/>
  <c r="J60" i="46" s="1"/>
  <c r="K59" i="46"/>
  <c r="K60" i="46" s="1"/>
  <c r="I59" i="46"/>
  <c r="I60" i="46" s="1"/>
  <c r="I27" i="41"/>
  <c r="M23" i="41"/>
  <c r="M27" i="41" s="1"/>
  <c r="K23" i="41"/>
  <c r="K27" i="41" s="1"/>
  <c r="F59" i="46" l="1"/>
  <c r="F60" i="46" s="1"/>
  <c r="M25" i="41"/>
  <c r="H57" i="3"/>
  <c r="J57" i="3"/>
  <c r="K25" i="41"/>
  <c r="I57" i="3" l="1"/>
  <c r="I58" i="3" s="1"/>
  <c r="J58" i="3"/>
  <c r="J71" i="3" s="1"/>
  <c r="O12" i="3" s="1"/>
  <c r="K57" i="3"/>
  <c r="K58" i="3" s="1"/>
  <c r="G57" i="3"/>
  <c r="G58" i="3" s="1"/>
  <c r="H58" i="3"/>
  <c r="H71" i="3" s="1"/>
  <c r="B21" i="39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2" i="39" s="1"/>
  <c r="B33" i="39" s="1"/>
  <c r="B39" i="39" l="1"/>
  <c r="B40" i="39" s="1"/>
  <c r="B41" i="39" s="1"/>
  <c r="I30" i="6" l="1"/>
</calcChain>
</file>

<file path=xl/sharedStrings.xml><?xml version="1.0" encoding="utf-8"?>
<sst xmlns="http://schemas.openxmlformats.org/spreadsheetml/2006/main" count="688" uniqueCount="419">
  <si>
    <t>Blue text indicates links</t>
  </si>
  <si>
    <t>Summit View Water Works LLC</t>
  </si>
  <si>
    <t>Rate Filing - Exhibits</t>
  </si>
  <si>
    <t>UW-24____</t>
  </si>
  <si>
    <t>Test Year Ended December 31, 2023</t>
  </si>
  <si>
    <t>percent increase</t>
  </si>
  <si>
    <t>Exhibit DPK-03</t>
  </si>
  <si>
    <t>SCHEDULE 1.0</t>
  </si>
  <si>
    <t>Proforma Income Statement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</si>
  <si>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</si>
  <si>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</si>
  <si>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</si>
  <si>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</si>
  <si>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</si>
  <si>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</si>
  <si>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</si>
  <si>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</si>
  <si>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</si>
  <si>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Line</t>
  </si>
  <si>
    <t>No.</t>
  </si>
  <si>
    <t>Results at</t>
  </si>
  <si>
    <t>Per Books</t>
  </si>
  <si>
    <t>Restating</t>
  </si>
  <si>
    <t>Restated</t>
  </si>
  <si>
    <t>Pro Forma</t>
  </si>
  <si>
    <t>Proposed</t>
  </si>
  <si>
    <t>Results</t>
  </si>
  <si>
    <t>Adjustments</t>
  </si>
  <si>
    <t>Rates</t>
  </si>
  <si>
    <t>Weighted Cost of Capital</t>
  </si>
  <si>
    <t>Operating Revenue</t>
  </si>
  <si>
    <t>Source</t>
  </si>
  <si>
    <t>Company Books</t>
  </si>
  <si>
    <t>Source: Sch 1.2</t>
  </si>
  <si>
    <t>(C) + (D)</t>
  </si>
  <si>
    <t>Source: Sch 1.3</t>
  </si>
  <si>
    <t>(E) + (F)</t>
  </si>
  <si>
    <t>(G) + (H)</t>
  </si>
  <si>
    <t>Adjusted ROI</t>
  </si>
  <si>
    <t>Proposed Rates</t>
  </si>
  <si>
    <t>Metered Water Revenue - Domestic</t>
  </si>
  <si>
    <t>Computed ROR</t>
  </si>
  <si>
    <t>Irrigation - non metered</t>
  </si>
  <si>
    <t>Over (Under) Cost of Capital</t>
  </si>
  <si>
    <t>Other Revenue</t>
  </si>
  <si>
    <t>Ln 5 thru Ln 8</t>
  </si>
  <si>
    <t>Rate Change</t>
  </si>
  <si>
    <t>Operating &amp; Maintenance Expenses</t>
  </si>
  <si>
    <t xml:space="preserve">Salary &amp; Wages </t>
  </si>
  <si>
    <t>Payroll Taxes</t>
  </si>
  <si>
    <t>Benefits</t>
  </si>
  <si>
    <t>Bank Service Charges</t>
  </si>
  <si>
    <t>Public Utility Taxes</t>
  </si>
  <si>
    <t>Copier Lease (Minolta)</t>
  </si>
  <si>
    <t>Repairs</t>
  </si>
  <si>
    <t>Sch 1.1</t>
  </si>
  <si>
    <t>Insurance</t>
  </si>
  <si>
    <t>License and Permits</t>
  </si>
  <si>
    <t>Vegetation Management / Landscaping</t>
  </si>
  <si>
    <t>Depreciation Expense</t>
  </si>
  <si>
    <t>Amort of CIAC</t>
  </si>
  <si>
    <t>Office Supplies</t>
  </si>
  <si>
    <t>Property Tax</t>
  </si>
  <si>
    <t>WUTC Regulatory Fee</t>
  </si>
  <si>
    <t xml:space="preserve">Postage </t>
  </si>
  <si>
    <t>IT Support</t>
  </si>
  <si>
    <t>Legal</t>
  </si>
  <si>
    <t>Engineering</t>
  </si>
  <si>
    <t>Accounting</t>
  </si>
  <si>
    <t>Garbage Service</t>
  </si>
  <si>
    <t>Rent</t>
  </si>
  <si>
    <t xml:space="preserve">Pond and General Maint </t>
  </si>
  <si>
    <t>Rate Case Expense</t>
  </si>
  <si>
    <r>
      <t>Material and Supplies</t>
    </r>
    <r>
      <rPr>
        <vertAlign val="superscript"/>
        <sz val="9"/>
        <rFont val="Times New Roman"/>
        <family val="1"/>
      </rPr>
      <t xml:space="preserve"> </t>
    </r>
  </si>
  <si>
    <t>Dues and Fees</t>
  </si>
  <si>
    <t xml:space="preserve">Fuel </t>
  </si>
  <si>
    <t>Other Professional Services</t>
  </si>
  <si>
    <t xml:space="preserve">Utility / Power </t>
  </si>
  <si>
    <r>
      <t>Office Utilities &amp; Internet</t>
    </r>
    <r>
      <rPr>
        <vertAlign val="superscript"/>
        <sz val="9"/>
        <rFont val="Times New Roman"/>
        <family val="1"/>
      </rPr>
      <t xml:space="preserve"> </t>
    </r>
  </si>
  <si>
    <t>Water Testing</t>
  </si>
  <si>
    <t>Total Operating Expenses</t>
  </si>
  <si>
    <t>Ln 11 thru Ln 42</t>
  </si>
  <si>
    <t>Operating Income</t>
  </si>
  <si>
    <t>Check</t>
  </si>
  <si>
    <t>Financing</t>
  </si>
  <si>
    <t xml:space="preserve"> before interest and taxes</t>
  </si>
  <si>
    <t>Ln 8 -Ln  43</t>
  </si>
  <si>
    <t>NOI</t>
  </si>
  <si>
    <t>Cost of Cap</t>
  </si>
  <si>
    <t>Type</t>
  </si>
  <si>
    <t>Debt</t>
  </si>
  <si>
    <t>Income Tax Expense</t>
  </si>
  <si>
    <t>Sch 5.1</t>
  </si>
  <si>
    <t>Equity</t>
  </si>
  <si>
    <t>Net Operating Income</t>
  </si>
  <si>
    <t>Ln 46 -Ln 48</t>
  </si>
  <si>
    <t>Total</t>
  </si>
  <si>
    <t>Rate Base</t>
  </si>
  <si>
    <t>Plant in Service</t>
  </si>
  <si>
    <t>Sch 3.1</t>
  </si>
  <si>
    <t>Acc. Depreciation</t>
  </si>
  <si>
    <t>Net Plant in Service</t>
  </si>
  <si>
    <t>Ln 54+ Ln 55</t>
  </si>
  <si>
    <t>Net CIAC</t>
  </si>
  <si>
    <t>Sch 2.2</t>
  </si>
  <si>
    <t>Net Other Deductions</t>
  </si>
  <si>
    <t>Working Capital</t>
  </si>
  <si>
    <t>Sch 2.3</t>
  </si>
  <si>
    <t>Ln 55+(Ln 57 thru Ln 59)</t>
  </si>
  <si>
    <t>Return on Rate Base</t>
  </si>
  <si>
    <t>Ln 49 / Ln 60</t>
  </si>
  <si>
    <t>SCHEDULE 1.1</t>
  </si>
  <si>
    <t>Pro forma Income Statement</t>
  </si>
  <si>
    <t>Supporting Detail Schedules of Account Groupings</t>
  </si>
  <si>
    <t>Repairs L.18</t>
  </si>
  <si>
    <t>Utility / Power L.40</t>
  </si>
  <si>
    <t>Repairs SO2</t>
  </si>
  <si>
    <t>Well #2 Irrig 250917</t>
  </si>
  <si>
    <t>Electrical</t>
  </si>
  <si>
    <t>Well #1 Irrig 250983</t>
  </si>
  <si>
    <t>Equipment Repairs</t>
  </si>
  <si>
    <t>BMID Pump 231353</t>
  </si>
  <si>
    <t>Irrigation Repairs</t>
  </si>
  <si>
    <t>SO2 / Irrigation Pond 251532</t>
  </si>
  <si>
    <t>Professional Fees - Other</t>
  </si>
  <si>
    <t>Dom Bldg/Well/Booster 232446</t>
  </si>
  <si>
    <t>Water BMID</t>
  </si>
  <si>
    <t>Utility / Power</t>
  </si>
  <si>
    <t>Pond and General Maint L.34</t>
  </si>
  <si>
    <t>Equipment Rental</t>
  </si>
  <si>
    <t>Pond</t>
  </si>
  <si>
    <t>Office Utilities &amp; Internet L.41</t>
  </si>
  <si>
    <t>Utilities Locations</t>
  </si>
  <si>
    <t>Meter Office 170303/170302</t>
  </si>
  <si>
    <t>Repairs and Maintenance</t>
  </si>
  <si>
    <t>Internet</t>
  </si>
  <si>
    <t>Pond and General Maint</t>
  </si>
  <si>
    <t>Office Utilities &amp; Internet</t>
  </si>
  <si>
    <t>Material and Supplies L.36</t>
  </si>
  <si>
    <t>Supplies - Domestic</t>
  </si>
  <si>
    <t>Water Testing L.42</t>
  </si>
  <si>
    <t>Chemicals for Irrigation Pond</t>
  </si>
  <si>
    <t>Testing (Edge)</t>
  </si>
  <si>
    <t>Chlorine</t>
  </si>
  <si>
    <t>Water Consulting</t>
  </si>
  <si>
    <t>Irrigation</t>
  </si>
  <si>
    <t>Water Testing Fees DOH</t>
  </si>
  <si>
    <t>Material and Supplies</t>
  </si>
  <si>
    <t xml:space="preserve">Water Testing   </t>
  </si>
  <si>
    <t>Summary of Restating Adjustments</t>
  </si>
  <si>
    <t>SCHEDULE 1.2</t>
  </si>
  <si>
    <t xml:space="preserve">Total </t>
  </si>
  <si>
    <t>R-01</t>
  </si>
  <si>
    <t>R-02</t>
  </si>
  <si>
    <t>R-03</t>
  </si>
  <si>
    <t>R-04</t>
  </si>
  <si>
    <t>R-05</t>
  </si>
  <si>
    <t>R-06</t>
  </si>
  <si>
    <t>R-07</t>
  </si>
  <si>
    <t>R-08</t>
  </si>
  <si>
    <t>R-09</t>
  </si>
  <si>
    <t>R-10</t>
  </si>
  <si>
    <t>R-11</t>
  </si>
  <si>
    <t>Reclassify</t>
  </si>
  <si>
    <t>to per books</t>
  </si>
  <si>
    <t>Payroll</t>
  </si>
  <si>
    <t>Adjust UTC</t>
  </si>
  <si>
    <t>Adjust Public</t>
  </si>
  <si>
    <t xml:space="preserve"> Adjust Domestic </t>
  </si>
  <si>
    <t>Working</t>
  </si>
  <si>
    <t xml:space="preserve">Property </t>
  </si>
  <si>
    <t>Tax to Reg</t>
  </si>
  <si>
    <t>Ins Refund</t>
  </si>
  <si>
    <t>Taxes</t>
  </si>
  <si>
    <t>Reg Fee to Actual</t>
  </si>
  <si>
    <t>Util Tax</t>
  </si>
  <si>
    <t>Irrigation Revenue</t>
  </si>
  <si>
    <t>Capital</t>
  </si>
  <si>
    <t>Depreciation</t>
  </si>
  <si>
    <t>Ln 4 thru Ln 9</t>
  </si>
  <si>
    <t>Reclass insurance refund</t>
  </si>
  <si>
    <t>Adjust UTC reg fee to actual</t>
  </si>
  <si>
    <t>B&amp;O Taxes</t>
  </si>
  <si>
    <t>Adjust public utility tax</t>
  </si>
  <si>
    <t>Adjust irrigation revenue to TY</t>
  </si>
  <si>
    <t xml:space="preserve">Repairs </t>
  </si>
  <si>
    <t>Working capital</t>
  </si>
  <si>
    <t>Pond and General Maintenance</t>
  </si>
  <si>
    <t>Ln 10 -Ln  44</t>
  </si>
  <si>
    <t>Ln 55 * 21%</t>
  </si>
  <si>
    <t>Ln 47 -Ln 49</t>
  </si>
  <si>
    <t>Sch 2.1</t>
  </si>
  <si>
    <t>Ln 56+(Ln 58 thru Ln60)</t>
  </si>
  <si>
    <t>(Blue Text indicates Linked Cell)</t>
  </si>
  <si>
    <t>Summary of Pro Forma Adjustments</t>
  </si>
  <si>
    <t>SCHEDULE 1.3</t>
  </si>
  <si>
    <t>P-01</t>
  </si>
  <si>
    <t>P-02</t>
  </si>
  <si>
    <t>P-03</t>
  </si>
  <si>
    <t>P-04</t>
  </si>
  <si>
    <t>P-05</t>
  </si>
  <si>
    <t>P-06</t>
  </si>
  <si>
    <t>P-07</t>
  </si>
  <si>
    <t>P-08</t>
  </si>
  <si>
    <t>P-09</t>
  </si>
  <si>
    <t>P-10</t>
  </si>
  <si>
    <t>P-11</t>
  </si>
  <si>
    <t>P-12</t>
  </si>
  <si>
    <t>Wages</t>
  </si>
  <si>
    <t xml:space="preserve">Change in </t>
  </si>
  <si>
    <t>Rate Case</t>
  </si>
  <si>
    <t>Property</t>
  </si>
  <si>
    <t>2024 Inc</t>
  </si>
  <si>
    <t>Rate Yr COLA</t>
  </si>
  <si>
    <t>2024 COLA</t>
  </si>
  <si>
    <t>Increase</t>
  </si>
  <si>
    <t>Expenses</t>
  </si>
  <si>
    <t>Postage</t>
  </si>
  <si>
    <t>New Meters</t>
  </si>
  <si>
    <t>Unmetered Water Revenue</t>
  </si>
  <si>
    <t>Metered Water Revenue</t>
  </si>
  <si>
    <t>Fire Protection Revenue</t>
  </si>
  <si>
    <t>Ready to Serve</t>
  </si>
  <si>
    <t>Materials and Supplies</t>
  </si>
  <si>
    <t>Ln 13 thru Ln 43</t>
  </si>
  <si>
    <t>Ln 48* 21%</t>
  </si>
  <si>
    <t>SCHEDULE 2.1</t>
  </si>
  <si>
    <t xml:space="preserve"> Rate Base Computation</t>
  </si>
  <si>
    <t>Description</t>
  </si>
  <si>
    <t xml:space="preserve"> Rate Base</t>
  </si>
  <si>
    <t>Sch 3.1 Ln 23</t>
  </si>
  <si>
    <t>Less Acc. Depreciation</t>
  </si>
  <si>
    <t>P-13</t>
  </si>
  <si>
    <t>Sch 3.1 Ln 30</t>
  </si>
  <si>
    <t>ln 6 - ln 9</t>
  </si>
  <si>
    <t>Less: Contributions in Aid:</t>
  </si>
  <si>
    <t>CIAC</t>
  </si>
  <si>
    <t>Sch 2.2 (a) Ln 17</t>
  </si>
  <si>
    <t>Acc Amortiztion</t>
  </si>
  <si>
    <t>Sch 2.2 (b) Ln 17</t>
  </si>
  <si>
    <t>Ln 13 + Ln 14</t>
  </si>
  <si>
    <t>Less: Other Deductions</t>
  </si>
  <si>
    <t>Regulatory Liability</t>
  </si>
  <si>
    <t>input</t>
  </si>
  <si>
    <t>Acquistion Adjustment</t>
  </si>
  <si>
    <t>Total Other Deductions</t>
  </si>
  <si>
    <t>Ln 18 + Ln 19</t>
  </si>
  <si>
    <t>Rate Base before Working Capital</t>
  </si>
  <si>
    <t>Ln 10- Ln 15- Ln 20</t>
  </si>
  <si>
    <t>Sch 2.3 line 32</t>
  </si>
  <si>
    <t>Ln 16 + Ln 17</t>
  </si>
  <si>
    <t>SCHEDULE  2.2</t>
  </si>
  <si>
    <t>Schedule of Contributions in Aid of Construction</t>
  </si>
  <si>
    <t>As of December 31, 2023</t>
  </si>
  <si>
    <t>Test Year Amort</t>
  </si>
  <si>
    <t>Vintage</t>
  </si>
  <si>
    <t>Total CIAC</t>
  </si>
  <si>
    <t>Acc Amort</t>
  </si>
  <si>
    <t>Amortization</t>
  </si>
  <si>
    <t>Total 2023</t>
  </si>
  <si>
    <t>Includes:</t>
  </si>
  <si>
    <t>Facilities Charge</t>
  </si>
  <si>
    <t>Hook Up Fees</t>
  </si>
  <si>
    <t>Source: workpaper TK</t>
  </si>
  <si>
    <t>SCHEDULE  2.3</t>
  </si>
  <si>
    <t>Computation of Working Capital</t>
  </si>
  <si>
    <t>Cash Working Capital (1/8 of Allowance</t>
  </si>
  <si>
    <t xml:space="preserve">  Operation and Maintenance Expense)</t>
  </si>
  <si>
    <t>Ln.28</t>
  </si>
  <si>
    <t>Pumping Power (1/24 of Pumping Power)</t>
  </si>
  <si>
    <t>Ln.34</t>
  </si>
  <si>
    <t>Total Working Capital Allowance</t>
  </si>
  <si>
    <t>Weighted Required WC</t>
  </si>
  <si>
    <t>(6 months Nov-Apr)</t>
  </si>
  <si>
    <t>Operating expense WC based on 45-day revenue lag</t>
  </si>
  <si>
    <t>Less:</t>
  </si>
  <si>
    <t>Depreciation net CIAC amort.</t>
  </si>
  <si>
    <t>Pumping Power</t>
  </si>
  <si>
    <t>Payroll Taxes, Property Tax, PUT, UTC Reg fee</t>
  </si>
  <si>
    <t>Rate Case Exp</t>
  </si>
  <si>
    <t>Total Deductions</t>
  </si>
  <si>
    <t>Net  Expenses</t>
  </si>
  <si>
    <t>Net Expense</t>
  </si>
  <si>
    <t>45 day /350 day revenue lag</t>
  </si>
  <si>
    <t>Revenue Lag</t>
  </si>
  <si>
    <t>Pumping Power WC based on 15-day expense Lead</t>
  </si>
  <si>
    <t>1/24  (15/350 day expense lead)</t>
  </si>
  <si>
    <t>Expense Lead (Reduction)</t>
  </si>
  <si>
    <t>Working Capital Requirement</t>
  </si>
  <si>
    <t>Working Capital - Annual</t>
  </si>
  <si>
    <t>SCHEDULE  3.1</t>
  </si>
  <si>
    <t>PIS - YE</t>
  </si>
  <si>
    <t>Schedule of Plant in Service</t>
  </si>
  <si>
    <t>YE 2023</t>
  </si>
  <si>
    <t>Plant In Service</t>
  </si>
  <si>
    <t>Acc Depr</t>
  </si>
  <si>
    <t>Adj Label</t>
  </si>
  <si>
    <t>PIS</t>
  </si>
  <si>
    <t>Domestic System</t>
  </si>
  <si>
    <t>Plant, Structures, &amp; Improvements (35)</t>
  </si>
  <si>
    <t>Service Connection (30)</t>
  </si>
  <si>
    <t>Mains &amp; Reservoirs (50)</t>
  </si>
  <si>
    <t>Pumping &amp; Water Treatment (20)</t>
  </si>
  <si>
    <t>Meters (20)</t>
  </si>
  <si>
    <t>Transportation (7)</t>
  </si>
  <si>
    <t>Water System Plan (6)</t>
  </si>
  <si>
    <t>Domestic System Total</t>
  </si>
  <si>
    <t>Irrigation System</t>
  </si>
  <si>
    <t>Common Plant</t>
  </si>
  <si>
    <t>Equipment (Laboratory, Office, &amp; Shop) (15)</t>
  </si>
  <si>
    <t>Equipment (IT) (5)</t>
  </si>
  <si>
    <t>Total Plant in Service</t>
  </si>
  <si>
    <t>SCHEDULE 3.2</t>
  </si>
  <si>
    <t>Schedule of Depreciation Expense</t>
  </si>
  <si>
    <t>Test year</t>
  </si>
  <si>
    <t>Depr. Exp.</t>
  </si>
  <si>
    <t>Total Depreciation for Test Year</t>
  </si>
  <si>
    <t>SCHEDULE 4.1</t>
  </si>
  <si>
    <t>Year End - Capital Structure</t>
  </si>
  <si>
    <t>Member Equity</t>
  </si>
  <si>
    <t>Sch 6.1</t>
  </si>
  <si>
    <t>Paid in Capital</t>
  </si>
  <si>
    <t>Percent</t>
  </si>
  <si>
    <t>Weighted</t>
  </si>
  <si>
    <t>Retained Earnings</t>
  </si>
  <si>
    <t>Cost</t>
  </si>
  <si>
    <t>of Total</t>
  </si>
  <si>
    <t>Ln 4 + Ln 5</t>
  </si>
  <si>
    <t>Sch 4.2 Ln 10</t>
  </si>
  <si>
    <t>Long term Debt</t>
  </si>
  <si>
    <t>Ln 6 + Ln 10</t>
  </si>
  <si>
    <t>Cost of Equity: 300 Basis Points above Prime</t>
  </si>
  <si>
    <t>Prime rate at July 17, 2024</t>
  </si>
  <si>
    <t xml:space="preserve">add: 300 basis points </t>
  </si>
  <si>
    <t>Allowed Return on Equity</t>
  </si>
  <si>
    <t>SCHEDULE 4.2</t>
  </si>
  <si>
    <t>Weighted Cost of Debt</t>
  </si>
  <si>
    <t>Long Term Debt at Year End</t>
  </si>
  <si>
    <t>Year End</t>
  </si>
  <si>
    <t>Interest</t>
  </si>
  <si>
    <t>Org Note</t>
  </si>
  <si>
    <t>Balance</t>
  </si>
  <si>
    <t>Rate</t>
  </si>
  <si>
    <t>Year</t>
  </si>
  <si>
    <t>N/P CMLLC SV Infra Dom Ph 12-14</t>
  </si>
  <si>
    <t>N/P CMLLC SV Infra Ir Ph 12-14</t>
  </si>
  <si>
    <t>N/P CMLLC Reservoir 2</t>
  </si>
  <si>
    <t>N/P CMLLC Infra D Ph 8-11 R 1-4</t>
  </si>
  <si>
    <t>N/P CMLLC Infra I Ph 8-11 R 1-4</t>
  </si>
  <si>
    <t>N/P KR Ditch Witch</t>
  </si>
  <si>
    <t>N/P GC Ditch Witch</t>
  </si>
  <si>
    <t>N/P Ally Financial</t>
  </si>
  <si>
    <t>N/P CM LLC</t>
  </si>
  <si>
    <t>N/P TC Development LLC</t>
  </si>
  <si>
    <t>SCHEDULE 4.3</t>
  </si>
  <si>
    <t xml:space="preserve">Interest Synchronization </t>
  </si>
  <si>
    <t>Amount</t>
  </si>
  <si>
    <t>Pro Forma Rate Base</t>
  </si>
  <si>
    <t>Sch 2.1 Ln 21</t>
  </si>
  <si>
    <t>Added CWIP</t>
  </si>
  <si>
    <t>Input</t>
  </si>
  <si>
    <t>Total Rate Base w/ CWIP</t>
  </si>
  <si>
    <t>Sch 4.1 Ln 10</t>
  </si>
  <si>
    <t xml:space="preserve">Synchronized Interest  </t>
  </si>
  <si>
    <t>Ln 6 * Ln 9</t>
  </si>
  <si>
    <t>Interest Expense Per Books</t>
  </si>
  <si>
    <t>Adjustment to Interest Expense</t>
  </si>
  <si>
    <t>To Sch 5.1</t>
  </si>
  <si>
    <t>Ln 10 - Ln 12</t>
  </si>
  <si>
    <t>Income Tax Impact Computation</t>
  </si>
  <si>
    <t>Federal Tax Rate</t>
  </si>
  <si>
    <t>Effective Decrease in Federal Income Tax Expense</t>
  </si>
  <si>
    <t>Ln 14 * Ln 21</t>
  </si>
  <si>
    <t>SCHEDULE 5.1</t>
  </si>
  <si>
    <t>Federal Income Taxes</t>
  </si>
  <si>
    <t>As filed</t>
  </si>
  <si>
    <t xml:space="preserve">Rate </t>
  </si>
  <si>
    <t>Company</t>
  </si>
  <si>
    <t>Change</t>
  </si>
  <si>
    <t>Rate Chg</t>
  </si>
  <si>
    <t>Sch 1.1 Ln 46</t>
  </si>
  <si>
    <t>Other Income</t>
  </si>
  <si>
    <t>Sch 4.3</t>
  </si>
  <si>
    <t>Less:    Interest Expense</t>
  </si>
  <si>
    <t>(a)</t>
  </si>
  <si>
    <t>Other Deductions</t>
  </si>
  <si>
    <t>Ln 5 thru Ln 9</t>
  </si>
  <si>
    <t>Taxable Income (NOL)</t>
  </si>
  <si>
    <t>Ln 10 * 21%</t>
  </si>
  <si>
    <t>Income Tax Expense / (Benefit)</t>
  </si>
  <si>
    <t>Net Income / Loss</t>
  </si>
  <si>
    <t>Ln 12/ Ln 10</t>
  </si>
  <si>
    <t>Effective Income Tax Rate</t>
  </si>
  <si>
    <r>
      <rPr>
        <vertAlign val="superscript"/>
        <sz val="9"/>
        <color rgb="FF000000"/>
        <rFont val="Times New Roman"/>
        <family val="1"/>
      </rPr>
      <t xml:space="preserve">(a) </t>
    </r>
    <r>
      <rPr>
        <sz val="12"/>
        <color rgb="FF000000"/>
        <rFont val="Times New Roman"/>
        <family val="1"/>
      </rPr>
      <t>Interest Synchronization Sch 4.3</t>
    </r>
  </si>
  <si>
    <t>SCHEDULE  5.2</t>
  </si>
  <si>
    <t>Summit View Water Company LLC</t>
  </si>
  <si>
    <t>Balance Sheet - Regulatory Basis</t>
  </si>
  <si>
    <t>Assets</t>
  </si>
  <si>
    <t>Utility Plant</t>
  </si>
  <si>
    <t>Less: Acc Depr</t>
  </si>
  <si>
    <t>Net Plant In Service</t>
  </si>
  <si>
    <t>Furture Use Property</t>
  </si>
  <si>
    <t>Current Assets</t>
  </si>
  <si>
    <t>GESA  Business Savings</t>
  </si>
  <si>
    <t>Bank of America Checking</t>
  </si>
  <si>
    <t>Total Checking/Savings</t>
  </si>
  <si>
    <t>Accounts Recievable</t>
  </si>
  <si>
    <t>Other</t>
  </si>
  <si>
    <t>Other Current Assets</t>
  </si>
  <si>
    <t>Total Assets</t>
  </si>
  <si>
    <t>Equity and Liabilities</t>
  </si>
  <si>
    <t xml:space="preserve"> Long-Term Liabilities</t>
  </si>
  <si>
    <t>N/P Ally Finanial</t>
  </si>
  <si>
    <t>Total Long-Term Liabilities</t>
  </si>
  <si>
    <t>Members Equity</t>
  </si>
  <si>
    <t>Total Members Equity</t>
  </si>
  <si>
    <t>Contributions in Aid of Construction</t>
  </si>
  <si>
    <t>Total Equity and Liabilities</t>
  </si>
  <si>
    <t>Company Provided Non-Audited Financial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</si>
</sst>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0.0%;\(0.0%\)"/>
    <numFmt numFmtId="168" formatCode="0.00%;\(0.00%\)"/>
    <numFmt numFmtId="169" formatCode="0.000%"/>
    <numFmt numFmtId="170" formatCode="mm/dd/yy"/>
    <numFmt numFmtId="171" formatCode="_(* #,##0.00_);_(* \(#,##0.00\);_(* &quot;-&quot;_);_(@_)"/>
    <numFmt numFmtId="172" formatCode="#,##0.000_);\(#,##0.000\)"/>
    <numFmt numFmtId="173" formatCode="&quot;wp &quot;\ 0\3\-000"/>
    <numFmt numFmtId="174" formatCode="_([$$-409]* #,##0_);_([$$-409]* \(#,##0\);_([$$-409]* &quot;-&quot;??_);_(@_)"/>
  </numFmts>
  <fonts count="77" x14ac:knownFonts="1"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b/>
      <sz val="8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22"/>
      <name val="Courier New"/>
      <family val="3"/>
    </font>
    <font>
      <sz val="26"/>
      <name val="Times New Roman"/>
      <family val="1"/>
    </font>
    <font>
      <b/>
      <sz val="16"/>
      <name val="Courier New"/>
      <family val="3"/>
    </font>
    <font>
      <sz val="1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u/>
      <sz val="10"/>
      <name val="Arial"/>
      <family val="2"/>
    </font>
    <font>
      <vertAlign val="superscript"/>
      <sz val="7"/>
      <name val="Small Fonts"/>
      <family val="2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8"/>
      <name val="Arial"/>
      <family val="2"/>
    </font>
    <font>
      <sz val="9"/>
      <name val="Arial"/>
      <family val="2"/>
    </font>
    <font>
      <sz val="6"/>
      <color indexed="10"/>
      <name val="Small Fonts"/>
      <family val="2"/>
    </font>
    <font>
      <vertAlign val="superscript"/>
      <sz val="8"/>
      <name val="Small Fonts"/>
      <family val="2"/>
    </font>
    <font>
      <sz val="10"/>
      <color indexed="8"/>
      <name val="Times New Roman"/>
      <family val="1"/>
    </font>
    <font>
      <sz val="10"/>
      <color indexed="18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Arial"/>
      <family val="2"/>
    </font>
    <font>
      <sz val="12"/>
      <color indexed="10"/>
      <name val="Times New Roman"/>
      <family val="1"/>
    </font>
    <font>
      <sz val="12"/>
      <color indexed="14"/>
      <name val="Times New Roman"/>
      <family val="1"/>
    </font>
    <font>
      <b/>
      <u/>
      <sz val="12"/>
      <color indexed="8"/>
      <name val="Times New Roman"/>
      <family val="1"/>
    </font>
    <font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vertAlign val="superscript"/>
      <sz val="7"/>
      <name val="Times New Roman"/>
      <family val="1"/>
    </font>
    <font>
      <b/>
      <sz val="10"/>
      <name val="MS Sans Serif"/>
      <family val="2"/>
    </font>
    <font>
      <b/>
      <sz val="16"/>
      <name val="Times New Roman"/>
      <family val="1"/>
    </font>
    <font>
      <sz val="10"/>
      <color indexed="10"/>
      <name val="Small Fonts"/>
      <family val="2"/>
    </font>
    <font>
      <sz val="12"/>
      <color theme="5" tint="-0.249977111117893"/>
      <name val="Times New Roman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sz val="12"/>
      <color theme="1"/>
      <name val="Times New Roman"/>
      <family val="1"/>
    </font>
    <font>
      <b/>
      <sz val="9"/>
      <color theme="1"/>
      <name val="Calibri"/>
      <family val="2"/>
    </font>
    <font>
      <b/>
      <sz val="12"/>
      <color theme="1"/>
      <name val="Times New Roman"/>
      <family val="1"/>
    </font>
    <font>
      <vertAlign val="superscript"/>
      <sz val="9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vertAlign val="superscript"/>
      <sz val="12"/>
      <name val="Times New Roman"/>
      <family val="1"/>
    </font>
    <font>
      <u val="singleAccounting"/>
      <sz val="12"/>
      <name val="Times New Roman"/>
      <family val="1"/>
    </font>
    <font>
      <sz val="8"/>
      <name val="MS Sans Serif"/>
    </font>
    <font>
      <sz val="10"/>
      <color rgb="FFFF0000"/>
      <name val="Times New Roman"/>
      <family val="1"/>
    </font>
    <font>
      <vertAlign val="superscript"/>
      <sz val="9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70C0"/>
      <name val="Times New Roman"/>
      <family val="1"/>
    </font>
    <font>
      <sz val="10"/>
      <color theme="1"/>
      <name val="Times New Roman"/>
      <family val="1"/>
    </font>
    <font>
      <b/>
      <sz val="8"/>
      <color rgb="FF000000"/>
      <name val="Arial"/>
      <family val="2"/>
    </font>
    <font>
      <i/>
      <u/>
      <sz val="8"/>
      <name val="Times New Roman"/>
      <family val="1"/>
    </font>
    <font>
      <b/>
      <sz val="14"/>
      <name val="Times New Roman"/>
      <family val="1"/>
    </font>
    <font>
      <b/>
      <sz val="12"/>
      <color rgb="FF000000"/>
      <name val="Times New Roman"/>
      <family val="1"/>
    </font>
    <font>
      <i/>
      <sz val="10"/>
      <name val="Times New Roman"/>
      <family val="1"/>
    </font>
    <font>
      <sz val="14"/>
      <color rgb="FFFF0000"/>
      <name val="Times New Roman"/>
      <family val="1"/>
    </font>
    <font>
      <sz val="22"/>
      <color rgb="FFFF0000"/>
      <name val="Times New Roman"/>
      <family val="1"/>
    </font>
    <font>
      <sz val="12"/>
      <color theme="8" tint="0.39997558519241921"/>
      <name val="Times New Roman"/>
      <family val="1"/>
    </font>
    <font>
      <sz val="8"/>
      <name val="Arial"/>
      <family val="2"/>
    </font>
    <font>
      <sz val="11"/>
      <color rgb="FF000000"/>
      <name val="Aptos Narrow"/>
      <family val="2"/>
    </font>
    <font>
      <sz val="10"/>
      <color indexed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5">
    <xf numFmtId="37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1" fillId="0" borderId="0"/>
    <xf numFmtId="0" fontId="18" fillId="0" borderId="0"/>
    <xf numFmtId="0" fontId="23" fillId="0" borderId="0"/>
    <xf numFmtId="41" fontId="18" fillId="0" borderId="0"/>
    <xf numFmtId="0" fontId="1" fillId="0" borderId="0"/>
    <xf numFmtId="41" fontId="1" fillId="0" borderId="0"/>
    <xf numFmtId="38" fontId="1" fillId="0" borderId="0"/>
    <xf numFmtId="38" fontId="1" fillId="0" borderId="0"/>
    <xf numFmtId="0" fontId="20" fillId="0" borderId="0"/>
    <xf numFmtId="10" fontId="1" fillId="0" borderId="0" applyFont="0" applyFill="0" applyBorder="0" applyAlignment="0" applyProtection="0"/>
    <xf numFmtId="37" fontId="1" fillId="0" borderId="0"/>
    <xf numFmtId="0" fontId="74" fillId="0" borderId="0"/>
  </cellStyleXfs>
  <cellXfs count="465">
    <xf numFmtId="37" fontId="0" fillId="0" borderId="0" xfId="0"/>
    <xf numFmtId="37" fontId="0" fillId="2" borderId="0" xfId="0" applyFill="1"/>
    <xf numFmtId="164" fontId="0" fillId="2" borderId="0" xfId="1" applyNumberFormat="1" applyFont="1" applyFill="1"/>
    <xf numFmtId="164" fontId="0" fillId="0" borderId="0" xfId="1" applyNumberFormat="1" applyFont="1"/>
    <xf numFmtId="37" fontId="0" fillId="0" borderId="0" xfId="0" applyAlignment="1">
      <alignment horizontal="right"/>
    </xf>
    <xf numFmtId="41" fontId="1" fillId="0" borderId="0" xfId="8"/>
    <xf numFmtId="41" fontId="4" fillId="0" borderId="0" xfId="8" applyFont="1"/>
    <xf numFmtId="41" fontId="1" fillId="0" borderId="1" xfId="8" applyBorder="1" applyAlignment="1">
      <alignment horizontal="center"/>
    </xf>
    <xf numFmtId="37" fontId="6" fillId="0" borderId="0" xfId="0" applyFont="1"/>
    <xf numFmtId="164" fontId="0" fillId="0" borderId="2" xfId="1" applyNumberFormat="1" applyFont="1" applyBorder="1"/>
    <xf numFmtId="37" fontId="0" fillId="2" borderId="0" xfId="0" applyFill="1" applyAlignment="1">
      <alignment horizontal="right"/>
    </xf>
    <xf numFmtId="37" fontId="0" fillId="0" borderId="0" xfId="0" applyAlignment="1">
      <alignment horizontal="center"/>
    </xf>
    <xf numFmtId="37" fontId="4" fillId="0" borderId="0" xfId="0" applyFont="1" applyAlignment="1">
      <alignment horizontal="center"/>
    </xf>
    <xf numFmtId="10" fontId="0" fillId="0" borderId="0" xfId="12" applyFont="1"/>
    <xf numFmtId="14" fontId="0" fillId="0" borderId="0" xfId="0" applyNumberFormat="1"/>
    <xf numFmtId="37" fontId="7" fillId="0" borderId="0" xfId="0" applyFont="1" applyAlignment="1">
      <alignment horizontal="center"/>
    </xf>
    <xf numFmtId="37" fontId="0" fillId="0" borderId="4" xfId="0" applyBorder="1"/>
    <xf numFmtId="37" fontId="0" fillId="0" borderId="4" xfId="0" applyBorder="1" applyAlignment="1">
      <alignment horizontal="center"/>
    </xf>
    <xf numFmtId="0" fontId="1" fillId="2" borderId="0" xfId="7" applyFill="1"/>
    <xf numFmtId="0" fontId="1" fillId="0" borderId="0" xfId="7"/>
    <xf numFmtId="0" fontId="5" fillId="2" borderId="0" xfId="7" applyFont="1" applyFill="1"/>
    <xf numFmtId="0" fontId="12" fillId="0" borderId="0" xfId="7" applyFont="1" applyAlignment="1">
      <alignment horizontal="centerContinuous"/>
    </xf>
    <xf numFmtId="0" fontId="13" fillId="0" borderId="0" xfId="7" applyFont="1" applyAlignment="1">
      <alignment horizontal="centerContinuous"/>
    </xf>
    <xf numFmtId="0" fontId="14" fillId="0" borderId="0" xfId="7" applyFont="1" applyAlignment="1">
      <alignment horizontal="centerContinuous"/>
    </xf>
    <xf numFmtId="0" fontId="15" fillId="0" borderId="0" xfId="7" applyFont="1" applyAlignment="1">
      <alignment horizontal="centerContinuous"/>
    </xf>
    <xf numFmtId="0" fontId="8" fillId="0" borderId="0" xfId="7" applyFont="1" applyAlignment="1">
      <alignment horizontal="centerContinuous"/>
    </xf>
    <xf numFmtId="170" fontId="11" fillId="0" borderId="0" xfId="7" applyNumberFormat="1" applyFont="1" applyAlignment="1">
      <alignment horizontal="right"/>
    </xf>
    <xf numFmtId="37" fontId="17" fillId="0" borderId="0" xfId="0" applyFont="1"/>
    <xf numFmtId="37" fontId="0" fillId="3" borderId="5" xfId="0" applyFill="1" applyBorder="1" applyAlignment="1">
      <alignment horizontal="center"/>
    </xf>
    <xf numFmtId="37" fontId="0" fillId="0" borderId="6" xfId="0" applyBorder="1"/>
    <xf numFmtId="37" fontId="0" fillId="0" borderId="7" xfId="0" applyBorder="1"/>
    <xf numFmtId="37" fontId="0" fillId="0" borderId="8" xfId="0" applyBorder="1"/>
    <xf numFmtId="41" fontId="19" fillId="0" borderId="0" xfId="6" applyFont="1" applyAlignment="1">
      <alignment horizontal="center"/>
    </xf>
    <xf numFmtId="10" fontId="0" fillId="0" borderId="0" xfId="12" applyFont="1" applyFill="1"/>
    <xf numFmtId="164" fontId="0" fillId="0" borderId="3" xfId="1" applyNumberFormat="1" applyFont="1" applyFill="1" applyBorder="1"/>
    <xf numFmtId="41" fontId="1" fillId="0" borderId="0" xfId="8" applyAlignment="1">
      <alignment horizontal="center"/>
    </xf>
    <xf numFmtId="41" fontId="6" fillId="0" borderId="0" xfId="8" applyFont="1" applyAlignment="1">
      <alignment horizontal="left"/>
    </xf>
    <xf numFmtId="37" fontId="0" fillId="2" borderId="0" xfId="0" applyFill="1" applyAlignment="1">
      <alignment horizontal="center"/>
    </xf>
    <xf numFmtId="0" fontId="20" fillId="0" borderId="0" xfId="11"/>
    <xf numFmtId="0" fontId="17" fillId="0" borderId="0" xfId="7" applyFont="1"/>
    <xf numFmtId="37" fontId="1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0" fontId="18" fillId="4" borderId="0" xfId="4" applyFill="1"/>
    <xf numFmtId="0" fontId="18" fillId="0" borderId="0" xfId="4"/>
    <xf numFmtId="0" fontId="28" fillId="0" borderId="0" xfId="4" applyFont="1"/>
    <xf numFmtId="37" fontId="17" fillId="0" borderId="0" xfId="0" applyFont="1" applyAlignment="1">
      <alignment horizontal="left"/>
    </xf>
    <xf numFmtId="164" fontId="0" fillId="0" borderId="0" xfId="1" applyNumberFormat="1" applyFont="1" applyFill="1" applyBorder="1" applyAlignment="1"/>
    <xf numFmtId="164" fontId="0" fillId="0" borderId="3" xfId="1" applyNumberFormat="1" applyFont="1" applyFill="1" applyBorder="1" applyAlignment="1"/>
    <xf numFmtId="41" fontId="25" fillId="0" borderId="0" xfId="8" applyFont="1"/>
    <xf numFmtId="164" fontId="0" fillId="0" borderId="2" xfId="1" applyNumberFormat="1" applyFont="1" applyFill="1" applyBorder="1" applyAlignment="1"/>
    <xf numFmtId="37" fontId="30" fillId="0" borderId="0" xfId="0" applyFont="1"/>
    <xf numFmtId="37" fontId="31" fillId="0" borderId="0" xfId="0" applyFont="1" applyAlignment="1">
      <alignment horizontal="left"/>
    </xf>
    <xf numFmtId="37" fontId="32" fillId="0" borderId="0" xfId="0" applyFont="1" applyAlignment="1">
      <alignment horizontal="left"/>
    </xf>
    <xf numFmtId="37" fontId="8" fillId="0" borderId="0" xfId="0" applyFont="1"/>
    <xf numFmtId="37" fontId="0" fillId="0" borderId="9" xfId="0" applyBorder="1"/>
    <xf numFmtId="38" fontId="24" fillId="0" borderId="0" xfId="9" applyFont="1"/>
    <xf numFmtId="38" fontId="24" fillId="0" borderId="0" xfId="10" applyFont="1"/>
    <xf numFmtId="37" fontId="2" fillId="0" borderId="0" xfId="0" applyFont="1"/>
    <xf numFmtId="37" fontId="0" fillId="0" borderId="2" xfId="0" applyBorder="1"/>
    <xf numFmtId="41" fontId="8" fillId="0" borderId="0" xfId="8" applyFont="1" applyAlignment="1">
      <alignment horizontal="centerContinuous"/>
    </xf>
    <xf numFmtId="41" fontId="8" fillId="0" borderId="0" xfId="8" applyFont="1"/>
    <xf numFmtId="41" fontId="7" fillId="0" borderId="0" xfId="8" applyFont="1"/>
    <xf numFmtId="0" fontId="11" fillId="0" borderId="0" xfId="7" applyFont="1" applyAlignment="1">
      <alignment horizontal="center"/>
    </xf>
    <xf numFmtId="0" fontId="16" fillId="0" borderId="0" xfId="7" applyFont="1" applyAlignment="1">
      <alignment horizontal="center"/>
    </xf>
    <xf numFmtId="37" fontId="7" fillId="0" borderId="0" xfId="0" applyFont="1"/>
    <xf numFmtId="41" fontId="23" fillId="2" borderId="0" xfId="8" applyFont="1" applyFill="1"/>
    <xf numFmtId="10" fontId="23" fillId="5" borderId="10" xfId="12" applyFont="1" applyFill="1" applyBorder="1"/>
    <xf numFmtId="41" fontId="23" fillId="0" borderId="0" xfId="8" applyFont="1"/>
    <xf numFmtId="41" fontId="36" fillId="2" borderId="0" xfId="8" applyFont="1" applyFill="1"/>
    <xf numFmtId="12" fontId="23" fillId="0" borderId="0" xfId="8" applyNumberFormat="1" applyFont="1"/>
    <xf numFmtId="37" fontId="8" fillId="0" borderId="0" xfId="0" applyFont="1" applyAlignment="1">
      <alignment horizontal="left"/>
    </xf>
    <xf numFmtId="41" fontId="37" fillId="0" borderId="0" xfId="6" applyFont="1" applyAlignment="1">
      <alignment horizontal="center"/>
    </xf>
    <xf numFmtId="41" fontId="38" fillId="0" borderId="0" xfId="8" quotePrefix="1" applyFont="1"/>
    <xf numFmtId="41" fontId="39" fillId="0" borderId="0" xfId="8" applyFont="1"/>
    <xf numFmtId="41" fontId="38" fillId="0" borderId="0" xfId="8" applyFont="1"/>
    <xf numFmtId="41" fontId="26" fillId="0" borderId="0" xfId="8" applyFont="1"/>
    <xf numFmtId="41" fontId="23" fillId="0" borderId="0" xfId="8" applyFont="1" applyAlignment="1">
      <alignment horizontal="center"/>
    </xf>
    <xf numFmtId="41" fontId="23" fillId="0" borderId="1" xfId="8" applyFont="1" applyBorder="1" applyAlignment="1">
      <alignment horizontal="center"/>
    </xf>
    <xf numFmtId="41" fontId="23" fillId="0" borderId="0" xfId="8" applyFont="1" applyAlignment="1">
      <alignment horizontal="left"/>
    </xf>
    <xf numFmtId="41" fontId="8" fillId="0" borderId="0" xfId="8" applyFont="1" applyAlignment="1">
      <alignment horizontal="center"/>
    </xf>
    <xf numFmtId="41" fontId="36" fillId="0" borderId="0" xfId="8" applyFont="1"/>
    <xf numFmtId="165" fontId="23" fillId="2" borderId="0" xfId="12" applyNumberFormat="1" applyFont="1" applyFill="1"/>
    <xf numFmtId="169" fontId="23" fillId="0" borderId="0" xfId="12" applyNumberFormat="1" applyFont="1"/>
    <xf numFmtId="41" fontId="23" fillId="0" borderId="3" xfId="8" applyFont="1" applyBorder="1"/>
    <xf numFmtId="10" fontId="23" fillId="0" borderId="0" xfId="12" applyFont="1"/>
    <xf numFmtId="41" fontId="23" fillId="0" borderId="2" xfId="8" applyFont="1" applyBorder="1"/>
    <xf numFmtId="10" fontId="23" fillId="3" borderId="11" xfId="12" applyFont="1" applyFill="1" applyBorder="1"/>
    <xf numFmtId="41" fontId="23" fillId="3" borderId="12" xfId="8" applyFont="1" applyFill="1" applyBorder="1"/>
    <xf numFmtId="168" fontId="23" fillId="3" borderId="11" xfId="8" applyNumberFormat="1" applyFont="1" applyFill="1" applyBorder="1"/>
    <xf numFmtId="167" fontId="23" fillId="0" borderId="0" xfId="12" applyNumberFormat="1" applyFont="1"/>
    <xf numFmtId="168" fontId="23" fillId="0" borderId="0" xfId="12" applyNumberFormat="1" applyFont="1"/>
    <xf numFmtId="41" fontId="23" fillId="3" borderId="13" xfId="8" applyFont="1" applyFill="1" applyBorder="1"/>
    <xf numFmtId="41" fontId="23" fillId="3" borderId="14" xfId="8" applyFont="1" applyFill="1" applyBorder="1"/>
    <xf numFmtId="41" fontId="23" fillId="3" borderId="15" xfId="8" applyFont="1" applyFill="1" applyBorder="1"/>
    <xf numFmtId="10" fontId="23" fillId="2" borderId="0" xfId="12" applyFont="1" applyFill="1"/>
    <xf numFmtId="10" fontId="23" fillId="2" borderId="0" xfId="8" applyNumberFormat="1" applyFont="1" applyFill="1" applyAlignment="1">
      <alignment horizontal="left"/>
    </xf>
    <xf numFmtId="171" fontId="23" fillId="2" borderId="0" xfId="8" applyNumberFormat="1" applyFont="1" applyFill="1"/>
    <xf numFmtId="41" fontId="23" fillId="2" borderId="0" xfId="8" applyFont="1" applyFill="1" applyAlignment="1">
      <alignment horizontal="right"/>
    </xf>
    <xf numFmtId="41" fontId="10" fillId="0" borderId="0" xfId="8" applyFont="1"/>
    <xf numFmtId="41" fontId="8" fillId="0" borderId="4" xfId="8" applyFont="1" applyBorder="1" applyAlignment="1">
      <alignment horizontal="center"/>
    </xf>
    <xf numFmtId="37" fontId="36" fillId="0" borderId="0" xfId="0" applyFont="1"/>
    <xf numFmtId="37" fontId="23" fillId="0" borderId="1" xfId="8" applyNumberFormat="1" applyFont="1" applyBorder="1" applyAlignment="1">
      <alignment horizontal="center"/>
    </xf>
    <xf numFmtId="37" fontId="0" fillId="0" borderId="9" xfId="0" applyBorder="1" applyAlignment="1">
      <alignment horizontal="right"/>
    </xf>
    <xf numFmtId="41" fontId="23" fillId="0" borderId="21" xfId="8" applyFont="1" applyBorder="1"/>
    <xf numFmtId="37" fontId="34" fillId="0" borderId="0" xfId="0" applyFont="1"/>
    <xf numFmtId="37" fontId="35" fillId="0" borderId="0" xfId="0" applyFont="1"/>
    <xf numFmtId="37" fontId="7" fillId="0" borderId="1" xfId="0" applyFont="1" applyBorder="1"/>
    <xf numFmtId="41" fontId="23" fillId="0" borderId="1" xfId="8" applyFont="1" applyBorder="1"/>
    <xf numFmtId="37" fontId="0" fillId="0" borderId="1" xfId="0" applyBorder="1"/>
    <xf numFmtId="41" fontId="23" fillId="0" borderId="1" xfId="8" applyFont="1" applyBorder="1" applyAlignment="1">
      <alignment horizontal="left"/>
    </xf>
    <xf numFmtId="37" fontId="0" fillId="0" borderId="21" xfId="0" applyBorder="1"/>
    <xf numFmtId="41" fontId="8" fillId="0" borderId="1" xfId="8" applyFont="1" applyBorder="1" applyAlignment="1">
      <alignment horizontal="center"/>
    </xf>
    <xf numFmtId="41" fontId="7" fillId="0" borderId="1" xfId="8" applyFont="1" applyBorder="1"/>
    <xf numFmtId="41" fontId="23" fillId="0" borderId="16" xfId="8" applyFont="1" applyBorder="1"/>
    <xf numFmtId="37" fontId="8" fillId="0" borderId="0" xfId="0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0" fillId="0" borderId="17" xfId="1" applyNumberFormat="1" applyFont="1" applyFill="1" applyBorder="1" applyAlignment="1"/>
    <xf numFmtId="164" fontId="0" fillId="0" borderId="4" xfId="1" applyNumberFormat="1" applyFont="1" applyFill="1" applyBorder="1" applyAlignment="1"/>
    <xf numFmtId="41" fontId="4" fillId="0" borderId="0" xfId="8" applyFont="1" applyAlignment="1">
      <alignment horizontal="center"/>
    </xf>
    <xf numFmtId="37" fontId="1" fillId="0" borderId="1" xfId="8" applyNumberFormat="1" applyBorder="1" applyAlignment="1">
      <alignment horizontal="center"/>
    </xf>
    <xf numFmtId="37" fontId="40" fillId="0" borderId="0" xfId="0" applyFont="1" applyAlignment="1">
      <alignment horizontal="left"/>
    </xf>
    <xf numFmtId="41" fontId="23" fillId="0" borderId="0" xfId="8" applyFont="1" applyAlignment="1">
      <alignment horizontal="right"/>
    </xf>
    <xf numFmtId="37" fontId="23" fillId="0" borderId="20" xfId="8" applyNumberFormat="1" applyFont="1" applyBorder="1" applyAlignment="1">
      <alignment horizontal="center"/>
    </xf>
    <xf numFmtId="37" fontId="0" fillId="0" borderId="19" xfId="0" applyBorder="1"/>
    <xf numFmtId="41" fontId="8" fillId="0" borderId="4" xfId="8" applyFont="1" applyBorder="1" applyAlignment="1">
      <alignment horizontal="right"/>
    </xf>
    <xf numFmtId="164" fontId="8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37" fontId="8" fillId="0" borderId="20" xfId="0" applyFont="1" applyBorder="1" applyAlignment="1">
      <alignment horizontal="center"/>
    </xf>
    <xf numFmtId="164" fontId="0" fillId="0" borderId="0" xfId="1" applyNumberFormat="1" applyFont="1" applyBorder="1"/>
    <xf numFmtId="41" fontId="23" fillId="3" borderId="11" xfId="8" applyFont="1" applyFill="1" applyBorder="1"/>
    <xf numFmtId="1" fontId="1" fillId="0" borderId="1" xfId="8" applyNumberFormat="1" applyBorder="1" applyAlignment="1">
      <alignment horizontal="center"/>
    </xf>
    <xf numFmtId="0" fontId="41" fillId="2" borderId="0" xfId="7" applyFont="1" applyFill="1"/>
    <xf numFmtId="41" fontId="2" fillId="0" borderId="0" xfId="8" applyFont="1"/>
    <xf numFmtId="41" fontId="23" fillId="3" borderId="25" xfId="8" applyFont="1" applyFill="1" applyBorder="1"/>
    <xf numFmtId="41" fontId="23" fillId="0" borderId="5" xfId="8" applyFont="1" applyBorder="1"/>
    <xf numFmtId="41" fontId="23" fillId="0" borderId="6" xfId="8" applyFont="1" applyBorder="1"/>
    <xf numFmtId="41" fontId="23" fillId="0" borderId="10" xfId="8" applyFont="1" applyBorder="1"/>
    <xf numFmtId="41" fontId="23" fillId="0" borderId="26" xfId="8" applyFont="1" applyBorder="1"/>
    <xf numFmtId="167" fontId="23" fillId="0" borderId="6" xfId="12" applyNumberFormat="1" applyFont="1" applyBorder="1"/>
    <xf numFmtId="41" fontId="23" fillId="0" borderId="27" xfId="8" applyFont="1" applyBorder="1"/>
    <xf numFmtId="41" fontId="39" fillId="2" borderId="0" xfId="8" applyFont="1" applyFill="1"/>
    <xf numFmtId="41" fontId="39" fillId="0" borderId="1" xfId="8" applyFont="1" applyBorder="1" applyAlignment="1">
      <alignment horizontal="center"/>
    </xf>
    <xf numFmtId="41" fontId="39" fillId="0" borderId="0" xfId="8" applyFont="1" applyAlignment="1">
      <alignment horizontal="left"/>
    </xf>
    <xf numFmtId="37" fontId="39" fillId="0" borderId="0" xfId="0" applyFont="1"/>
    <xf numFmtId="164" fontId="39" fillId="0" borderId="0" xfId="1" applyNumberFormat="1" applyFont="1"/>
    <xf numFmtId="1" fontId="17" fillId="0" borderId="3" xfId="0" applyNumberFormat="1" applyFont="1" applyBorder="1" applyAlignment="1">
      <alignment horizontal="left"/>
    </xf>
    <xf numFmtId="41" fontId="17" fillId="0" borderId="0" xfId="8" applyFont="1" applyAlignment="1">
      <alignment horizontal="center"/>
    </xf>
    <xf numFmtId="164" fontId="36" fillId="0" borderId="3" xfId="1" applyNumberFormat="1" applyFont="1" applyBorder="1"/>
    <xf numFmtId="41" fontId="36" fillId="0" borderId="3" xfId="8" applyFont="1" applyBorder="1"/>
    <xf numFmtId="41" fontId="36" fillId="0" borderId="2" xfId="8" applyFont="1" applyBorder="1"/>
    <xf numFmtId="41" fontId="36" fillId="0" borderId="3" xfId="8" applyFont="1" applyBorder="1" applyAlignment="1">
      <alignment horizontal="center"/>
    </xf>
    <xf numFmtId="41" fontId="36" fillId="0" borderId="0" xfId="8" applyFont="1" applyAlignment="1">
      <alignment horizontal="center"/>
    </xf>
    <xf numFmtId="10" fontId="36" fillId="0" borderId="4" xfId="12" applyFont="1" applyBorder="1"/>
    <xf numFmtId="37" fontId="36" fillId="0" borderId="4" xfId="0" applyFont="1" applyBorder="1"/>
    <xf numFmtId="164" fontId="36" fillId="0" borderId="0" xfId="1" applyNumberFormat="1" applyFont="1" applyFill="1" applyBorder="1" applyAlignment="1"/>
    <xf numFmtId="164" fontId="36" fillId="0" borderId="3" xfId="1" applyNumberFormat="1" applyFont="1" applyFill="1" applyBorder="1" applyAlignment="1"/>
    <xf numFmtId="37" fontId="9" fillId="0" borderId="9" xfId="0" applyFont="1" applyBorder="1" applyAlignment="1">
      <alignment horizontal="center"/>
    </xf>
    <xf numFmtId="173" fontId="29" fillId="0" borderId="4" xfId="0" applyNumberFormat="1" applyFont="1" applyBorder="1" applyAlignment="1">
      <alignment horizontal="left"/>
    </xf>
    <xf numFmtId="10" fontId="36" fillId="0" borderId="0" xfId="12" applyFont="1"/>
    <xf numFmtId="10" fontId="0" fillId="0" borderId="0" xfId="12" applyFont="1" applyFill="1" applyAlignment="1">
      <alignment horizontal="center"/>
    </xf>
    <xf numFmtId="41" fontId="41" fillId="2" borderId="0" xfId="8" applyFont="1" applyFill="1"/>
    <xf numFmtId="37" fontId="8" fillId="0" borderId="0" xfId="0" applyFont="1" applyAlignment="1">
      <alignment horizontal="right"/>
    </xf>
    <xf numFmtId="37" fontId="8" fillId="0" borderId="9" xfId="0" applyFont="1" applyBorder="1" applyAlignment="1">
      <alignment horizontal="right"/>
    </xf>
    <xf numFmtId="37" fontId="17" fillId="0" borderId="0" xfId="0" applyFont="1" applyAlignment="1">
      <alignment horizontal="right"/>
    </xf>
    <xf numFmtId="164" fontId="8" fillId="0" borderId="0" xfId="1" applyNumberFormat="1" applyFont="1" applyFill="1"/>
    <xf numFmtId="164" fontId="8" fillId="0" borderId="0" xfId="1" applyNumberFormat="1" applyFont="1" applyAlignment="1">
      <alignment horizontal="right"/>
    </xf>
    <xf numFmtId="0" fontId="43" fillId="0" borderId="0" xfId="4" applyFont="1" applyAlignment="1">
      <alignment horizontal="center"/>
    </xf>
    <xf numFmtId="37" fontId="17" fillId="0" borderId="4" xfId="0" applyFont="1" applyBorder="1"/>
    <xf numFmtId="1" fontId="17" fillId="0" borderId="4" xfId="0" applyNumberFormat="1" applyFont="1" applyBorder="1" applyAlignment="1">
      <alignment horizontal="center"/>
    </xf>
    <xf numFmtId="0" fontId="17" fillId="0" borderId="0" xfId="11" applyFont="1" applyAlignment="1">
      <alignment horizontal="right"/>
    </xf>
    <xf numFmtId="1" fontId="17" fillId="0" borderId="4" xfId="0" applyNumberFormat="1" applyFont="1" applyBorder="1" applyAlignment="1">
      <alignment horizontal="right"/>
    </xf>
    <xf numFmtId="37" fontId="2" fillId="0" borderId="0" xfId="0" applyFont="1" applyAlignment="1">
      <alignment horizontal="left"/>
    </xf>
    <xf numFmtId="37" fontId="2" fillId="0" borderId="0" xfId="0" applyFont="1" applyAlignment="1">
      <alignment horizontal="right"/>
    </xf>
    <xf numFmtId="37" fontId="3" fillId="0" borderId="0" xfId="0" applyFont="1" applyAlignment="1">
      <alignment horizontal="left"/>
    </xf>
    <xf numFmtId="37" fontId="3" fillId="0" borderId="0" xfId="0" applyFont="1" applyAlignment="1">
      <alignment horizontal="right"/>
    </xf>
    <xf numFmtId="37" fontId="1" fillId="2" borderId="0" xfId="13" applyFill="1"/>
    <xf numFmtId="37" fontId="1" fillId="0" borderId="0" xfId="13"/>
    <xf numFmtId="37" fontId="7" fillId="0" borderId="0" xfId="13" applyFont="1"/>
    <xf numFmtId="0" fontId="20" fillId="0" borderId="0" xfId="11" applyAlignment="1" applyProtection="1">
      <alignment horizontal="center"/>
      <protection locked="0"/>
    </xf>
    <xf numFmtId="0" fontId="20" fillId="0" borderId="0" xfId="11" applyProtection="1">
      <protection locked="0"/>
    </xf>
    <xf numFmtId="0" fontId="21" fillId="0" borderId="0" xfId="11" applyFont="1" applyAlignment="1" applyProtection="1">
      <alignment horizontal="center"/>
      <protection locked="0"/>
    </xf>
    <xf numFmtId="37" fontId="44" fillId="0" borderId="0" xfId="13" applyFont="1" applyAlignment="1">
      <alignment horizontal="left"/>
    </xf>
    <xf numFmtId="37" fontId="22" fillId="0" borderId="0" xfId="13" applyFont="1"/>
    <xf numFmtId="172" fontId="1" fillId="2" borderId="0" xfId="13" applyNumberFormat="1" applyFill="1"/>
    <xf numFmtId="0" fontId="45" fillId="0" borderId="0" xfId="11" applyFont="1"/>
    <xf numFmtId="10" fontId="1" fillId="0" borderId="0" xfId="12"/>
    <xf numFmtId="39" fontId="1" fillId="0" borderId="0" xfId="13" applyNumberFormat="1"/>
    <xf numFmtId="0" fontId="11" fillId="0" borderId="0" xfId="11" applyFont="1"/>
    <xf numFmtId="37" fontId="46" fillId="0" borderId="0" xfId="0" applyFont="1" applyAlignment="1">
      <alignment horizontal="left"/>
    </xf>
    <xf numFmtId="37" fontId="46" fillId="0" borderId="0" xfId="0" applyFont="1"/>
    <xf numFmtId="0" fontId="6" fillId="0" borderId="0" xfId="11" applyFont="1" applyAlignment="1">
      <alignment horizontal="left"/>
    </xf>
    <xf numFmtId="1" fontId="17" fillId="0" borderId="19" xfId="0" applyNumberFormat="1" applyFont="1" applyBorder="1" applyAlignment="1">
      <alignment horizontal="center"/>
    </xf>
    <xf numFmtId="1" fontId="17" fillId="0" borderId="20" xfId="0" applyNumberFormat="1" applyFont="1" applyBorder="1" applyAlignment="1">
      <alignment horizontal="center"/>
    </xf>
    <xf numFmtId="37" fontId="17" fillId="0" borderId="9" xfId="0" applyFont="1" applyBorder="1" applyAlignment="1">
      <alignment horizontal="center"/>
    </xf>
    <xf numFmtId="37" fontId="17" fillId="0" borderId="19" xfId="0" applyFont="1" applyBorder="1" applyAlignment="1">
      <alignment horizontal="center"/>
    </xf>
    <xf numFmtId="37" fontId="1" fillId="0" borderId="0" xfId="0" applyFont="1"/>
    <xf numFmtId="164" fontId="1" fillId="0" borderId="0" xfId="1" applyNumberFormat="1" applyFont="1"/>
    <xf numFmtId="173" fontId="47" fillId="0" borderId="0" xfId="0" applyNumberFormat="1" applyFont="1" applyAlignment="1">
      <alignment horizontal="right" vertical="top"/>
    </xf>
    <xf numFmtId="173" fontId="47" fillId="0" borderId="0" xfId="0" applyNumberFormat="1" applyFont="1" applyAlignment="1">
      <alignment horizontal="left" vertical="top"/>
    </xf>
    <xf numFmtId="1" fontId="17" fillId="0" borderId="0" xfId="0" applyNumberFormat="1" applyFont="1" applyAlignment="1">
      <alignment horizontal="center"/>
    </xf>
    <xf numFmtId="1" fontId="17" fillId="0" borderId="4" xfId="0" quotePrefix="1" applyNumberFormat="1" applyFont="1" applyBorder="1" applyAlignment="1">
      <alignment horizontal="center"/>
    </xf>
    <xf numFmtId="37" fontId="1" fillId="0" borderId="3" xfId="0" applyFont="1" applyBorder="1"/>
    <xf numFmtId="0" fontId="32" fillId="0" borderId="0" xfId="0" applyNumberFormat="1" applyFont="1" applyAlignment="1">
      <alignment horizontal="center"/>
    </xf>
    <xf numFmtId="37" fontId="16" fillId="0" borderId="0" xfId="0" applyFont="1"/>
    <xf numFmtId="37" fontId="10" fillId="0" borderId="0" xfId="0" applyFont="1" applyAlignment="1">
      <alignment horizontal="center"/>
    </xf>
    <xf numFmtId="164" fontId="48" fillId="0" borderId="0" xfId="1" applyNumberFormat="1" applyFont="1"/>
    <xf numFmtId="10" fontId="0" fillId="0" borderId="2" xfId="12" applyFont="1" applyBorder="1"/>
    <xf numFmtId="37" fontId="0" fillId="0" borderId="4" xfId="0" applyBorder="1" applyAlignment="1">
      <alignment horizontal="left"/>
    </xf>
    <xf numFmtId="164" fontId="0" fillId="0" borderId="4" xfId="1" applyNumberFormat="1" applyFont="1" applyBorder="1"/>
    <xf numFmtId="37" fontId="50" fillId="0" borderId="0" xfId="0" applyFont="1"/>
    <xf numFmtId="37" fontId="49" fillId="0" borderId="2" xfId="0" applyFont="1" applyBorder="1"/>
    <xf numFmtId="37" fontId="49" fillId="0" borderId="0" xfId="0" applyFont="1"/>
    <xf numFmtId="37" fontId="50" fillId="0" borderId="0" xfId="0" applyFont="1" applyAlignment="1">
      <alignment horizontal="right"/>
    </xf>
    <xf numFmtId="37" fontId="52" fillId="0" borderId="0" xfId="0" applyFont="1"/>
    <xf numFmtId="37" fontId="53" fillId="0" borderId="0" xfId="0" applyFont="1"/>
    <xf numFmtId="37" fontId="51" fillId="0" borderId="0" xfId="0" applyFont="1"/>
    <xf numFmtId="37" fontId="53" fillId="0" borderId="0" xfId="0" applyFont="1" applyAlignment="1">
      <alignment horizontal="right"/>
    </xf>
    <xf numFmtId="37" fontId="51" fillId="0" borderId="2" xfId="0" applyFont="1" applyBorder="1"/>
    <xf numFmtId="37" fontId="51" fillId="0" borderId="28" xfId="0" applyFont="1" applyBorder="1"/>
    <xf numFmtId="37" fontId="54" fillId="0" borderId="0" xfId="0" applyFont="1" applyAlignment="1">
      <alignment horizontal="left"/>
    </xf>
    <xf numFmtId="41" fontId="16" fillId="0" borderId="0" xfId="8" applyFont="1"/>
    <xf numFmtId="37" fontId="56" fillId="0" borderId="0" xfId="0" applyFont="1"/>
    <xf numFmtId="37" fontId="57" fillId="0" borderId="0" xfId="0" applyFont="1"/>
    <xf numFmtId="41" fontId="23" fillId="0" borderId="20" xfId="8" applyFont="1" applyBorder="1" applyAlignment="1">
      <alignment horizontal="center"/>
    </xf>
    <xf numFmtId="164" fontId="7" fillId="0" borderId="0" xfId="1" applyNumberFormat="1" applyFont="1" applyFill="1" applyBorder="1" applyAlignment="1"/>
    <xf numFmtId="164" fontId="8" fillId="0" borderId="0" xfId="1" applyNumberFormat="1" applyFont="1" applyFill="1" applyBorder="1" applyAlignment="1"/>
    <xf numFmtId="164" fontId="8" fillId="0" borderId="0" xfId="1" applyNumberFormat="1" applyFont="1" applyAlignment="1"/>
    <xf numFmtId="37" fontId="1" fillId="0" borderId="0" xfId="13" applyAlignment="1">
      <alignment horizontal="right"/>
    </xf>
    <xf numFmtId="10" fontId="1" fillId="0" borderId="4" xfId="12" applyBorder="1"/>
    <xf numFmtId="0" fontId="1" fillId="0" borderId="0" xfId="11" applyFont="1"/>
    <xf numFmtId="0" fontId="1" fillId="0" borderId="0" xfId="11" applyFont="1" applyAlignment="1">
      <alignment horizontal="right"/>
    </xf>
    <xf numFmtId="37" fontId="1" fillId="2" borderId="0" xfId="13" applyFill="1" applyAlignment="1">
      <alignment vertical="top"/>
    </xf>
    <xf numFmtId="41" fontId="1" fillId="0" borderId="1" xfId="8" applyBorder="1" applyAlignment="1">
      <alignment horizontal="center" vertical="top"/>
    </xf>
    <xf numFmtId="0" fontId="20" fillId="0" borderId="0" xfId="11" applyAlignment="1" applyProtection="1">
      <alignment horizontal="center" vertical="top"/>
      <protection locked="0"/>
    </xf>
    <xf numFmtId="37" fontId="1" fillId="0" borderId="0" xfId="13" applyAlignment="1">
      <alignment vertical="top"/>
    </xf>
    <xf numFmtId="172" fontId="1" fillId="2" borderId="0" xfId="13" applyNumberFormat="1" applyFill="1" applyAlignment="1">
      <alignment vertical="top"/>
    </xf>
    <xf numFmtId="0" fontId="42" fillId="0" borderId="0" xfId="11" applyFont="1" applyAlignment="1">
      <alignment horizontal="right"/>
    </xf>
    <xf numFmtId="0" fontId="33" fillId="0" borderId="0" xfId="11" applyFont="1" applyAlignment="1">
      <alignment horizontal="right"/>
    </xf>
    <xf numFmtId="166" fontId="1" fillId="0" borderId="0" xfId="2" applyNumberFormat="1" applyFont="1" applyBorder="1"/>
    <xf numFmtId="0" fontId="3" fillId="0" borderId="0" xfId="11" applyFont="1"/>
    <xf numFmtId="169" fontId="1" fillId="0" borderId="4" xfId="12" applyNumberFormat="1" applyBorder="1"/>
    <xf numFmtId="44" fontId="16" fillId="0" borderId="0" xfId="11" applyNumberFormat="1" applyFont="1" applyAlignment="1">
      <alignment horizontal="right"/>
    </xf>
    <xf numFmtId="0" fontId="16" fillId="0" borderId="0" xfId="11" applyFont="1" applyAlignment="1">
      <alignment horizontal="right"/>
    </xf>
    <xf numFmtId="37" fontId="9" fillId="0" borderId="0" xfId="0" applyFont="1" applyAlignment="1">
      <alignment horizontal="center"/>
    </xf>
    <xf numFmtId="41" fontId="0" fillId="3" borderId="12" xfId="8" applyFont="1" applyFill="1" applyBorder="1"/>
    <xf numFmtId="10" fontId="23" fillId="3" borderId="19" xfId="12" applyFont="1" applyFill="1" applyBorder="1"/>
    <xf numFmtId="10" fontId="52" fillId="0" borderId="0" xfId="12" applyFont="1"/>
    <xf numFmtId="41" fontId="58" fillId="0" borderId="0" xfId="8" applyFont="1"/>
    <xf numFmtId="37" fontId="8" fillId="0" borderId="4" xfId="0" applyFont="1" applyBorder="1"/>
    <xf numFmtId="0" fontId="56" fillId="0" borderId="0" xfId="5" applyFont="1"/>
    <xf numFmtId="41" fontId="23" fillId="2" borderId="16" xfId="8" applyFont="1" applyFill="1" applyBorder="1" applyAlignment="1">
      <alignment horizontal="center"/>
    </xf>
    <xf numFmtId="41" fontId="23" fillId="2" borderId="17" xfId="8" applyFont="1" applyFill="1" applyBorder="1"/>
    <xf numFmtId="41" fontId="23" fillId="2" borderId="18" xfId="8" applyFont="1" applyFill="1" applyBorder="1"/>
    <xf numFmtId="164" fontId="23" fillId="2" borderId="9" xfId="1" applyNumberFormat="1" applyFont="1" applyFill="1" applyBorder="1" applyAlignment="1"/>
    <xf numFmtId="41" fontId="23" fillId="2" borderId="1" xfId="8" applyFont="1" applyFill="1" applyBorder="1" applyAlignment="1">
      <alignment horizontal="left"/>
    </xf>
    <xf numFmtId="41" fontId="23" fillId="2" borderId="19" xfId="8" applyFont="1" applyFill="1" applyBorder="1"/>
    <xf numFmtId="41" fontId="23" fillId="2" borderId="20" xfId="8" applyFont="1" applyFill="1" applyBorder="1"/>
    <xf numFmtId="41" fontId="59" fillId="2" borderId="9" xfId="8" applyFont="1" applyFill="1" applyBorder="1"/>
    <xf numFmtId="0" fontId="57" fillId="0" borderId="0" xfId="5" applyFont="1"/>
    <xf numFmtId="41" fontId="23" fillId="0" borderId="9" xfId="8" applyFont="1" applyBorder="1"/>
    <xf numFmtId="41" fontId="23" fillId="0" borderId="11" xfId="8" applyFont="1" applyBorder="1"/>
    <xf numFmtId="41" fontId="23" fillId="0" borderId="29" xfId="8" applyFont="1" applyBorder="1"/>
    <xf numFmtId="167" fontId="23" fillId="0" borderId="9" xfId="12" applyNumberFormat="1" applyFont="1" applyBorder="1"/>
    <xf numFmtId="41" fontId="23" fillId="0" borderId="19" xfId="8" applyFont="1" applyBorder="1"/>
    <xf numFmtId="41" fontId="23" fillId="3" borderId="28" xfId="8" applyFont="1" applyFill="1" applyBorder="1"/>
    <xf numFmtId="41" fontId="23" fillId="3" borderId="30" xfId="8" applyFont="1" applyFill="1" applyBorder="1"/>
    <xf numFmtId="37" fontId="23" fillId="0" borderId="0" xfId="0" applyFont="1"/>
    <xf numFmtId="164" fontId="1" fillId="0" borderId="10" xfId="1" applyNumberFormat="1" applyFont="1" applyBorder="1"/>
    <xf numFmtId="41" fontId="1" fillId="0" borderId="10" xfId="8" applyBorder="1" applyAlignment="1">
      <alignment horizontal="center"/>
    </xf>
    <xf numFmtId="41" fontId="23" fillId="0" borderId="10" xfId="0" applyNumberFormat="1" applyFont="1" applyBorder="1"/>
    <xf numFmtId="41" fontId="1" fillId="0" borderId="11" xfId="8" applyBorder="1" applyAlignment="1">
      <alignment horizontal="center"/>
    </xf>
    <xf numFmtId="41" fontId="1" fillId="0" borderId="3" xfId="8" applyBorder="1" applyAlignment="1">
      <alignment horizontal="center"/>
    </xf>
    <xf numFmtId="37" fontId="23" fillId="0" borderId="18" xfId="0" applyFont="1" applyBorder="1" applyAlignment="1">
      <alignment horizontal="center"/>
    </xf>
    <xf numFmtId="41" fontId="23" fillId="0" borderId="0" xfId="0" applyNumberFormat="1" applyFont="1"/>
    <xf numFmtId="37" fontId="23" fillId="0" borderId="1" xfId="0" applyFont="1" applyBorder="1" applyAlignment="1">
      <alignment horizontal="center"/>
    </xf>
    <xf numFmtId="37" fontId="23" fillId="0" borderId="0" xfId="0" applyFont="1" applyAlignment="1">
      <alignment horizontal="right"/>
    </xf>
    <xf numFmtId="37" fontId="1" fillId="0" borderId="12" xfId="0" applyFont="1" applyBorder="1" applyAlignment="1">
      <alignment horizontal="center"/>
    </xf>
    <xf numFmtId="164" fontId="23" fillId="0" borderId="3" xfId="1" applyNumberFormat="1" applyFont="1" applyBorder="1"/>
    <xf numFmtId="164" fontId="23" fillId="0" borderId="0" xfId="1" applyNumberFormat="1" applyFont="1"/>
    <xf numFmtId="37" fontId="1" fillId="0" borderId="1" xfId="0" applyFont="1" applyBorder="1" applyAlignment="1">
      <alignment horizontal="center"/>
    </xf>
    <xf numFmtId="37" fontId="1" fillId="0" borderId="23" xfId="0" applyFont="1" applyBorder="1" applyAlignment="1">
      <alignment horizontal="center"/>
    </xf>
    <xf numFmtId="41" fontId="23" fillId="0" borderId="22" xfId="8" applyFont="1" applyBorder="1"/>
    <xf numFmtId="41" fontId="1" fillId="0" borderId="12" xfId="8" applyBorder="1" applyAlignment="1">
      <alignment horizontal="center"/>
    </xf>
    <xf numFmtId="37" fontId="23" fillId="0" borderId="17" xfId="0" applyFont="1" applyBorder="1" applyAlignment="1">
      <alignment horizontal="center"/>
    </xf>
    <xf numFmtId="41" fontId="23" fillId="0" borderId="6" xfId="0" applyNumberFormat="1" applyFont="1" applyBorder="1"/>
    <xf numFmtId="37" fontId="23" fillId="0" borderId="0" xfId="0" applyFont="1" applyAlignment="1">
      <alignment horizontal="center"/>
    </xf>
    <xf numFmtId="37" fontId="1" fillId="0" borderId="3" xfId="0" applyFont="1" applyBorder="1" applyAlignment="1">
      <alignment horizontal="center"/>
    </xf>
    <xf numFmtId="164" fontId="23" fillId="0" borderId="11" xfId="1" applyNumberFormat="1" applyFont="1" applyBorder="1"/>
    <xf numFmtId="164" fontId="23" fillId="0" borderId="10" xfId="1" applyNumberFormat="1" applyFont="1" applyBorder="1"/>
    <xf numFmtId="164" fontId="23" fillId="0" borderId="3" xfId="1" applyNumberFormat="1" applyFont="1" applyFill="1" applyBorder="1"/>
    <xf numFmtId="164" fontId="23" fillId="0" borderId="9" xfId="1" applyNumberFormat="1" applyFont="1" applyBorder="1"/>
    <xf numFmtId="164" fontId="23" fillId="0" borderId="6" xfId="1" applyNumberFormat="1" applyFont="1" applyBorder="1"/>
    <xf numFmtId="37" fontId="1" fillId="0" borderId="0" xfId="0" applyFont="1" applyAlignment="1">
      <alignment horizontal="center"/>
    </xf>
    <xf numFmtId="37" fontId="1" fillId="0" borderId="2" xfId="0" applyFont="1" applyBorder="1" applyAlignment="1">
      <alignment horizontal="center"/>
    </xf>
    <xf numFmtId="41" fontId="23" fillId="0" borderId="24" xfId="8" applyFont="1" applyBorder="1"/>
    <xf numFmtId="41" fontId="23" fillId="0" borderId="10" xfId="8" applyFont="1" applyBorder="1" applyAlignment="1">
      <alignment horizontal="center"/>
    </xf>
    <xf numFmtId="41" fontId="23" fillId="0" borderId="6" xfId="8" applyFont="1" applyBorder="1" applyAlignment="1">
      <alignment horizontal="center"/>
    </xf>
    <xf numFmtId="0" fontId="1" fillId="0" borderId="9" xfId="11" applyFont="1" applyBorder="1" applyAlignment="1">
      <alignment horizontal="center"/>
    </xf>
    <xf numFmtId="37" fontId="1" fillId="0" borderId="9" xfId="0" applyFont="1" applyBorder="1" applyAlignment="1">
      <alignment horizontal="center"/>
    </xf>
    <xf numFmtId="164" fontId="1" fillId="0" borderId="9" xfId="1" applyNumberFormat="1" applyFont="1" applyBorder="1" applyAlignment="1">
      <alignment horizontal="center"/>
    </xf>
    <xf numFmtId="0" fontId="1" fillId="0" borderId="0" xfId="11" applyFont="1" applyAlignment="1" applyProtection="1">
      <alignment horizontal="right"/>
      <protection locked="0"/>
    </xf>
    <xf numFmtId="166" fontId="1" fillId="0" borderId="0" xfId="2" applyNumberFormat="1" applyFont="1"/>
    <xf numFmtId="164" fontId="1" fillId="0" borderId="0" xfId="1" applyNumberFormat="1" applyFont="1" applyBorder="1"/>
    <xf numFmtId="166" fontId="1" fillId="0" borderId="2" xfId="2" applyNumberFormat="1" applyFont="1" applyBorder="1"/>
    <xf numFmtId="0" fontId="1" fillId="0" borderId="0" xfId="11" applyFont="1" applyProtection="1">
      <protection locked="0"/>
    </xf>
    <xf numFmtId="0" fontId="1" fillId="0" borderId="28" xfId="11" applyFont="1" applyBorder="1" applyProtection="1">
      <protection locked="0"/>
    </xf>
    <xf numFmtId="0" fontId="1" fillId="0" borderId="28" xfId="11" applyFont="1" applyBorder="1"/>
    <xf numFmtId="164" fontId="1" fillId="0" borderId="4" xfId="1" applyNumberFormat="1" applyFont="1" applyBorder="1"/>
    <xf numFmtId="0" fontId="1" fillId="0" borderId="0" xfId="11" applyFont="1" applyAlignment="1">
      <alignment horizontal="right" vertical="top"/>
    </xf>
    <xf numFmtId="164" fontId="1" fillId="0" borderId="4" xfId="1" applyNumberFormat="1" applyFont="1" applyBorder="1" applyAlignment="1">
      <alignment vertical="top"/>
    </xf>
    <xf numFmtId="166" fontId="1" fillId="0" borderId="2" xfId="11" applyNumberFormat="1" applyFont="1" applyBorder="1"/>
    <xf numFmtId="166" fontId="1" fillId="0" borderId="21" xfId="2" applyNumberFormat="1" applyFont="1" applyBorder="1"/>
    <xf numFmtId="169" fontId="1" fillId="0" borderId="0" xfId="11" applyNumberFormat="1" applyFont="1"/>
    <xf numFmtId="169" fontId="1" fillId="0" borderId="0" xfId="8" applyNumberFormat="1"/>
    <xf numFmtId="37" fontId="23" fillId="0" borderId="1" xfId="0" applyFont="1" applyBorder="1"/>
    <xf numFmtId="164" fontId="1" fillId="0" borderId="1" xfId="1" applyNumberFormat="1" applyFont="1" applyBorder="1" applyAlignment="1">
      <alignment horizontal="center"/>
    </xf>
    <xf numFmtId="10" fontId="23" fillId="0" borderId="3" xfId="12" applyFont="1" applyBorder="1"/>
    <xf numFmtId="37" fontId="1" fillId="0" borderId="1" xfId="0" applyFont="1" applyBorder="1"/>
    <xf numFmtId="41" fontId="23" fillId="0" borderId="27" xfId="8" applyFont="1" applyBorder="1" applyAlignment="1">
      <alignment horizontal="center"/>
    </xf>
    <xf numFmtId="37" fontId="1" fillId="0" borderId="31" xfId="13" applyBorder="1"/>
    <xf numFmtId="0" fontId="60" fillId="0" borderId="0" xfId="11" applyFont="1"/>
    <xf numFmtId="174" fontId="1" fillId="0" borderId="31" xfId="13" applyNumberFormat="1" applyBorder="1"/>
    <xf numFmtId="37" fontId="1" fillId="0" borderId="32" xfId="13" applyBorder="1"/>
    <xf numFmtId="37" fontId="61" fillId="0" borderId="0" xfId="0" applyFont="1"/>
    <xf numFmtId="37" fontId="0" fillId="0" borderId="17" xfId="0" applyBorder="1"/>
    <xf numFmtId="38" fontId="1" fillId="0" borderId="0" xfId="10"/>
    <xf numFmtId="38" fontId="17" fillId="0" borderId="0" xfId="10" applyFont="1" applyAlignment="1">
      <alignment horizontal="center"/>
    </xf>
    <xf numFmtId="38" fontId="17" fillId="0" borderId="4" xfId="10" applyFont="1" applyBorder="1" applyAlignment="1">
      <alignment horizontal="center"/>
    </xf>
    <xf numFmtId="166" fontId="1" fillId="0" borderId="2" xfId="4" applyNumberFormat="1" applyFont="1" applyBorder="1"/>
    <xf numFmtId="166" fontId="1" fillId="0" borderId="0" xfId="4" applyNumberFormat="1" applyFont="1"/>
    <xf numFmtId="166" fontId="24" fillId="0" borderId="0" xfId="2" applyNumberFormat="1" applyFont="1" applyBorder="1"/>
    <xf numFmtId="43" fontId="0" fillId="0" borderId="0" xfId="1" applyFont="1"/>
    <xf numFmtId="41" fontId="0" fillId="0" borderId="0" xfId="8" applyFont="1" applyAlignment="1">
      <alignment horizontal="right"/>
    </xf>
    <xf numFmtId="37" fontId="52" fillId="0" borderId="4" xfId="0" applyFont="1" applyBorder="1" applyAlignment="1">
      <alignment horizontal="center"/>
    </xf>
    <xf numFmtId="164" fontId="52" fillId="0" borderId="4" xfId="1" applyNumberFormat="1" applyFont="1" applyBorder="1" applyAlignment="1">
      <alignment horizontal="center"/>
    </xf>
    <xf numFmtId="37" fontId="1" fillId="0" borderId="0" xfId="8" applyNumberFormat="1" applyAlignment="1">
      <alignment horizontal="center"/>
    </xf>
    <xf numFmtId="37" fontId="52" fillId="0" borderId="0" xfId="0" applyFont="1" applyAlignment="1">
      <alignment horizontal="center"/>
    </xf>
    <xf numFmtId="164" fontId="23" fillId="0" borderId="0" xfId="1" applyNumberFormat="1" applyFont="1" applyBorder="1"/>
    <xf numFmtId="164" fontId="23" fillId="0" borderId="4" xfId="1" applyNumberFormat="1" applyFont="1" applyBorder="1"/>
    <xf numFmtId="164" fontId="64" fillId="0" borderId="0" xfId="1" applyNumberFormat="1" applyFont="1"/>
    <xf numFmtId="37" fontId="65" fillId="0" borderId="0" xfId="0" applyFont="1"/>
    <xf numFmtId="164" fontId="1" fillId="0" borderId="0" xfId="0" applyNumberFormat="1" applyFont="1"/>
    <xf numFmtId="164" fontId="1" fillId="0" borderId="0" xfId="2" applyNumberFormat="1" applyFont="1"/>
    <xf numFmtId="164" fontId="1" fillId="0" borderId="0" xfId="10" applyNumberFormat="1"/>
    <xf numFmtId="10" fontId="23" fillId="2" borderId="0" xfId="8" applyNumberFormat="1" applyFont="1" applyFill="1" applyAlignment="1">
      <alignment horizontal="center"/>
    </xf>
    <xf numFmtId="10" fontId="23" fillId="2" borderId="4" xfId="8" applyNumberFormat="1" applyFont="1" applyFill="1" applyBorder="1" applyAlignment="1">
      <alignment horizontal="center"/>
    </xf>
    <xf numFmtId="10" fontId="52" fillId="0" borderId="0" xfId="0" applyNumberFormat="1" applyFont="1"/>
    <xf numFmtId="37" fontId="16" fillId="0" borderId="0" xfId="0" applyFont="1" applyAlignment="1">
      <alignment horizontal="left"/>
    </xf>
    <xf numFmtId="37" fontId="16" fillId="0" borderId="0" xfId="0" applyFont="1" applyAlignment="1">
      <alignment horizontal="right"/>
    </xf>
    <xf numFmtId="37" fontId="16" fillId="0" borderId="0" xfId="0" applyFont="1" applyAlignment="1">
      <alignment horizontal="center"/>
    </xf>
    <xf numFmtId="37" fontId="16" fillId="0" borderId="4" xfId="0" applyFont="1" applyBorder="1" applyAlignment="1">
      <alignment horizontal="center"/>
    </xf>
    <xf numFmtId="37" fontId="16" fillId="0" borderId="2" xfId="0" applyFont="1" applyBorder="1" applyAlignment="1">
      <alignment horizontal="center"/>
    </xf>
    <xf numFmtId="37" fontId="67" fillId="0" borderId="0" xfId="0" applyFont="1" applyAlignment="1">
      <alignment horizontal="center"/>
    </xf>
    <xf numFmtId="41" fontId="23" fillId="2" borderId="19" xfId="8" applyFont="1" applyFill="1" applyBorder="1" applyAlignment="1">
      <alignment horizontal="center"/>
    </xf>
    <xf numFmtId="41" fontId="23" fillId="2" borderId="4" xfId="8" applyFont="1" applyFill="1" applyBorder="1"/>
    <xf numFmtId="41" fontId="23" fillId="2" borderId="20" xfId="8" applyFont="1" applyFill="1" applyBorder="1" applyAlignment="1">
      <alignment horizontal="left"/>
    </xf>
    <xf numFmtId="37" fontId="68" fillId="0" borderId="0" xfId="0" applyFont="1"/>
    <xf numFmtId="166" fontId="0" fillId="0" borderId="0" xfId="2" applyNumberFormat="1" applyFont="1"/>
    <xf numFmtId="166" fontId="0" fillId="0" borderId="2" xfId="2" applyNumberFormat="1" applyFont="1" applyBorder="1"/>
    <xf numFmtId="166" fontId="0" fillId="0" borderId="0" xfId="2" applyNumberFormat="1" applyFont="1" applyBorder="1"/>
    <xf numFmtId="166" fontId="0" fillId="0" borderId="4" xfId="2" applyNumberFormat="1" applyFont="1" applyBorder="1"/>
    <xf numFmtId="49" fontId="69" fillId="0" borderId="0" xfId="0" applyNumberFormat="1" applyFont="1"/>
    <xf numFmtId="37" fontId="71" fillId="0" borderId="0" xfId="0" applyFont="1"/>
    <xf numFmtId="0" fontId="1" fillId="0" borderId="0" xfId="0" applyNumberFormat="1" applyFont="1"/>
    <xf numFmtId="41" fontId="8" fillId="0" borderId="9" xfId="8" applyFont="1" applyBorder="1" applyAlignment="1">
      <alignment horizontal="center"/>
    </xf>
    <xf numFmtId="37" fontId="23" fillId="0" borderId="9" xfId="0" applyFont="1" applyBorder="1"/>
    <xf numFmtId="164" fontId="9" fillId="0" borderId="9" xfId="1" applyNumberFormat="1" applyFont="1" applyBorder="1" applyAlignment="1">
      <alignment horizontal="center"/>
    </xf>
    <xf numFmtId="37" fontId="9" fillId="0" borderId="9" xfId="0" applyFont="1" applyBorder="1"/>
    <xf numFmtId="0" fontId="17" fillId="0" borderId="0" xfId="5" applyFont="1"/>
    <xf numFmtId="0" fontId="6" fillId="0" borderId="0" xfId="5" applyFont="1"/>
    <xf numFmtId="14" fontId="61" fillId="0" borderId="0" xfId="7" applyNumberFormat="1" applyFont="1"/>
    <xf numFmtId="37" fontId="66" fillId="6" borderId="0" xfId="0" applyFont="1" applyFill="1"/>
    <xf numFmtId="37" fontId="0" fillId="6" borderId="0" xfId="0" applyFill="1"/>
    <xf numFmtId="37" fontId="0" fillId="0" borderId="0" xfId="0" applyAlignment="1">
      <alignment horizontal="right" indent="1"/>
    </xf>
    <xf numFmtId="164" fontId="52" fillId="0" borderId="0" xfId="1" applyNumberFormat="1" applyFont="1" applyFill="1"/>
    <xf numFmtId="41" fontId="73" fillId="2" borderId="0" xfId="8" applyFont="1" applyFill="1"/>
    <xf numFmtId="41" fontId="73" fillId="0" borderId="1" xfId="8" applyFont="1" applyBorder="1" applyAlignment="1">
      <alignment horizontal="center"/>
    </xf>
    <xf numFmtId="41" fontId="73" fillId="0" borderId="0" xfId="8" applyFont="1" applyAlignment="1">
      <alignment horizontal="left"/>
    </xf>
    <xf numFmtId="37" fontId="73" fillId="0" borderId="0" xfId="0" applyFont="1"/>
    <xf numFmtId="37" fontId="73" fillId="0" borderId="0" xfId="0" applyFont="1" applyAlignment="1">
      <alignment horizontal="center"/>
    </xf>
    <xf numFmtId="41" fontId="73" fillId="0" borderId="6" xfId="8" applyFont="1" applyBorder="1"/>
    <xf numFmtId="41" fontId="73" fillId="0" borderId="0" xfId="8" applyFont="1"/>
    <xf numFmtId="164" fontId="73" fillId="0" borderId="0" xfId="1" applyNumberFormat="1" applyFont="1"/>
    <xf numFmtId="164" fontId="73" fillId="0" borderId="6" xfId="1" applyNumberFormat="1" applyFont="1" applyBorder="1"/>
    <xf numFmtId="164" fontId="36" fillId="0" borderId="0" xfId="8" applyNumberFormat="1" applyFont="1" applyAlignment="1">
      <alignment horizontal="left"/>
    </xf>
    <xf numFmtId="166" fontId="18" fillId="0" borderId="0" xfId="4" applyNumberFormat="1"/>
    <xf numFmtId="164" fontId="63" fillId="0" borderId="0" xfId="1" applyNumberFormat="1" applyFont="1"/>
    <xf numFmtId="49" fontId="63" fillId="0" borderId="0" xfId="0" applyNumberFormat="1" applyFont="1"/>
    <xf numFmtId="166" fontId="63" fillId="0" borderId="0" xfId="2" applyNumberFormat="1" applyFont="1"/>
    <xf numFmtId="10" fontId="63" fillId="0" borderId="0" xfId="12" applyFont="1"/>
    <xf numFmtId="0" fontId="63" fillId="0" borderId="0" xfId="0" applyNumberFormat="1" applyFont="1"/>
    <xf numFmtId="164" fontId="63" fillId="0" borderId="0" xfId="1" applyNumberFormat="1" applyFont="1" applyBorder="1"/>
    <xf numFmtId="164" fontId="63" fillId="0" borderId="4" xfId="1" applyNumberFormat="1" applyFont="1" applyBorder="1"/>
    <xf numFmtId="10" fontId="63" fillId="0" borderId="0" xfId="12" applyFont="1" applyBorder="1"/>
    <xf numFmtId="10" fontId="63" fillId="0" borderId="4" xfId="12" applyFont="1" applyBorder="1"/>
    <xf numFmtId="37" fontId="63" fillId="0" borderId="0" xfId="0" applyFont="1"/>
    <xf numFmtId="49" fontId="63" fillId="0" borderId="0" xfId="0" applyNumberFormat="1" applyFont="1" applyAlignment="1">
      <alignment horizontal="right"/>
    </xf>
    <xf numFmtId="41" fontId="0" fillId="2" borderId="0" xfId="8" applyFont="1" applyFill="1"/>
    <xf numFmtId="41" fontId="0" fillId="0" borderId="0" xfId="8" applyFont="1"/>
    <xf numFmtId="41" fontId="0" fillId="0" borderId="0" xfId="8" applyFont="1" applyAlignment="1">
      <alignment horizontal="center"/>
    </xf>
    <xf numFmtId="41" fontId="0" fillId="0" borderId="27" xfId="8" applyFont="1" applyBorder="1" applyAlignment="1">
      <alignment horizontal="center"/>
    </xf>
    <xf numFmtId="164" fontId="0" fillId="0" borderId="3" xfId="1" applyNumberFormat="1" applyFont="1" applyBorder="1"/>
    <xf numFmtId="41" fontId="0" fillId="0" borderId="3" xfId="8" applyFont="1" applyBorder="1"/>
    <xf numFmtId="41" fontId="0" fillId="0" borderId="2" xfId="8" applyFont="1" applyBorder="1"/>
    <xf numFmtId="41" fontId="0" fillId="3" borderId="15" xfId="8" applyFont="1" applyFill="1" applyBorder="1"/>
    <xf numFmtId="171" fontId="0" fillId="2" borderId="0" xfId="8" applyNumberFormat="1" applyFont="1" applyFill="1"/>
    <xf numFmtId="41" fontId="0" fillId="2" borderId="0" xfId="8" applyFont="1" applyFill="1" applyAlignment="1">
      <alignment horizontal="right"/>
    </xf>
    <xf numFmtId="41" fontId="0" fillId="0" borderId="6" xfId="8" applyFont="1" applyBorder="1"/>
    <xf numFmtId="41" fontId="0" fillId="3" borderId="14" xfId="8" applyFont="1" applyFill="1" applyBorder="1"/>
    <xf numFmtId="41" fontId="0" fillId="0" borderId="33" xfId="8" applyFont="1" applyBorder="1"/>
    <xf numFmtId="164" fontId="0" fillId="0" borderId="34" xfId="1" applyNumberFormat="1" applyFont="1" applyBorder="1"/>
    <xf numFmtId="164" fontId="0" fillId="0" borderId="33" xfId="1" applyNumberFormat="1" applyFont="1" applyBorder="1"/>
    <xf numFmtId="164" fontId="73" fillId="0" borderId="33" xfId="1" applyNumberFormat="1" applyFont="1" applyBorder="1"/>
    <xf numFmtId="41" fontId="0" fillId="0" borderId="34" xfId="8" applyFont="1" applyBorder="1"/>
    <xf numFmtId="41" fontId="0" fillId="0" borderId="35" xfId="8" applyFont="1" applyBorder="1"/>
    <xf numFmtId="41" fontId="23" fillId="0" borderId="36" xfId="8" applyFont="1" applyBorder="1"/>
    <xf numFmtId="41" fontId="0" fillId="3" borderId="37" xfId="8" applyFont="1" applyFill="1" applyBorder="1"/>
    <xf numFmtId="41" fontId="1" fillId="0" borderId="27" xfId="8" applyBorder="1" applyAlignment="1">
      <alignment horizontal="center"/>
    </xf>
    <xf numFmtId="37" fontId="75" fillId="0" borderId="0" xfId="0" applyFont="1"/>
    <xf numFmtId="37" fontId="76" fillId="0" borderId="1" xfId="0" applyFont="1" applyBorder="1" applyAlignment="1">
      <alignment horizontal="center"/>
    </xf>
    <xf numFmtId="41" fontId="23" fillId="0" borderId="38" xfId="8" applyFont="1" applyBorder="1"/>
    <xf numFmtId="41" fontId="36" fillId="0" borderId="38" xfId="8" applyFont="1" applyBorder="1"/>
    <xf numFmtId="164" fontId="23" fillId="0" borderId="39" xfId="1" applyNumberFormat="1" applyFont="1" applyBorder="1"/>
    <xf numFmtId="41" fontId="73" fillId="0" borderId="38" xfId="8" applyFont="1" applyBorder="1"/>
    <xf numFmtId="41" fontId="23" fillId="0" borderId="39" xfId="8" applyFont="1" applyBorder="1"/>
    <xf numFmtId="164" fontId="23" fillId="0" borderId="38" xfId="1" applyNumberFormat="1" applyFont="1" applyBorder="1"/>
    <xf numFmtId="41" fontId="23" fillId="0" borderId="40" xfId="8" applyFont="1" applyBorder="1"/>
    <xf numFmtId="41" fontId="23" fillId="0" borderId="39" xfId="8" applyFont="1" applyBorder="1" applyAlignment="1">
      <alignment horizontal="center"/>
    </xf>
    <xf numFmtId="41" fontId="23" fillId="0" borderId="38" xfId="8" applyFont="1" applyBorder="1" applyAlignment="1">
      <alignment horizontal="center"/>
    </xf>
    <xf numFmtId="41" fontId="23" fillId="0" borderId="41" xfId="8" applyFont="1" applyBorder="1"/>
    <xf numFmtId="164" fontId="73" fillId="0" borderId="38" xfId="1" applyNumberFormat="1" applyFont="1" applyBorder="1"/>
    <xf numFmtId="41" fontId="37" fillId="0" borderId="38" xfId="6" applyFont="1" applyBorder="1" applyAlignment="1">
      <alignment horizontal="center"/>
    </xf>
    <xf numFmtId="41" fontId="23" fillId="3" borderId="42" xfId="8" applyFont="1" applyFill="1" applyBorder="1"/>
    <xf numFmtId="41" fontId="23" fillId="0" borderId="38" xfId="0" applyNumberFormat="1" applyFont="1" applyBorder="1"/>
    <xf numFmtId="164" fontId="23" fillId="0" borderId="39" xfId="1" applyNumberFormat="1" applyFont="1" applyFill="1" applyBorder="1"/>
    <xf numFmtId="41" fontId="0" fillId="0" borderId="12" xfId="8" applyFont="1" applyBorder="1"/>
    <xf numFmtId="41" fontId="0" fillId="0" borderId="38" xfId="8" applyFont="1" applyBorder="1"/>
    <xf numFmtId="164" fontId="0" fillId="0" borderId="39" xfId="1" applyNumberFormat="1" applyFont="1" applyBorder="1"/>
    <xf numFmtId="164" fontId="0" fillId="0" borderId="38" xfId="1" applyNumberFormat="1" applyFont="1" applyBorder="1"/>
    <xf numFmtId="41" fontId="0" fillId="0" borderId="39" xfId="8" applyFont="1" applyBorder="1"/>
    <xf numFmtId="41" fontId="0" fillId="0" borderId="40" xfId="8" applyFont="1" applyBorder="1"/>
    <xf numFmtId="41" fontId="0" fillId="3" borderId="42" xfId="8" applyFont="1" applyFill="1" applyBorder="1"/>
    <xf numFmtId="166" fontId="52" fillId="0" borderId="31" xfId="2" applyNumberFormat="1" applyFont="1" applyBorder="1"/>
    <xf numFmtId="37" fontId="10" fillId="0" borderId="0" xfId="0" applyFont="1"/>
    <xf numFmtId="9" fontId="23" fillId="2" borderId="0" xfId="8" applyNumberFormat="1" applyFont="1" applyFill="1"/>
    <xf numFmtId="0" fontId="12" fillId="0" borderId="0" xfId="7" applyFont="1" applyAlignment="1">
      <alignment horizontal="center"/>
    </xf>
    <xf numFmtId="0" fontId="2" fillId="0" borderId="0" xfId="7" applyFont="1" applyAlignment="1">
      <alignment horizontal="center"/>
    </xf>
    <xf numFmtId="0" fontId="8" fillId="0" borderId="3" xfId="7" applyFont="1" applyBorder="1" applyAlignment="1">
      <alignment horizontal="center"/>
    </xf>
    <xf numFmtId="0" fontId="72" fillId="0" borderId="0" xfId="7" quotePrefix="1" applyFont="1" applyAlignment="1">
      <alignment horizontal="center"/>
    </xf>
    <xf numFmtId="0" fontId="72" fillId="0" borderId="0" xfId="7" applyFont="1" applyAlignment="1">
      <alignment horizontal="center"/>
    </xf>
    <xf numFmtId="168" fontId="8" fillId="3" borderId="11" xfId="8" applyNumberFormat="1" applyFont="1" applyFill="1" applyBorder="1" applyAlignment="1">
      <alignment horizontal="center"/>
    </xf>
    <xf numFmtId="168" fontId="8" fillId="3" borderId="12" xfId="8" applyNumberFormat="1" applyFont="1" applyFill="1" applyBorder="1" applyAlignment="1">
      <alignment horizontal="center"/>
    </xf>
    <xf numFmtId="37" fontId="46" fillId="0" borderId="0" xfId="0" applyFont="1" applyAlignment="1">
      <alignment horizontal="center"/>
    </xf>
    <xf numFmtId="37" fontId="51" fillId="0" borderId="4" xfId="0" applyFont="1" applyBorder="1" applyAlignment="1">
      <alignment horizontal="center"/>
    </xf>
    <xf numFmtId="37" fontId="49" fillId="0" borderId="4" xfId="0" applyFont="1" applyBorder="1" applyAlignment="1">
      <alignment horizontal="center"/>
    </xf>
    <xf numFmtId="37" fontId="75" fillId="0" borderId="0" xfId="0" applyFont="1"/>
    <xf numFmtId="37" fontId="17" fillId="0" borderId="0" xfId="0" applyFont="1" applyAlignment="1">
      <alignment horizontal="center"/>
    </xf>
    <xf numFmtId="37" fontId="8" fillId="0" borderId="0" xfId="0" applyFont="1" applyAlignment="1">
      <alignment horizontal="center"/>
    </xf>
    <xf numFmtId="0" fontId="6" fillId="0" borderId="0" xfId="11" applyFont="1" applyAlignment="1">
      <alignment horizontal="left"/>
    </xf>
    <xf numFmtId="0" fontId="17" fillId="0" borderId="19" xfId="0" applyNumberFormat="1" applyFont="1" applyBorder="1" applyAlignment="1">
      <alignment horizontal="center"/>
    </xf>
    <xf numFmtId="0" fontId="17" fillId="0" borderId="20" xfId="0" applyNumberFormat="1" applyFont="1" applyBorder="1" applyAlignment="1">
      <alignment horizontal="center"/>
    </xf>
    <xf numFmtId="37" fontId="17" fillId="0" borderId="4" xfId="0" applyFont="1" applyBorder="1" applyAlignment="1">
      <alignment horizontal="center"/>
    </xf>
    <xf numFmtId="37" fontId="2" fillId="0" borderId="0" xfId="0" applyFont="1" applyAlignment="1">
      <alignment horizontal="center"/>
    </xf>
    <xf numFmtId="37" fontId="10" fillId="0" borderId="0" xfId="0" applyFont="1" applyAlignment="1">
      <alignment horizontal="center"/>
    </xf>
    <xf numFmtId="37" fontId="70" fillId="0" borderId="0" xfId="0" applyFont="1" applyAlignment="1">
      <alignment horizontal="center"/>
    </xf>
  </cellXfs>
  <cellStyles count="15">
    <cellStyle name="Comma" xfId="1" builtinId="3"/>
    <cellStyle name="Currency" xfId="2" builtinId="4"/>
    <cellStyle name="Date" xfId="3" xr:uid="{00000000-0005-0000-0000-000002000000}"/>
    <cellStyle name="Normal" xfId="0" builtinId="0"/>
    <cellStyle name="Normal 2 2" xfId="14" xr:uid="{6A431C72-F78F-4510-BE74-2A20C4509DB3}"/>
    <cellStyle name="Normal_Adjusted Rainer04 2001" xfId="13" xr:uid="{00000000-0005-0000-0000-000004000000}"/>
    <cellStyle name="Normal_balance sheet" xfId="4" xr:uid="{00000000-0005-0000-0000-000005000000}"/>
    <cellStyle name="Normal_Bench response 01" xfId="5" xr:uid="{00000000-0005-0000-0000-000006000000}"/>
    <cellStyle name="Normal_Book3" xfId="6" xr:uid="{00000000-0005-0000-0000-000007000000}"/>
    <cellStyle name="Normal_Cover3" xfId="7" xr:uid="{00000000-0005-0000-0000-000008000000}"/>
    <cellStyle name="Normal_Inc. Stmt." xfId="8" xr:uid="{00000000-0005-0000-0000-00000A000000}"/>
    <cellStyle name="Normal_Sheet2" xfId="9" xr:uid="{00000000-0005-0000-0000-00000C000000}"/>
    <cellStyle name="Normal_Sheet3" xfId="10" xr:uid="{00000000-0005-0000-0000-00000D000000}"/>
    <cellStyle name="Normal_Working capital computation 2 12 2001" xfId="11" xr:uid="{00000000-0005-0000-0000-00000E000000}"/>
    <cellStyle name="Percent" xfId="1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59"/>
  <sheetViews>
    <sheetView showGridLines="0" tabSelected="1" zoomScale="90" zoomScaleNormal="90" workbookViewId="0">
      <selection activeCell="B8" sqref="B8:H8"/>
    </sheetView>
  </sheetViews>
  <sheetFormatPr defaultColWidth="9" defaultRowHeight="12.75" x14ac:dyDescent="0.2"/>
  <cols>
    <col min="1" max="1" width="9" style="19"/>
    <col min="2" max="2" width="40.25" style="19" customWidth="1"/>
    <col min="3" max="3" width="10.5" style="19" customWidth="1"/>
    <col min="4" max="16384" width="9" style="19"/>
  </cols>
  <sheetData>
    <row r="1" spans="1:1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">
      <c r="A2" s="18"/>
      <c r="B2" s="131" t="s">
        <v>0</v>
      </c>
      <c r="C2" s="20"/>
      <c r="D2" s="18"/>
      <c r="E2" s="18"/>
      <c r="F2" s="18"/>
      <c r="G2" s="18"/>
      <c r="H2" s="18"/>
      <c r="I2" s="18"/>
      <c r="J2" s="18"/>
      <c r="K2" s="18"/>
    </row>
    <row r="3" spans="1:11" x14ac:dyDescent="0.2">
      <c r="A3" s="18"/>
      <c r="I3" s="18"/>
      <c r="J3" s="18"/>
      <c r="K3" s="18"/>
    </row>
    <row r="4" spans="1:11" x14ac:dyDescent="0.2">
      <c r="A4" s="18"/>
      <c r="I4" s="18"/>
      <c r="J4" s="18"/>
      <c r="K4" s="18"/>
    </row>
    <row r="5" spans="1:11" x14ac:dyDescent="0.2">
      <c r="A5" s="18"/>
      <c r="I5" s="18"/>
      <c r="J5" s="18"/>
      <c r="K5" s="18"/>
    </row>
    <row r="6" spans="1:11" x14ac:dyDescent="0.2">
      <c r="A6" s="18"/>
      <c r="I6" s="18"/>
      <c r="J6" s="18"/>
      <c r="K6" s="18"/>
    </row>
    <row r="7" spans="1:11" x14ac:dyDescent="0.2">
      <c r="A7" s="18"/>
      <c r="I7" s="18"/>
      <c r="J7" s="18"/>
      <c r="K7" s="18"/>
    </row>
    <row r="8" spans="1:11" ht="29.25" x14ac:dyDescent="0.5">
      <c r="A8" s="18"/>
      <c r="B8" s="445" t="s">
        <v>1</v>
      </c>
      <c r="C8" s="445"/>
      <c r="D8" s="445"/>
      <c r="E8" s="445"/>
      <c r="F8" s="445"/>
      <c r="G8" s="445"/>
      <c r="H8" s="445"/>
      <c r="I8" s="18"/>
      <c r="J8" s="18"/>
      <c r="K8" s="18"/>
    </row>
    <row r="9" spans="1:11" ht="33.75" x14ac:dyDescent="0.5">
      <c r="A9" s="18"/>
      <c r="B9" s="21" t="s">
        <v>2</v>
      </c>
      <c r="C9" s="22"/>
      <c r="D9" s="22"/>
      <c r="E9" s="22"/>
      <c r="F9" s="22"/>
      <c r="G9" s="22"/>
      <c r="H9" s="22"/>
      <c r="I9" s="18"/>
      <c r="J9" s="18"/>
      <c r="K9" s="18"/>
    </row>
    <row r="10" spans="1:11" ht="23.25" x14ac:dyDescent="0.35">
      <c r="A10" s="18"/>
      <c r="B10" s="23" t="s">
        <v>3</v>
      </c>
      <c r="C10" s="24"/>
      <c r="D10" s="24"/>
      <c r="E10" s="24"/>
      <c r="F10" s="24"/>
      <c r="G10" s="24"/>
      <c r="H10" s="24"/>
      <c r="I10" s="18"/>
      <c r="J10" s="18"/>
      <c r="K10" s="18"/>
    </row>
    <row r="11" spans="1:11" x14ac:dyDescent="0.2">
      <c r="A11" s="18"/>
      <c r="I11" s="18"/>
      <c r="J11" s="18"/>
      <c r="K11" s="18"/>
    </row>
    <row r="12" spans="1:11" ht="14.25" x14ac:dyDescent="0.2">
      <c r="A12" s="18"/>
      <c r="B12" s="446" t="s">
        <v>4</v>
      </c>
      <c r="C12" s="446"/>
      <c r="D12" s="446"/>
      <c r="E12" s="446"/>
      <c r="F12" s="446"/>
      <c r="G12" s="446"/>
      <c r="H12" s="446"/>
      <c r="I12" s="18"/>
      <c r="J12" s="18"/>
      <c r="K12" s="18"/>
    </row>
    <row r="13" spans="1:11" x14ac:dyDescent="0.2">
      <c r="A13" s="18"/>
      <c r="I13" s="18"/>
      <c r="J13" s="18"/>
      <c r="K13" s="18"/>
    </row>
    <row r="14" spans="1:11" x14ac:dyDescent="0.2">
      <c r="A14" s="18"/>
      <c r="I14" s="18"/>
      <c r="J14" s="18"/>
      <c r="K14" s="18"/>
    </row>
    <row r="15" spans="1:11" x14ac:dyDescent="0.2">
      <c r="A15" s="18"/>
      <c r="I15" s="18"/>
      <c r="J15" s="18"/>
      <c r="K15" s="18"/>
    </row>
    <row r="16" spans="1:11" x14ac:dyDescent="0.2">
      <c r="A16" s="18"/>
      <c r="I16" s="18"/>
      <c r="J16" s="18"/>
      <c r="K16" s="18"/>
    </row>
    <row r="17" spans="1:11" ht="15.75" x14ac:dyDescent="0.25">
      <c r="A17" s="18"/>
      <c r="B17" s="25"/>
      <c r="C17" s="25"/>
      <c r="D17" s="25"/>
      <c r="E17" s="25"/>
      <c r="F17" s="25"/>
      <c r="G17" s="25"/>
      <c r="H17" s="25"/>
      <c r="I17" s="18"/>
      <c r="J17" s="18"/>
      <c r="K17" s="18"/>
    </row>
    <row r="18" spans="1:11" x14ac:dyDescent="0.2">
      <c r="A18" s="18"/>
      <c r="I18" s="18"/>
      <c r="J18" s="18"/>
      <c r="K18" s="18"/>
    </row>
    <row r="19" spans="1:11" x14ac:dyDescent="0.2">
      <c r="A19" s="18"/>
      <c r="I19" s="18"/>
      <c r="J19" s="18"/>
      <c r="K19" s="18"/>
    </row>
    <row r="20" spans="1:11" x14ac:dyDescent="0.2">
      <c r="A20" s="18"/>
      <c r="B20" s="39"/>
      <c r="I20" s="18"/>
      <c r="J20" s="18"/>
      <c r="K20" s="18"/>
    </row>
    <row r="21" spans="1:11" x14ac:dyDescent="0.2">
      <c r="A21" s="18"/>
      <c r="B21" s="448"/>
      <c r="C21" s="449"/>
      <c r="D21" s="449"/>
      <c r="E21" s="449"/>
      <c r="F21" s="449"/>
      <c r="G21" s="449"/>
      <c r="H21" s="449"/>
      <c r="I21" s="18"/>
      <c r="J21" s="18"/>
      <c r="K21" s="18"/>
    </row>
    <row r="22" spans="1:11" x14ac:dyDescent="0.2">
      <c r="A22" s="18"/>
      <c r="B22" s="449"/>
      <c r="C22" s="449"/>
      <c r="D22" s="449"/>
      <c r="E22" s="449"/>
      <c r="F22" s="449"/>
      <c r="G22" s="449"/>
      <c r="H22" s="449"/>
      <c r="I22" s="18"/>
      <c r="J22" s="18"/>
      <c r="K22" s="18"/>
    </row>
    <row r="23" spans="1:11" x14ac:dyDescent="0.2">
      <c r="A23" s="18"/>
      <c r="C23" s="370"/>
      <c r="I23" s="18"/>
      <c r="J23" s="18"/>
      <c r="K23" s="18"/>
    </row>
    <row r="24" spans="1:11" x14ac:dyDescent="0.2">
      <c r="A24" s="18"/>
      <c r="I24" s="18"/>
      <c r="J24" s="18"/>
      <c r="K24" s="18"/>
    </row>
    <row r="25" spans="1:11" x14ac:dyDescent="0.2">
      <c r="A25" s="18"/>
      <c r="I25" s="18"/>
      <c r="J25" s="18"/>
      <c r="K25" s="18"/>
    </row>
    <row r="26" spans="1:11" ht="29.25" x14ac:dyDescent="0.5">
      <c r="A26" s="18"/>
      <c r="B26" s="445"/>
      <c r="C26" s="445"/>
      <c r="D26" s="445"/>
      <c r="E26" s="445"/>
      <c r="F26" s="445"/>
      <c r="G26" s="445"/>
      <c r="H26" s="445"/>
      <c r="I26" s="18"/>
      <c r="J26" s="18"/>
      <c r="K26" s="18"/>
    </row>
    <row r="27" spans="1:11" ht="15.75" x14ac:dyDescent="0.25">
      <c r="A27" s="18"/>
      <c r="B27" s="447"/>
      <c r="C27" s="447"/>
      <c r="D27" s="447"/>
      <c r="E27" s="447"/>
      <c r="F27" s="447"/>
      <c r="G27" s="447"/>
      <c r="H27" s="447"/>
      <c r="I27" s="18"/>
      <c r="J27" s="18"/>
      <c r="K27" s="18"/>
    </row>
    <row r="28" spans="1:11" x14ac:dyDescent="0.2">
      <c r="A28" s="18"/>
      <c r="I28" s="18"/>
      <c r="J28" s="18"/>
      <c r="K28" s="18"/>
    </row>
    <row r="29" spans="1:11" x14ac:dyDescent="0.2">
      <c r="A29" s="18"/>
      <c r="I29" s="18"/>
      <c r="J29" s="18"/>
      <c r="K29" s="18"/>
    </row>
    <row r="30" spans="1:11" x14ac:dyDescent="0.2">
      <c r="A30" s="18"/>
      <c r="I30" s="18"/>
      <c r="J30" s="18"/>
      <c r="K30" s="18"/>
    </row>
    <row r="31" spans="1:11" x14ac:dyDescent="0.2">
      <c r="A31" s="18"/>
      <c r="I31" s="18"/>
      <c r="J31" s="18"/>
      <c r="K31" s="18"/>
    </row>
    <row r="32" spans="1:11" x14ac:dyDescent="0.2">
      <c r="A32" s="18"/>
      <c r="I32" s="18"/>
      <c r="J32" s="18"/>
      <c r="K32" s="18"/>
    </row>
    <row r="33" spans="1:11" x14ac:dyDescent="0.2">
      <c r="A33" s="18"/>
      <c r="I33" s="18"/>
      <c r="J33" s="18"/>
      <c r="K33" s="18"/>
    </row>
    <row r="34" spans="1:11" x14ac:dyDescent="0.2">
      <c r="A34" s="18"/>
      <c r="I34" s="18"/>
      <c r="J34" s="18"/>
      <c r="K34" s="18"/>
    </row>
    <row r="35" spans="1:11" x14ac:dyDescent="0.2">
      <c r="A35" s="18"/>
      <c r="I35" s="18"/>
      <c r="J35" s="18"/>
      <c r="K35" s="18"/>
    </row>
    <row r="36" spans="1:11" x14ac:dyDescent="0.2">
      <c r="A36" s="18"/>
      <c r="I36" s="18"/>
      <c r="J36" s="18"/>
      <c r="K36" s="18"/>
    </row>
    <row r="37" spans="1:11" x14ac:dyDescent="0.2">
      <c r="A37" s="18"/>
      <c r="I37" s="18"/>
      <c r="J37" s="18"/>
      <c r="K37" s="18"/>
    </row>
    <row r="38" spans="1:11" x14ac:dyDescent="0.2">
      <c r="A38" s="18"/>
      <c r="I38" s="18"/>
      <c r="J38" s="18"/>
      <c r="K38" s="18"/>
    </row>
    <row r="39" spans="1:11" x14ac:dyDescent="0.2">
      <c r="A39" s="18"/>
      <c r="I39" s="18"/>
      <c r="J39" s="18"/>
      <c r="K39" s="18"/>
    </row>
    <row r="40" spans="1:11" x14ac:dyDescent="0.2">
      <c r="A40" s="18"/>
      <c r="I40" s="18"/>
      <c r="J40" s="18"/>
      <c r="K40" s="18"/>
    </row>
    <row r="41" spans="1:11" x14ac:dyDescent="0.2">
      <c r="A41" s="18"/>
      <c r="I41" s="18"/>
      <c r="J41" s="18"/>
      <c r="K41" s="18"/>
    </row>
    <row r="42" spans="1:11" x14ac:dyDescent="0.2">
      <c r="A42" s="18"/>
      <c r="I42" s="18"/>
      <c r="J42" s="18"/>
      <c r="K42" s="18"/>
    </row>
    <row r="43" spans="1:11" x14ac:dyDescent="0.2">
      <c r="A43" s="18"/>
      <c r="I43" s="18"/>
      <c r="J43" s="18"/>
      <c r="K43" s="18"/>
    </row>
    <row r="44" spans="1:11" x14ac:dyDescent="0.2">
      <c r="A44" s="18"/>
      <c r="I44" s="18"/>
      <c r="J44" s="18"/>
      <c r="K44" s="18"/>
    </row>
    <row r="45" spans="1:11" x14ac:dyDescent="0.2">
      <c r="A45" s="18"/>
      <c r="I45" s="18"/>
      <c r="J45" s="18"/>
      <c r="K45" s="18"/>
    </row>
    <row r="46" spans="1:11" x14ac:dyDescent="0.2">
      <c r="A46" s="18"/>
      <c r="I46" s="18"/>
      <c r="J46" s="18"/>
      <c r="K46" s="18"/>
    </row>
    <row r="47" spans="1:11" x14ac:dyDescent="0.2">
      <c r="A47" s="18"/>
      <c r="I47" s="18"/>
      <c r="J47" s="18"/>
      <c r="K47" s="18"/>
    </row>
    <row r="48" spans="1:11" x14ac:dyDescent="0.2">
      <c r="A48" s="18"/>
      <c r="I48" s="18"/>
      <c r="J48" s="18"/>
      <c r="K48" s="18"/>
    </row>
    <row r="49" spans="1:11" x14ac:dyDescent="0.2">
      <c r="A49" s="18"/>
      <c r="I49" s="18"/>
      <c r="J49" s="18"/>
      <c r="K49" s="18"/>
    </row>
    <row r="50" spans="1:11" x14ac:dyDescent="0.2">
      <c r="A50" s="18"/>
      <c r="I50" s="18"/>
      <c r="J50" s="18"/>
      <c r="K50" s="18"/>
    </row>
    <row r="51" spans="1:11" x14ac:dyDescent="0.2">
      <c r="A51" s="18"/>
      <c r="D51" s="62"/>
      <c r="I51" s="18"/>
      <c r="J51" s="18"/>
      <c r="K51" s="18"/>
    </row>
    <row r="52" spans="1:11" x14ac:dyDescent="0.2">
      <c r="A52" s="18"/>
      <c r="B52" s="63"/>
      <c r="D52" s="62"/>
      <c r="I52" s="18"/>
      <c r="J52" s="18"/>
      <c r="K52" s="18"/>
    </row>
    <row r="53" spans="1:11" x14ac:dyDescent="0.2">
      <c r="A53" s="18"/>
      <c r="B53" s="63"/>
      <c r="D53" s="62"/>
      <c r="H53" s="26"/>
      <c r="I53" s="18"/>
      <c r="J53" s="18"/>
      <c r="K53" s="18"/>
    </row>
    <row r="54" spans="1:1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</sheetData>
  <mergeCells count="5">
    <mergeCell ref="B8:H8"/>
    <mergeCell ref="B12:H12"/>
    <mergeCell ref="B26:H26"/>
    <mergeCell ref="B27:H27"/>
    <mergeCell ref="B21:H22"/>
  </mergeCells>
  <phoneticPr fontId="0" type="noConversion"/>
  <printOptions horizontalCentered="1" gridLinesSet="0"/>
  <pageMargins left="0.25" right="0.25" top="0.98425196850393704" bottom="0.28999999999999998" header="0.51181102362204722" footer="0.16"/>
  <pageSetup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>
    <pageSetUpPr fitToPage="1"/>
  </sheetPr>
  <dimension ref="A1:L59"/>
  <sheetViews>
    <sheetView showGridLines="0" topLeftCell="A20" zoomScale="110" zoomScaleNormal="110" workbookViewId="0"/>
  </sheetViews>
  <sheetFormatPr defaultColWidth="10.5" defaultRowHeight="15.75" x14ac:dyDescent="0.25"/>
  <cols>
    <col min="1" max="1" width="10.5" style="42" customWidth="1"/>
    <col min="2" max="2" width="5" customWidth="1"/>
    <col min="3" max="3" width="3.25" customWidth="1"/>
    <col min="4" max="4" width="24.625" style="43" customWidth="1"/>
    <col min="5" max="5" width="8.125" style="43" customWidth="1"/>
    <col min="6" max="6" width="3.375" style="43" customWidth="1"/>
    <col min="7" max="7" width="10.625" style="43" customWidth="1"/>
    <col min="8" max="8" width="1.5" style="43" customWidth="1"/>
    <col min="9" max="9" width="10.125" style="43" customWidth="1"/>
    <col min="10" max="10" width="7.375" style="43" customWidth="1"/>
    <col min="11" max="11" width="13.75" style="43" customWidth="1"/>
    <col min="12" max="12" width="17.875" style="43" customWidth="1"/>
    <col min="13" max="16384" width="10.5" style="43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221" t="str">
        <f>+cover!B8</f>
        <v>Summit View Water Works LLC</v>
      </c>
      <c r="C3" s="27"/>
      <c r="D3" s="44"/>
      <c r="E3" s="44"/>
      <c r="F3" s="44"/>
      <c r="G3" s="44"/>
      <c r="H3" s="44"/>
      <c r="I3" s="44"/>
      <c r="J3" s="332" t="s">
        <v>6</v>
      </c>
      <c r="K3" s="1"/>
      <c r="L3" s="1"/>
    </row>
    <row r="4" spans="1:12" x14ac:dyDescent="0.25">
      <c r="A4" s="1"/>
      <c r="B4" s="222" t="str">
        <f>+Test_Yr</f>
        <v>Test Year Ended December 31, 2023</v>
      </c>
      <c r="C4" s="8"/>
      <c r="D4" s="44"/>
      <c r="E4" s="44"/>
      <c r="F4" s="44"/>
      <c r="G4" s="44"/>
      <c r="H4" s="44"/>
      <c r="I4" s="44"/>
      <c r="K4" s="1"/>
      <c r="L4" s="1"/>
    </row>
    <row r="5" spans="1:12" x14ac:dyDescent="0.25">
      <c r="A5" s="1"/>
      <c r="B5" s="8" t="s">
        <v>312</v>
      </c>
      <c r="C5" s="8"/>
      <c r="D5" s="44"/>
      <c r="K5" s="1"/>
      <c r="L5" s="1"/>
    </row>
    <row r="6" spans="1:12" x14ac:dyDescent="0.25">
      <c r="A6" s="1"/>
      <c r="D6" s="44"/>
      <c r="E6" s="44"/>
      <c r="F6" s="44"/>
      <c r="G6" s="44"/>
      <c r="H6" s="44"/>
      <c r="I6" s="44"/>
      <c r="K6" s="1"/>
      <c r="L6" s="1"/>
    </row>
    <row r="7" spans="1:12" ht="21.75" customHeight="1" x14ac:dyDescent="0.25">
      <c r="A7" s="1"/>
      <c r="B7" s="5" t="s">
        <v>18</v>
      </c>
      <c r="C7" s="5"/>
      <c r="D7" s="57" t="s">
        <v>313</v>
      </c>
      <c r="K7" s="1"/>
      <c r="L7" s="1"/>
    </row>
    <row r="8" spans="1:12" x14ac:dyDescent="0.25">
      <c r="A8" s="1"/>
      <c r="B8" s="6" t="s">
        <v>19</v>
      </c>
      <c r="C8" s="6"/>
      <c r="K8" s="1"/>
      <c r="L8" s="1"/>
    </row>
    <row r="9" spans="1:12" x14ac:dyDescent="0.25">
      <c r="A9" s="1"/>
      <c r="B9" s="7">
        <v>1</v>
      </c>
      <c r="C9" s="35"/>
      <c r="G9" s="326" t="s">
        <v>314</v>
      </c>
      <c r="H9" s="326"/>
      <c r="I9" s="326"/>
      <c r="K9" s="1"/>
      <c r="L9" s="1"/>
    </row>
    <row r="10" spans="1:12" x14ac:dyDescent="0.25">
      <c r="A10" s="1"/>
      <c r="B10" s="7">
        <f t="shared" ref="B10:B41" si="0">+B9+1</f>
        <v>2</v>
      </c>
      <c r="C10" s="35"/>
      <c r="D10" s="461" t="s">
        <v>298</v>
      </c>
      <c r="E10" s="461"/>
      <c r="F10" s="166"/>
      <c r="G10" s="327" t="s">
        <v>315</v>
      </c>
      <c r="H10" s="326"/>
      <c r="I10" s="326"/>
      <c r="K10" s="1"/>
      <c r="L10" s="1"/>
    </row>
    <row r="11" spans="1:12" x14ac:dyDescent="0.25">
      <c r="A11" s="1"/>
      <c r="B11" s="7">
        <f t="shared" si="0"/>
        <v>3</v>
      </c>
      <c r="C11" s="35"/>
      <c r="D11" s="195" t="s">
        <v>299</v>
      </c>
      <c r="E11" s="27"/>
      <c r="F11" s="166"/>
      <c r="G11" s="301">
        <v>1829</v>
      </c>
      <c r="H11" s="301"/>
      <c r="I11" s="301"/>
      <c r="K11" s="1"/>
      <c r="L11" s="1"/>
    </row>
    <row r="12" spans="1:12" x14ac:dyDescent="0.25">
      <c r="A12" s="1"/>
      <c r="B12" s="7">
        <f t="shared" si="0"/>
        <v>4</v>
      </c>
      <c r="C12" s="35"/>
      <c r="D12" s="195" t="s">
        <v>300</v>
      </c>
      <c r="E12" s="27"/>
      <c r="F12" s="166"/>
      <c r="G12" s="342">
        <v>79268</v>
      </c>
      <c r="H12" s="301"/>
      <c r="I12" s="301"/>
      <c r="K12" s="1"/>
      <c r="L12" s="1"/>
    </row>
    <row r="13" spans="1:12" x14ac:dyDescent="0.25">
      <c r="A13" s="1"/>
      <c r="B13" s="7">
        <f t="shared" si="0"/>
        <v>5</v>
      </c>
      <c r="C13" s="35"/>
      <c r="D13" s="195" t="s">
        <v>301</v>
      </c>
      <c r="E13" s="27"/>
      <c r="F13" s="166"/>
      <c r="G13" s="342">
        <v>2741</v>
      </c>
      <c r="H13" s="301"/>
      <c r="I13" s="301"/>
      <c r="K13" s="1"/>
      <c r="L13" s="1"/>
    </row>
    <row r="14" spans="1:12" x14ac:dyDescent="0.25">
      <c r="A14" s="1"/>
      <c r="B14" s="7">
        <f t="shared" si="0"/>
        <v>6</v>
      </c>
      <c r="C14" s="35"/>
      <c r="D14" s="195" t="s">
        <v>302</v>
      </c>
      <c r="E14" s="27"/>
      <c r="F14" s="166"/>
      <c r="G14" s="342">
        <v>16977</v>
      </c>
      <c r="H14" s="301"/>
      <c r="I14" s="301"/>
      <c r="K14" s="1"/>
      <c r="L14" s="1"/>
    </row>
    <row r="15" spans="1:12" x14ac:dyDescent="0.25">
      <c r="A15" s="1"/>
      <c r="B15" s="7">
        <f t="shared" si="0"/>
        <v>7</v>
      </c>
      <c r="C15" s="35"/>
      <c r="D15" s="195" t="s">
        <v>303</v>
      </c>
      <c r="E15" s="27"/>
      <c r="F15" s="166"/>
      <c r="G15" s="342">
        <v>3093</v>
      </c>
      <c r="H15" s="301"/>
      <c r="I15" s="301"/>
      <c r="K15" s="1"/>
      <c r="L15" s="1"/>
    </row>
    <row r="16" spans="1:12" x14ac:dyDescent="0.25">
      <c r="A16" s="1"/>
      <c r="B16" s="7">
        <f t="shared" si="0"/>
        <v>8</v>
      </c>
      <c r="C16" s="35"/>
      <c r="D16" s="195" t="s">
        <v>304</v>
      </c>
      <c r="E16" s="27"/>
      <c r="F16" s="166"/>
      <c r="G16" s="342">
        <v>0</v>
      </c>
      <c r="H16" s="301"/>
      <c r="I16" s="301"/>
      <c r="K16" s="1"/>
      <c r="L16" s="1"/>
    </row>
    <row r="17" spans="1:12" x14ac:dyDescent="0.25">
      <c r="A17" s="1"/>
      <c r="B17" s="7">
        <f t="shared" si="0"/>
        <v>9</v>
      </c>
      <c r="C17" s="35"/>
      <c r="D17" s="195" t="s">
        <v>305</v>
      </c>
      <c r="E17"/>
      <c r="F17" s="166"/>
      <c r="G17" s="343">
        <v>2603</v>
      </c>
      <c r="H17" s="325"/>
      <c r="I17" s="325"/>
      <c r="K17" s="1"/>
      <c r="L17" s="1"/>
    </row>
    <row r="18" spans="1:12" x14ac:dyDescent="0.25">
      <c r="A18" s="1"/>
      <c r="B18" s="7">
        <f t="shared" si="0"/>
        <v>10</v>
      </c>
      <c r="C18" s="35"/>
      <c r="D18" s="45"/>
      <c r="E18" s="27"/>
      <c r="F18" s="166"/>
      <c r="G18" s="325"/>
      <c r="H18" s="325"/>
      <c r="I18" s="325"/>
      <c r="K18" s="1"/>
      <c r="L18" s="1"/>
    </row>
    <row r="19" spans="1:12" ht="16.5" thickBot="1" x14ac:dyDescent="0.3">
      <c r="A19" s="1"/>
      <c r="B19" s="7">
        <f t="shared" si="0"/>
        <v>11</v>
      </c>
      <c r="C19" s="35"/>
      <c r="E19" s="163" t="s">
        <v>306</v>
      </c>
      <c r="G19" s="328">
        <f>SUM(G11:G18)</f>
        <v>106511</v>
      </c>
      <c r="H19" s="329"/>
      <c r="I19" s="301">
        <f>+G19</f>
        <v>106511</v>
      </c>
      <c r="K19" s="1"/>
      <c r="L19" s="1"/>
    </row>
    <row r="20" spans="1:12" ht="16.5" thickTop="1" x14ac:dyDescent="0.25">
      <c r="A20" s="1"/>
      <c r="B20" s="7">
        <f t="shared" si="0"/>
        <v>12</v>
      </c>
      <c r="C20" s="35"/>
      <c r="D20" s="197"/>
      <c r="E20" s="198"/>
      <c r="F20" s="166"/>
      <c r="G20" s="325"/>
      <c r="H20" s="325"/>
      <c r="I20" s="325"/>
      <c r="K20" s="1"/>
      <c r="L20" s="1"/>
    </row>
    <row r="21" spans="1:12" x14ac:dyDescent="0.25">
      <c r="A21" s="1"/>
      <c r="B21" s="7">
        <f t="shared" si="0"/>
        <v>13</v>
      </c>
      <c r="C21" s="35"/>
      <c r="D21" s="461" t="s">
        <v>307</v>
      </c>
      <c r="E21" s="461"/>
      <c r="K21" s="1"/>
      <c r="L21" s="1"/>
    </row>
    <row r="22" spans="1:12" x14ac:dyDescent="0.25">
      <c r="A22" s="1"/>
      <c r="B22" s="7">
        <f t="shared" si="0"/>
        <v>14</v>
      </c>
      <c r="C22" s="35"/>
      <c r="D22" s="195" t="s">
        <v>300</v>
      </c>
      <c r="G22" s="301">
        <v>48599</v>
      </c>
      <c r="K22" s="1"/>
      <c r="L22" s="1"/>
    </row>
    <row r="23" spans="1:12" x14ac:dyDescent="0.25">
      <c r="A23" s="1"/>
      <c r="B23" s="7">
        <f t="shared" si="0"/>
        <v>15</v>
      </c>
      <c r="C23" s="35"/>
      <c r="D23" s="195" t="s">
        <v>301</v>
      </c>
      <c r="G23" s="325">
        <v>4160</v>
      </c>
      <c r="H23" s="301"/>
      <c r="I23" s="301"/>
      <c r="K23" s="1"/>
      <c r="L23" s="1"/>
    </row>
    <row r="24" spans="1:12" x14ac:dyDescent="0.25">
      <c r="A24" s="1"/>
      <c r="B24" s="7">
        <f t="shared" si="0"/>
        <v>16</v>
      </c>
      <c r="C24" s="35"/>
      <c r="D24" s="195" t="s">
        <v>302</v>
      </c>
      <c r="G24" s="325">
        <v>4869</v>
      </c>
      <c r="H24" s="325"/>
      <c r="I24" s="325"/>
      <c r="K24" s="1"/>
      <c r="L24" s="1"/>
    </row>
    <row r="25" spans="1:12" x14ac:dyDescent="0.25">
      <c r="A25" s="1"/>
      <c r="B25" s="7">
        <f t="shared" si="0"/>
        <v>17</v>
      </c>
      <c r="C25" s="35"/>
      <c r="D25" s="195" t="s">
        <v>303</v>
      </c>
      <c r="G25" s="325">
        <v>75</v>
      </c>
      <c r="K25" s="1"/>
      <c r="L25" s="1"/>
    </row>
    <row r="26" spans="1:12" ht="16.5" thickBot="1" x14ac:dyDescent="0.3">
      <c r="A26" s="1"/>
      <c r="B26" s="7">
        <f t="shared" si="0"/>
        <v>18</v>
      </c>
      <c r="C26" s="35"/>
      <c r="E26" s="163" t="s">
        <v>306</v>
      </c>
      <c r="G26" s="328">
        <f>SUM(G22:G25)</f>
        <v>57703</v>
      </c>
      <c r="H26" s="329"/>
      <c r="I26" s="301">
        <f>+G26</f>
        <v>57703</v>
      </c>
      <c r="K26" s="1"/>
      <c r="L26" s="1"/>
    </row>
    <row r="27" spans="1:12" ht="16.5" thickTop="1" x14ac:dyDescent="0.25">
      <c r="A27" s="1"/>
      <c r="B27" s="7">
        <f t="shared" si="0"/>
        <v>19</v>
      </c>
      <c r="C27" s="35"/>
      <c r="K27" s="1"/>
      <c r="L27" s="1"/>
    </row>
    <row r="28" spans="1:12" x14ac:dyDescent="0.25">
      <c r="A28" s="1"/>
      <c r="B28" s="7">
        <f t="shared" si="0"/>
        <v>20</v>
      </c>
      <c r="C28" s="35"/>
      <c r="K28" s="1"/>
      <c r="L28" s="1"/>
    </row>
    <row r="29" spans="1:12" x14ac:dyDescent="0.25">
      <c r="A29" s="1"/>
      <c r="B29" s="7">
        <f t="shared" si="0"/>
        <v>21</v>
      </c>
      <c r="C29" s="35"/>
      <c r="D29" s="461" t="s">
        <v>308</v>
      </c>
      <c r="E29" s="461"/>
      <c r="G29" s="325"/>
      <c r="K29" s="1"/>
      <c r="L29" s="1"/>
    </row>
    <row r="30" spans="1:12" x14ac:dyDescent="0.25">
      <c r="A30" s="1"/>
      <c r="B30" s="7">
        <f t="shared" si="0"/>
        <v>22</v>
      </c>
      <c r="C30" s="35"/>
      <c r="D30" s="195" t="s">
        <v>301</v>
      </c>
      <c r="G30" s="301">
        <v>14482</v>
      </c>
      <c r="H30" s="325"/>
      <c r="I30" s="325"/>
      <c r="K30" s="1"/>
      <c r="L30" s="1"/>
    </row>
    <row r="31" spans="1:12" x14ac:dyDescent="0.25">
      <c r="A31" s="1"/>
      <c r="B31" s="7">
        <f t="shared" si="0"/>
        <v>23</v>
      </c>
      <c r="C31" s="35"/>
      <c r="D31" s="195" t="s">
        <v>302</v>
      </c>
      <c r="E31" s="27"/>
      <c r="F31" s="166"/>
      <c r="G31" s="325">
        <v>2853</v>
      </c>
      <c r="H31" s="325"/>
      <c r="I31" s="325"/>
      <c r="K31" s="1"/>
      <c r="L31" s="1"/>
    </row>
    <row r="32" spans="1:12" x14ac:dyDescent="0.25">
      <c r="A32" s="1"/>
      <c r="B32" s="7">
        <f t="shared" si="0"/>
        <v>24</v>
      </c>
      <c r="C32" s="35"/>
      <c r="D32" s="363" t="s">
        <v>309</v>
      </c>
      <c r="E32" s="27"/>
      <c r="F32" s="166"/>
      <c r="G32" s="325">
        <v>8004</v>
      </c>
      <c r="H32" s="325"/>
      <c r="I32" s="325"/>
      <c r="K32" s="1"/>
      <c r="L32" s="1"/>
    </row>
    <row r="33" spans="1:12" x14ac:dyDescent="0.25">
      <c r="A33" s="1"/>
      <c r="B33" s="7">
        <f t="shared" si="0"/>
        <v>25</v>
      </c>
      <c r="C33" s="35"/>
      <c r="D33" s="195" t="s">
        <v>303</v>
      </c>
      <c r="E33" s="27"/>
      <c r="F33" s="166"/>
      <c r="G33" s="325">
        <v>52</v>
      </c>
      <c r="H33" s="325"/>
      <c r="I33" s="325"/>
      <c r="K33" s="1"/>
      <c r="L33" s="1"/>
    </row>
    <row r="34" spans="1:12" x14ac:dyDescent="0.25">
      <c r="A34" s="1"/>
      <c r="B34" s="7">
        <f t="shared" si="0"/>
        <v>26</v>
      </c>
      <c r="C34" s="35"/>
      <c r="D34" s="195" t="s">
        <v>310</v>
      </c>
      <c r="E34" s="27"/>
      <c r="F34" s="166"/>
      <c r="G34" s="325">
        <v>1073</v>
      </c>
      <c r="H34" s="325"/>
      <c r="I34" s="325"/>
      <c r="K34" s="1"/>
      <c r="L34" s="1"/>
    </row>
    <row r="35" spans="1:12" x14ac:dyDescent="0.25">
      <c r="A35" s="1"/>
      <c r="B35" s="7">
        <f t="shared" si="0"/>
        <v>27</v>
      </c>
      <c r="C35" s="35"/>
      <c r="D35" s="195" t="s">
        <v>304</v>
      </c>
      <c r="E35" s="27"/>
      <c r="F35" s="166"/>
      <c r="G35" s="325">
        <v>24872</v>
      </c>
      <c r="H35" s="325"/>
      <c r="I35" s="325"/>
      <c r="K35" s="1"/>
      <c r="L35" s="1"/>
    </row>
    <row r="36" spans="1:12" ht="16.5" thickBot="1" x14ac:dyDescent="0.3">
      <c r="A36" s="1"/>
      <c r="B36" s="7">
        <f t="shared" si="0"/>
        <v>28</v>
      </c>
      <c r="C36" s="35"/>
      <c r="E36" s="163" t="s">
        <v>306</v>
      </c>
      <c r="G36" s="328">
        <f>SUM(G30:G35)</f>
        <v>51336</v>
      </c>
      <c r="H36" s="329"/>
      <c r="I36" s="301">
        <f>+G36</f>
        <v>51336</v>
      </c>
      <c r="K36" s="1"/>
      <c r="L36" s="1"/>
    </row>
    <row r="37" spans="1:12" ht="16.5" thickTop="1" x14ac:dyDescent="0.25">
      <c r="A37" s="1"/>
      <c r="B37" s="7">
        <f t="shared" si="0"/>
        <v>29</v>
      </c>
      <c r="C37" s="35"/>
      <c r="D37" s="27"/>
      <c r="E37" s="55"/>
      <c r="F37" s="166"/>
      <c r="G37" s="325"/>
      <c r="H37" s="56"/>
      <c r="I37" s="56"/>
      <c r="K37" s="1"/>
      <c r="L37" s="1"/>
    </row>
    <row r="38" spans="1:12" ht="16.5" thickBot="1" x14ac:dyDescent="0.3">
      <c r="A38" s="1"/>
      <c r="B38" s="7">
        <f t="shared" si="0"/>
        <v>30</v>
      </c>
      <c r="C38" s="35"/>
      <c r="F38" s="166"/>
      <c r="G38" s="163" t="s">
        <v>316</v>
      </c>
      <c r="H38" s="330"/>
      <c r="I38" s="328">
        <f>+I19+I26+I36</f>
        <v>215550</v>
      </c>
      <c r="K38" s="1"/>
      <c r="L38" s="1"/>
    </row>
    <row r="39" spans="1:12" ht="16.5" thickTop="1" x14ac:dyDescent="0.25">
      <c r="A39" s="1"/>
      <c r="B39" s="7">
        <f t="shared" si="0"/>
        <v>31</v>
      </c>
      <c r="C39" s="35"/>
      <c r="F39" s="166"/>
      <c r="K39" s="1"/>
      <c r="L39" s="1"/>
    </row>
    <row r="40" spans="1:12" x14ac:dyDescent="0.25">
      <c r="A40" s="1"/>
      <c r="B40" s="7">
        <f t="shared" si="0"/>
        <v>32</v>
      </c>
      <c r="C40" s="35"/>
      <c r="D40" s="203"/>
      <c r="F40" s="166"/>
      <c r="I40" s="385"/>
      <c r="K40" s="1"/>
      <c r="L40" s="1"/>
    </row>
    <row r="41" spans="1:12" x14ac:dyDescent="0.25">
      <c r="A41" s="1"/>
      <c r="B41" s="7">
        <f t="shared" si="0"/>
        <v>33</v>
      </c>
      <c r="C41" s="35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</sheetData>
  <mergeCells count="3">
    <mergeCell ref="D10:E10"/>
    <mergeCell ref="D21:E21"/>
    <mergeCell ref="D29:E29"/>
  </mergeCells>
  <phoneticPr fontId="18" type="noConversion"/>
  <pageMargins left="0.25" right="0.32" top="0.42" bottom="0.4" header="0.27" footer="0.2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L53"/>
  <sheetViews>
    <sheetView showGridLines="0" topLeftCell="A20" workbookViewId="0"/>
  </sheetViews>
  <sheetFormatPr defaultRowHeight="15.75" customHeight="1" x14ac:dyDescent="0.25"/>
  <cols>
    <col min="1" max="1" width="11.625" customWidth="1"/>
    <col min="2" max="2" width="4.75" customWidth="1"/>
    <col min="3" max="3" width="2.625" customWidth="1"/>
    <col min="4" max="4" width="9.875" style="4" customWidth="1"/>
    <col min="5" max="5" width="17.25" style="3" customWidth="1"/>
    <col min="6" max="6" width="13" style="3" customWidth="1"/>
    <col min="7" max="7" width="10.25" customWidth="1"/>
    <col min="8" max="8" width="2.125" customWidth="1"/>
    <col min="9" max="9" width="11.125" customWidth="1"/>
    <col min="11" max="11" width="10.625" customWidth="1"/>
    <col min="12" max="13" width="9.625" customWidth="1"/>
    <col min="14" max="14" width="13.25" customWidth="1"/>
    <col min="15" max="15" width="11.375" customWidth="1"/>
  </cols>
  <sheetData>
    <row r="1" spans="1:12" x14ac:dyDescent="0.25">
      <c r="A1" s="1"/>
      <c r="B1" s="1"/>
      <c r="C1" s="1"/>
      <c r="D1" s="10"/>
      <c r="E1" s="2"/>
      <c r="F1" s="2"/>
      <c r="G1" s="2"/>
      <c r="H1" s="2"/>
      <c r="I1" s="2"/>
      <c r="J1" s="1"/>
      <c r="K1" s="1"/>
      <c r="L1" s="1"/>
    </row>
    <row r="2" spans="1:12" x14ac:dyDescent="0.25">
      <c r="A2" s="1"/>
      <c r="B2" s="160"/>
      <c r="C2" s="1"/>
      <c r="D2" s="10"/>
      <c r="E2" s="2"/>
      <c r="F2" s="2"/>
      <c r="G2" s="1"/>
      <c r="H2" s="1"/>
      <c r="I2" s="1"/>
      <c r="J2" s="1"/>
      <c r="K2" s="1"/>
      <c r="L2" s="1"/>
    </row>
    <row r="3" spans="1:12" x14ac:dyDescent="0.25">
      <c r="A3" s="1"/>
      <c r="B3" s="221" t="str">
        <f>+cover!B8</f>
        <v>Summit View Water Works LLC</v>
      </c>
      <c r="J3" s="332" t="s">
        <v>6</v>
      </c>
      <c r="K3" s="1"/>
      <c r="L3" s="1"/>
    </row>
    <row r="4" spans="1:12" x14ac:dyDescent="0.25">
      <c r="A4" s="1"/>
      <c r="B4" s="222" t="str">
        <f>+Test_Yr</f>
        <v>Test Year Ended December 31, 2023</v>
      </c>
      <c r="K4" s="1"/>
      <c r="L4" s="1"/>
    </row>
    <row r="5" spans="1:12" x14ac:dyDescent="0.25">
      <c r="A5" s="1"/>
      <c r="B5" s="8" t="s">
        <v>317</v>
      </c>
      <c r="K5" s="1"/>
      <c r="L5" s="1"/>
    </row>
    <row r="6" spans="1:12" x14ac:dyDescent="0.25">
      <c r="A6" s="1"/>
      <c r="K6" s="1"/>
      <c r="L6" s="1"/>
    </row>
    <row r="7" spans="1:12" x14ac:dyDescent="0.25">
      <c r="A7" s="1"/>
      <c r="K7" s="1"/>
      <c r="L7" s="1"/>
    </row>
    <row r="8" spans="1:12" x14ac:dyDescent="0.25">
      <c r="A8" s="1"/>
      <c r="K8" s="1"/>
      <c r="L8" s="1"/>
    </row>
    <row r="9" spans="1:12" x14ac:dyDescent="0.25">
      <c r="A9" s="1"/>
      <c r="B9" s="5" t="s">
        <v>18</v>
      </c>
      <c r="C9" s="5"/>
      <c r="F9" s="40"/>
      <c r="K9" s="1"/>
      <c r="L9" s="1"/>
    </row>
    <row r="10" spans="1:12" x14ac:dyDescent="0.25">
      <c r="A10" s="1"/>
      <c r="B10" s="6" t="s">
        <v>19</v>
      </c>
      <c r="C10" s="6"/>
      <c r="F10" s="57" t="s">
        <v>318</v>
      </c>
      <c r="K10" s="1"/>
      <c r="L10" s="1"/>
    </row>
    <row r="11" spans="1:12" x14ac:dyDescent="0.25">
      <c r="A11" s="1"/>
      <c r="B11" s="130">
        <v>1</v>
      </c>
      <c r="C11" s="35"/>
      <c r="E11"/>
      <c r="K11" s="1"/>
      <c r="L11" s="1"/>
    </row>
    <row r="12" spans="1:12" x14ac:dyDescent="0.25">
      <c r="A12" s="1"/>
      <c r="B12" s="130">
        <f>+B11+1</f>
        <v>2</v>
      </c>
      <c r="C12" s="35"/>
      <c r="D12" s="111" t="s">
        <v>31</v>
      </c>
      <c r="E12" s="15" t="s">
        <v>319</v>
      </c>
      <c r="K12" s="1"/>
      <c r="L12" s="1"/>
    </row>
    <row r="13" spans="1:12" x14ac:dyDescent="0.25">
      <c r="A13" s="1"/>
      <c r="B13" s="130">
        <f t="shared" ref="B13:B47" si="0">+B12+1</f>
        <v>3</v>
      </c>
      <c r="C13" s="35"/>
      <c r="D13" s="314"/>
      <c r="K13" s="1"/>
      <c r="L13" s="1"/>
    </row>
    <row r="14" spans="1:12" x14ac:dyDescent="0.25">
      <c r="A14" s="1"/>
      <c r="B14" s="130">
        <f t="shared" si="0"/>
        <v>4</v>
      </c>
      <c r="C14" s="35"/>
      <c r="D14" s="279" t="s">
        <v>320</v>
      </c>
      <c r="E14" s="161" t="s">
        <v>321</v>
      </c>
      <c r="F14" s="337">
        <f>+'5.2 Bal Sheet '!D47</f>
        <v>216180.48000000001</v>
      </c>
      <c r="I14" s="159" t="s">
        <v>322</v>
      </c>
      <c r="J14" s="33" t="s">
        <v>323</v>
      </c>
      <c r="K14" s="1"/>
      <c r="L14" s="1"/>
    </row>
    <row r="15" spans="1:12" x14ac:dyDescent="0.25">
      <c r="A15" s="1"/>
      <c r="B15" s="130">
        <f t="shared" si="0"/>
        <v>5</v>
      </c>
      <c r="C15" s="35"/>
      <c r="D15" s="279" t="s">
        <v>320</v>
      </c>
      <c r="E15" s="161" t="s">
        <v>324</v>
      </c>
      <c r="F15" s="338">
        <f>+'5.2 Bal Sheet '!D48</f>
        <v>1176422</v>
      </c>
      <c r="G15" s="12" t="s">
        <v>325</v>
      </c>
      <c r="I15" s="17" t="s">
        <v>326</v>
      </c>
      <c r="J15" s="17" t="s">
        <v>325</v>
      </c>
      <c r="K15" s="1"/>
      <c r="L15" s="1"/>
    </row>
    <row r="16" spans="1:12" x14ac:dyDescent="0.25">
      <c r="A16" s="1"/>
      <c r="B16" s="130">
        <f t="shared" si="0"/>
        <v>6</v>
      </c>
      <c r="C16" s="35"/>
      <c r="D16" s="315" t="s">
        <v>327</v>
      </c>
      <c r="E16" s="164"/>
      <c r="F16" s="34">
        <f>SUM(F14:F15)</f>
        <v>1392602.48</v>
      </c>
      <c r="G16" s="33">
        <f>+G32</f>
        <v>0.115</v>
      </c>
      <c r="I16" s="33">
        <f>+F16/$F$21</f>
        <v>0.41947807646287943</v>
      </c>
      <c r="J16" s="13">
        <f>+I16*G16</f>
        <v>4.8239978793231136E-2</v>
      </c>
      <c r="K16" s="1"/>
      <c r="L16" s="1"/>
    </row>
    <row r="17" spans="1:12" x14ac:dyDescent="0.25">
      <c r="A17" s="1"/>
      <c r="B17" s="130">
        <f t="shared" si="0"/>
        <v>7</v>
      </c>
      <c r="C17" s="35"/>
      <c r="D17" s="279"/>
      <c r="E17" s="53"/>
      <c r="F17"/>
      <c r="K17" s="1"/>
      <c r="L17" s="1"/>
    </row>
    <row r="18" spans="1:12" x14ac:dyDescent="0.25">
      <c r="A18" s="1"/>
      <c r="B18" s="130">
        <f t="shared" si="0"/>
        <v>8</v>
      </c>
      <c r="C18" s="35"/>
      <c r="D18" s="279"/>
      <c r="E18" s="53"/>
      <c r="F18"/>
      <c r="K18" s="1"/>
      <c r="L18" s="1"/>
    </row>
    <row r="19" spans="1:12" x14ac:dyDescent="0.25">
      <c r="A19" s="1"/>
      <c r="B19" s="130">
        <f t="shared" si="0"/>
        <v>9</v>
      </c>
      <c r="C19" s="35"/>
      <c r="D19" s="279"/>
      <c r="E19" s="15" t="s">
        <v>90</v>
      </c>
      <c r="K19" s="1"/>
      <c r="L19" s="1"/>
    </row>
    <row r="20" spans="1:12" x14ac:dyDescent="0.25">
      <c r="A20" s="1"/>
      <c r="B20" s="130">
        <f t="shared" si="0"/>
        <v>10</v>
      </c>
      <c r="C20" s="35"/>
      <c r="D20" s="279" t="s">
        <v>328</v>
      </c>
      <c r="E20" s="161" t="s">
        <v>329</v>
      </c>
      <c r="F20" s="339">
        <f>+'4.2 Cost Debt'!G25</f>
        <v>1927243.2000000002</v>
      </c>
      <c r="G20" s="158">
        <f>+'4.2 Cost Debt'!I25</f>
        <v>8.3844218722162286E-2</v>
      </c>
      <c r="I20" s="13">
        <f>+F20/$F$21</f>
        <v>0.58052192353712062</v>
      </c>
      <c r="J20" s="13">
        <f>+I20*G20</f>
        <v>4.867340713005671E-2</v>
      </c>
      <c r="K20" s="1"/>
      <c r="L20" s="1"/>
    </row>
    <row r="21" spans="1:12" x14ac:dyDescent="0.25">
      <c r="A21" s="1"/>
      <c r="B21" s="130">
        <f t="shared" si="0"/>
        <v>11</v>
      </c>
      <c r="C21" s="35"/>
      <c r="D21" s="315" t="s">
        <v>330</v>
      </c>
      <c r="E21" s="165" t="s">
        <v>96</v>
      </c>
      <c r="F21" s="9">
        <f>+F16+F20</f>
        <v>3319845.68</v>
      </c>
      <c r="I21" s="316">
        <f>SUM(I14:I20)</f>
        <v>1</v>
      </c>
      <c r="J21" s="316">
        <f>SUM(J14:J20)</f>
        <v>9.6913385923287854E-2</v>
      </c>
      <c r="K21" s="1"/>
      <c r="L21" s="1"/>
    </row>
    <row r="22" spans="1:12" x14ac:dyDescent="0.25">
      <c r="A22" s="1"/>
      <c r="B22" s="130">
        <f t="shared" si="0"/>
        <v>12</v>
      </c>
      <c r="C22" s="35"/>
      <c r="D22" s="317"/>
      <c r="F22"/>
      <c r="K22" s="1"/>
      <c r="L22" s="1"/>
    </row>
    <row r="23" spans="1:12" x14ac:dyDescent="0.25">
      <c r="A23" s="1"/>
      <c r="B23" s="130">
        <f t="shared" si="0"/>
        <v>13</v>
      </c>
      <c r="C23" s="35"/>
      <c r="D23" s="195"/>
      <c r="E23"/>
      <c r="K23" s="1"/>
      <c r="L23" s="1"/>
    </row>
    <row r="24" spans="1:12" x14ac:dyDescent="0.25">
      <c r="A24" s="1"/>
      <c r="B24" s="130">
        <f t="shared" si="0"/>
        <v>14</v>
      </c>
      <c r="C24" s="35"/>
      <c r="D24" s="195"/>
      <c r="E24" s="128"/>
      <c r="K24" s="1"/>
      <c r="L24" s="1"/>
    </row>
    <row r="25" spans="1:12" x14ac:dyDescent="0.25">
      <c r="A25" s="1"/>
      <c r="B25" s="130">
        <f t="shared" si="0"/>
        <v>15</v>
      </c>
      <c r="C25" s="35"/>
      <c r="D25" s="195"/>
      <c r="E25" s="128"/>
      <c r="K25" s="1"/>
      <c r="L25" s="1"/>
    </row>
    <row r="26" spans="1:12" x14ac:dyDescent="0.25">
      <c r="A26" s="1"/>
      <c r="B26" s="130">
        <f t="shared" si="0"/>
        <v>16</v>
      </c>
      <c r="C26" s="35"/>
      <c r="K26" s="1"/>
      <c r="L26" s="1"/>
    </row>
    <row r="27" spans="1:12" x14ac:dyDescent="0.25">
      <c r="A27" s="1"/>
      <c r="B27" s="130">
        <f t="shared" si="0"/>
        <v>17</v>
      </c>
      <c r="C27" s="35"/>
      <c r="K27" s="1"/>
      <c r="L27" s="1"/>
    </row>
    <row r="28" spans="1:12" x14ac:dyDescent="0.25">
      <c r="A28" s="1"/>
      <c r="B28" s="130">
        <f t="shared" si="0"/>
        <v>18</v>
      </c>
      <c r="C28" s="35"/>
      <c r="D28" s="207" t="s">
        <v>331</v>
      </c>
      <c r="E28" s="208"/>
      <c r="F28" s="208"/>
      <c r="K28" s="1"/>
      <c r="L28" s="1"/>
    </row>
    <row r="29" spans="1:12" x14ac:dyDescent="0.25">
      <c r="A29" s="1"/>
      <c r="B29" s="130">
        <f t="shared" si="0"/>
        <v>19</v>
      </c>
      <c r="C29" s="35"/>
      <c r="K29" s="1"/>
      <c r="L29" s="1"/>
    </row>
    <row r="30" spans="1:12" x14ac:dyDescent="0.25">
      <c r="A30" s="1"/>
      <c r="B30" s="130">
        <f t="shared" si="0"/>
        <v>20</v>
      </c>
      <c r="C30" s="35"/>
      <c r="E30" s="3" t="s">
        <v>332</v>
      </c>
      <c r="G30" s="13">
        <v>8.5000000000000006E-2</v>
      </c>
      <c r="K30" s="1"/>
      <c r="L30" s="1"/>
    </row>
    <row r="31" spans="1:12" x14ac:dyDescent="0.25">
      <c r="A31" s="1"/>
      <c r="B31" s="130">
        <f t="shared" si="0"/>
        <v>21</v>
      </c>
      <c r="C31" s="35"/>
      <c r="E31" s="3" t="s">
        <v>333</v>
      </c>
      <c r="G31" s="13">
        <v>0.03</v>
      </c>
      <c r="K31" s="1"/>
      <c r="L31" s="1"/>
    </row>
    <row r="32" spans="1:12" x14ac:dyDescent="0.25">
      <c r="A32" s="1"/>
      <c r="B32" s="130">
        <f t="shared" si="0"/>
        <v>22</v>
      </c>
      <c r="C32" s="35"/>
      <c r="E32" s="3" t="s">
        <v>334</v>
      </c>
      <c r="G32" s="206">
        <f>+G30+G31</f>
        <v>0.115</v>
      </c>
      <c r="J32" s="4"/>
      <c r="K32" s="1"/>
      <c r="L32" s="1"/>
    </row>
    <row r="33" spans="1:12" x14ac:dyDescent="0.25">
      <c r="A33" s="1"/>
      <c r="B33" s="130">
        <f t="shared" si="0"/>
        <v>23</v>
      </c>
      <c r="C33" s="35"/>
      <c r="J33" s="4"/>
      <c r="K33" s="1"/>
      <c r="L33" s="1"/>
    </row>
    <row r="34" spans="1:12" x14ac:dyDescent="0.25">
      <c r="A34" s="1"/>
      <c r="B34" s="130">
        <f t="shared" si="0"/>
        <v>24</v>
      </c>
      <c r="C34" s="35"/>
      <c r="J34" s="4"/>
      <c r="K34" s="1"/>
      <c r="L34" s="1"/>
    </row>
    <row r="35" spans="1:12" x14ac:dyDescent="0.25">
      <c r="A35" s="1"/>
      <c r="B35" s="130">
        <f t="shared" si="0"/>
        <v>25</v>
      </c>
      <c r="C35" s="35"/>
      <c r="J35" s="4"/>
      <c r="K35" s="1"/>
      <c r="L35" s="1"/>
    </row>
    <row r="36" spans="1:12" x14ac:dyDescent="0.25">
      <c r="A36" s="1"/>
      <c r="B36" s="130">
        <f t="shared" si="0"/>
        <v>26</v>
      </c>
      <c r="C36" s="35"/>
      <c r="D36" s="45"/>
      <c r="J36" s="4"/>
      <c r="K36" s="1"/>
      <c r="L36" s="1"/>
    </row>
    <row r="37" spans="1:12" x14ac:dyDescent="0.25">
      <c r="A37" s="1"/>
      <c r="B37" s="130">
        <f t="shared" si="0"/>
        <v>27</v>
      </c>
      <c r="C37" s="35"/>
      <c r="J37" s="4"/>
      <c r="K37" s="1"/>
      <c r="L37" s="1"/>
    </row>
    <row r="38" spans="1:12" x14ac:dyDescent="0.25">
      <c r="A38" s="1"/>
      <c r="B38" s="130">
        <f t="shared" si="0"/>
        <v>28</v>
      </c>
      <c r="C38" s="35"/>
      <c r="J38" s="4"/>
      <c r="K38" s="1"/>
      <c r="L38" s="1"/>
    </row>
    <row r="39" spans="1:12" x14ac:dyDescent="0.25">
      <c r="A39" s="1"/>
      <c r="B39" s="130">
        <f t="shared" si="0"/>
        <v>29</v>
      </c>
      <c r="C39" s="35"/>
      <c r="J39" s="4"/>
      <c r="K39" s="1"/>
      <c r="L39" s="1"/>
    </row>
    <row r="40" spans="1:12" x14ac:dyDescent="0.25">
      <c r="A40" s="1"/>
      <c r="B40" s="130">
        <f t="shared" si="0"/>
        <v>30</v>
      </c>
      <c r="C40" s="35"/>
      <c r="J40" s="4"/>
      <c r="K40" s="1"/>
      <c r="L40" s="1"/>
    </row>
    <row r="41" spans="1:12" x14ac:dyDescent="0.25">
      <c r="A41" s="1"/>
      <c r="B41" s="130">
        <f t="shared" si="0"/>
        <v>31</v>
      </c>
      <c r="C41" s="35"/>
      <c r="E41" s="4"/>
      <c r="F41" s="4"/>
      <c r="G41" s="4"/>
      <c r="H41" s="4"/>
      <c r="I41" s="4"/>
      <c r="J41" s="4"/>
      <c r="K41" s="1"/>
      <c r="L41" s="1"/>
    </row>
    <row r="42" spans="1:12" x14ac:dyDescent="0.25">
      <c r="A42" s="1"/>
      <c r="B42" s="130">
        <f t="shared" si="0"/>
        <v>32</v>
      </c>
      <c r="E42" s="4"/>
      <c r="F42" s="4"/>
      <c r="G42" s="4"/>
      <c r="H42" s="4"/>
      <c r="I42" s="4"/>
      <c r="J42" s="4"/>
      <c r="K42" s="1"/>
      <c r="L42" s="1"/>
    </row>
    <row r="43" spans="1:12" x14ac:dyDescent="0.25">
      <c r="A43" s="1"/>
      <c r="B43" s="130">
        <f t="shared" si="0"/>
        <v>33</v>
      </c>
      <c r="E43" s="4"/>
      <c r="F43" s="4"/>
      <c r="G43" s="4"/>
      <c r="H43" s="4"/>
      <c r="I43" s="4"/>
      <c r="J43" s="4"/>
      <c r="K43" s="1"/>
      <c r="L43" s="1"/>
    </row>
    <row r="44" spans="1:12" x14ac:dyDescent="0.25">
      <c r="A44" s="1"/>
      <c r="B44" s="130">
        <f t="shared" si="0"/>
        <v>34</v>
      </c>
      <c r="E44" s="4"/>
      <c r="F44" s="4"/>
      <c r="G44" s="4"/>
      <c r="H44" s="4"/>
      <c r="I44" s="4"/>
      <c r="J44" s="4"/>
      <c r="K44" s="1"/>
      <c r="L44" s="1"/>
    </row>
    <row r="45" spans="1:12" x14ac:dyDescent="0.25">
      <c r="A45" s="1"/>
      <c r="B45" s="130">
        <f t="shared" si="0"/>
        <v>35</v>
      </c>
      <c r="E45" s="4"/>
      <c r="F45" s="4"/>
      <c r="G45" s="4"/>
      <c r="H45" s="4"/>
      <c r="I45" s="4"/>
      <c r="J45" s="4"/>
      <c r="K45" s="1"/>
      <c r="L45" s="1"/>
    </row>
    <row r="46" spans="1:12" x14ac:dyDescent="0.25">
      <c r="A46" s="1"/>
      <c r="B46" s="130">
        <f t="shared" si="0"/>
        <v>36</v>
      </c>
      <c r="E46" s="4"/>
      <c r="F46" s="4"/>
      <c r="G46" s="4"/>
      <c r="H46" s="4"/>
      <c r="I46" s="4"/>
      <c r="J46" s="4"/>
      <c r="K46" s="1"/>
      <c r="L46" s="1"/>
    </row>
    <row r="47" spans="1:12" x14ac:dyDescent="0.25">
      <c r="A47" s="1"/>
      <c r="B47" s="130">
        <f t="shared" si="0"/>
        <v>37</v>
      </c>
      <c r="E47" s="4"/>
      <c r="F47" s="4"/>
      <c r="G47" s="4"/>
      <c r="H47" s="4"/>
      <c r="I47" s="4"/>
      <c r="J47" s="4"/>
      <c r="K47" s="1"/>
      <c r="L47" s="1"/>
    </row>
    <row r="48" spans="1:12" x14ac:dyDescent="0.25">
      <c r="A48" s="1"/>
      <c r="B48" s="1"/>
      <c r="C48" s="1"/>
      <c r="D48" s="10"/>
      <c r="E48" s="2"/>
      <c r="F48" s="2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0"/>
      <c r="E49" s="2"/>
      <c r="F49" s="2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0"/>
      <c r="E50" s="2"/>
      <c r="F50" s="2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0"/>
      <c r="E51" s="2"/>
      <c r="F51" s="2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0"/>
      <c r="E52" s="2"/>
      <c r="F52" s="2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0"/>
      <c r="E53" s="2"/>
      <c r="F53" s="2"/>
      <c r="G53" s="1"/>
      <c r="H53" s="1"/>
      <c r="I53" s="1"/>
      <c r="J53" s="1"/>
      <c r="K53" s="1"/>
      <c r="L53" s="1"/>
    </row>
  </sheetData>
  <phoneticPr fontId="0" type="noConversion"/>
  <printOptions gridLinesSet="0"/>
  <pageMargins left="0.75" right="0.75" top="0.75" bottom="0.66" header="0.28000000000000003" footer="0.33"/>
  <pageSetup orientation="portrait" r:id="rId1"/>
  <headerFooter alignWithMargins="0">
    <oddFooter>&amp;L&amp;8&amp;T  &amp;D&amp;R&amp;8&amp;F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U62"/>
  <sheetViews>
    <sheetView showGridLines="0" topLeftCell="A26" workbookViewId="0">
      <selection activeCell="E29" sqref="E29"/>
    </sheetView>
  </sheetViews>
  <sheetFormatPr defaultRowHeight="15.75" customHeight="1" x14ac:dyDescent="0.25"/>
  <cols>
    <col min="1" max="1" width="9.625" customWidth="1"/>
    <col min="2" max="3" width="4" customWidth="1"/>
    <col min="4" max="4" width="30.625" bestFit="1" customWidth="1"/>
    <col min="5" max="5" width="11.75" customWidth="1"/>
    <col min="6" max="6" width="3.25" customWidth="1"/>
    <col min="7" max="7" width="11.25" bestFit="1" customWidth="1"/>
    <col min="8" max="8" width="9.625" customWidth="1"/>
    <col min="12" max="12" width="4.625" customWidth="1"/>
    <col min="13" max="13" width="3.25" customWidth="1"/>
    <col min="14" max="14" width="14.625" customWidth="1"/>
    <col min="15" max="15" width="10.75" customWidth="1"/>
    <col min="16" max="16" width="29.5" bestFit="1" customWidth="1"/>
    <col min="18" max="18" width="5" customWidth="1"/>
    <col min="19" max="19" width="9.6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249" t="str">
        <f>+cover!B8</f>
        <v>Summit View Water Works LLC</v>
      </c>
      <c r="C3" s="249"/>
      <c r="K3" s="332" t="s">
        <v>6</v>
      </c>
      <c r="L3" s="1"/>
      <c r="M3" s="1"/>
      <c r="N3" s="1"/>
      <c r="O3" s="1"/>
    </row>
    <row r="4" spans="1:15" x14ac:dyDescent="0.25">
      <c r="A4" s="1"/>
      <c r="B4" s="258" t="str">
        <f>+Test_Yr</f>
        <v>Test Year Ended December 31, 2023</v>
      </c>
      <c r="C4" s="258"/>
      <c r="L4" s="1"/>
      <c r="M4" s="1"/>
      <c r="N4" s="1"/>
      <c r="O4" s="1"/>
    </row>
    <row r="5" spans="1:15" x14ac:dyDescent="0.25">
      <c r="A5" s="1"/>
      <c r="B5" s="41" t="s">
        <v>335</v>
      </c>
      <c r="C5" s="41"/>
      <c r="L5" s="1"/>
      <c r="M5" s="1"/>
      <c r="N5" s="1"/>
      <c r="O5" s="1"/>
    </row>
    <row r="6" spans="1:15" x14ac:dyDescent="0.25">
      <c r="A6" s="1"/>
      <c r="L6" s="1"/>
      <c r="M6" s="1"/>
      <c r="N6" s="1"/>
      <c r="O6" s="1"/>
    </row>
    <row r="7" spans="1:15" ht="15.6" customHeight="1" x14ac:dyDescent="0.25">
      <c r="A7" s="1"/>
      <c r="B7" s="8"/>
      <c r="C7" s="8"/>
      <c r="E7" s="462" t="s">
        <v>336</v>
      </c>
      <c r="F7" s="462"/>
      <c r="G7" s="462"/>
      <c r="H7" s="462"/>
      <c r="L7" s="1"/>
      <c r="M7" s="1"/>
      <c r="N7" s="1"/>
      <c r="O7" s="1"/>
    </row>
    <row r="8" spans="1:15" x14ac:dyDescent="0.25">
      <c r="A8" s="1"/>
      <c r="E8" s="463" t="s">
        <v>337</v>
      </c>
      <c r="F8" s="463"/>
      <c r="G8" s="463"/>
      <c r="H8" s="463"/>
      <c r="L8" s="1"/>
      <c r="M8" s="1"/>
      <c r="N8" s="1"/>
      <c r="O8" s="1"/>
    </row>
    <row r="9" spans="1:15" x14ac:dyDescent="0.25">
      <c r="A9" s="1"/>
      <c r="B9" s="5" t="s">
        <v>18</v>
      </c>
      <c r="C9" s="5"/>
      <c r="L9" s="1"/>
      <c r="M9" s="1"/>
      <c r="N9" s="1"/>
      <c r="O9" s="1"/>
    </row>
    <row r="10" spans="1:15" x14ac:dyDescent="0.25">
      <c r="A10" s="1"/>
      <c r="B10" s="6" t="s">
        <v>19</v>
      </c>
      <c r="C10" s="6"/>
      <c r="D10" s="146" t="s">
        <v>9</v>
      </c>
      <c r="E10" s="146" t="s">
        <v>10</v>
      </c>
      <c r="F10" s="27"/>
      <c r="G10" s="146" t="s">
        <v>11</v>
      </c>
      <c r="H10" s="146" t="s">
        <v>12</v>
      </c>
      <c r="I10" s="146" t="s">
        <v>13</v>
      </c>
      <c r="J10" s="146" t="s">
        <v>14</v>
      </c>
      <c r="L10" s="1"/>
      <c r="M10" s="1"/>
      <c r="N10" s="1"/>
      <c r="O10" s="1"/>
    </row>
    <row r="11" spans="1:15" x14ac:dyDescent="0.25">
      <c r="A11" s="1"/>
      <c r="B11" s="119">
        <v>1</v>
      </c>
      <c r="C11" s="335"/>
      <c r="L11" s="1"/>
      <c r="M11" s="1"/>
      <c r="N11" s="1"/>
      <c r="O11" s="1"/>
    </row>
    <row r="12" spans="1:15" x14ac:dyDescent="0.25">
      <c r="A12" s="1"/>
      <c r="B12" s="119">
        <f t="shared" ref="B12:B43" si="0">+B11+1</f>
        <v>2</v>
      </c>
      <c r="C12" s="335"/>
      <c r="D12" s="11"/>
      <c r="F12" s="195"/>
      <c r="G12" s="11" t="s">
        <v>338</v>
      </c>
      <c r="H12" s="11" t="s">
        <v>339</v>
      </c>
      <c r="I12" s="336" t="s">
        <v>323</v>
      </c>
      <c r="L12" s="1"/>
      <c r="M12" s="37"/>
      <c r="N12" s="1"/>
      <c r="O12" s="1"/>
    </row>
    <row r="13" spans="1:15" x14ac:dyDescent="0.25">
      <c r="A13" s="1"/>
      <c r="B13" s="119">
        <f t="shared" si="0"/>
        <v>3</v>
      </c>
      <c r="C13" s="335"/>
      <c r="D13" s="333" t="s">
        <v>228</v>
      </c>
      <c r="E13" s="333" t="s">
        <v>340</v>
      </c>
      <c r="F13" s="195"/>
      <c r="G13" s="334" t="s">
        <v>341</v>
      </c>
      <c r="H13" s="333" t="s">
        <v>342</v>
      </c>
      <c r="I13" s="333" t="s">
        <v>325</v>
      </c>
      <c r="J13" s="333" t="s">
        <v>343</v>
      </c>
      <c r="L13" s="1"/>
      <c r="M13" s="37"/>
      <c r="N13" s="1"/>
      <c r="O13" s="1"/>
    </row>
    <row r="14" spans="1:15" x14ac:dyDescent="0.25">
      <c r="A14" s="1"/>
      <c r="B14" s="119">
        <f t="shared" si="0"/>
        <v>4</v>
      </c>
      <c r="C14" s="335"/>
      <c r="D14" s="387"/>
      <c r="E14" s="213"/>
      <c r="F14" s="195"/>
      <c r="G14" s="386"/>
      <c r="H14" s="213"/>
      <c r="J14" s="213"/>
      <c r="L14" s="1"/>
      <c r="M14" s="37"/>
      <c r="N14" s="1"/>
      <c r="O14" s="1"/>
    </row>
    <row r="15" spans="1:15" x14ac:dyDescent="0.25">
      <c r="A15" s="1"/>
      <c r="B15" s="119">
        <f t="shared" si="0"/>
        <v>5</v>
      </c>
      <c r="C15" s="335"/>
      <c r="D15" s="387" t="s">
        <v>344</v>
      </c>
      <c r="E15" s="388">
        <v>379067.31</v>
      </c>
      <c r="G15" s="386">
        <v>377422.94</v>
      </c>
      <c r="H15" s="389">
        <v>9.7500000000000003E-2</v>
      </c>
      <c r="I15" s="389">
        <f t="shared" ref="I15:I24" si="1">+G15/$G$25*H15</f>
        <v>1.9093976644981806E-2</v>
      </c>
      <c r="J15" s="390">
        <v>2023</v>
      </c>
      <c r="L15" s="1"/>
      <c r="M15" s="37"/>
      <c r="N15" s="1"/>
      <c r="O15" s="1"/>
    </row>
    <row r="16" spans="1:15" x14ac:dyDescent="0.25">
      <c r="A16" s="1"/>
      <c r="B16" s="119">
        <f t="shared" si="0"/>
        <v>6</v>
      </c>
      <c r="C16" s="335"/>
      <c r="D16" s="387" t="s">
        <v>345</v>
      </c>
      <c r="E16" s="386">
        <v>317107.52</v>
      </c>
      <c r="G16" s="386">
        <v>315731.94</v>
      </c>
      <c r="H16" s="389">
        <v>9.7500000000000003E-2</v>
      </c>
      <c r="I16" s="389">
        <f t="shared" si="1"/>
        <v>1.5973004418954492E-2</v>
      </c>
      <c r="J16" s="390">
        <v>2023</v>
      </c>
      <c r="L16" s="1"/>
      <c r="M16" s="37"/>
      <c r="N16" s="1"/>
      <c r="O16" s="1"/>
    </row>
    <row r="17" spans="1:15" x14ac:dyDescent="0.25">
      <c r="A17" s="1"/>
      <c r="B17" s="119">
        <f t="shared" si="0"/>
        <v>7</v>
      </c>
      <c r="C17" s="335"/>
      <c r="D17" s="387" t="s">
        <v>346</v>
      </c>
      <c r="E17" s="386">
        <v>425375</v>
      </c>
      <c r="G17" s="386">
        <v>423529.88</v>
      </c>
      <c r="H17" s="389">
        <v>9.7500000000000003E-2</v>
      </c>
      <c r="I17" s="389">
        <f t="shared" si="1"/>
        <v>2.1426545077445337E-2</v>
      </c>
      <c r="J17" s="390">
        <v>2023</v>
      </c>
      <c r="L17" s="1"/>
      <c r="M17" s="37"/>
      <c r="N17" s="1"/>
      <c r="O17" s="1"/>
    </row>
    <row r="18" spans="1:15" x14ac:dyDescent="0.25">
      <c r="A18" s="1"/>
      <c r="B18" s="119">
        <f t="shared" si="0"/>
        <v>8</v>
      </c>
      <c r="C18" s="335"/>
      <c r="D18" s="387" t="s">
        <v>347</v>
      </c>
      <c r="E18" s="386">
        <v>844986</v>
      </c>
      <c r="G18" s="386">
        <v>67703.03</v>
      </c>
      <c r="H18" s="389">
        <v>7.0000000000000007E-2</v>
      </c>
      <c r="I18" s="389">
        <f>+G18/$G$25*H18</f>
        <v>2.4590628209247276E-3</v>
      </c>
      <c r="J18" s="390">
        <v>2019</v>
      </c>
      <c r="L18" s="1"/>
      <c r="M18" s="37"/>
      <c r="N18" s="1"/>
      <c r="O18" s="1"/>
    </row>
    <row r="19" spans="1:15" x14ac:dyDescent="0.25">
      <c r="A19" s="1"/>
      <c r="B19" s="119">
        <f t="shared" si="0"/>
        <v>9</v>
      </c>
      <c r="C19" s="335"/>
      <c r="D19" s="387" t="s">
        <v>348</v>
      </c>
      <c r="E19" s="386">
        <v>543781</v>
      </c>
      <c r="G19" s="391">
        <v>510755.7</v>
      </c>
      <c r="H19" s="389">
        <v>7.0000000000000007E-2</v>
      </c>
      <c r="I19" s="389">
        <f>+G19/$G$25*H19</f>
        <v>1.8551316720173149E-2</v>
      </c>
      <c r="J19" s="390">
        <v>2019</v>
      </c>
      <c r="L19" s="1"/>
      <c r="M19" s="37"/>
      <c r="N19" s="1"/>
      <c r="O19" s="1"/>
    </row>
    <row r="20" spans="1:15" x14ac:dyDescent="0.25">
      <c r="A20" s="1"/>
      <c r="B20" s="119">
        <f t="shared" si="0"/>
        <v>10</v>
      </c>
      <c r="C20" s="335"/>
      <c r="D20" s="387" t="s">
        <v>349</v>
      </c>
      <c r="E20" s="386">
        <v>28944.79</v>
      </c>
      <c r="G20" s="386">
        <v>5825.98</v>
      </c>
      <c r="H20" s="389">
        <v>4.4499999999999998E-2</v>
      </c>
      <c r="I20" s="389">
        <f t="shared" si="1"/>
        <v>1.3452174069157434E-4</v>
      </c>
      <c r="J20" s="390">
        <v>2020</v>
      </c>
      <c r="L20" s="1"/>
      <c r="M20" s="37"/>
      <c r="N20" s="1"/>
      <c r="O20" s="1"/>
    </row>
    <row r="21" spans="1:15" x14ac:dyDescent="0.25">
      <c r="A21" s="1"/>
      <c r="B21" s="119">
        <f t="shared" si="0"/>
        <v>11</v>
      </c>
      <c r="C21" s="335"/>
      <c r="D21" s="387" t="s">
        <v>350</v>
      </c>
      <c r="E21" s="386">
        <v>28944.79</v>
      </c>
      <c r="G21" s="386">
        <v>5825.96</v>
      </c>
      <c r="H21" s="389">
        <v>4.4499999999999998E-2</v>
      </c>
      <c r="I21" s="389">
        <f t="shared" si="1"/>
        <v>1.3452127889204641E-4</v>
      </c>
      <c r="J21" s="390">
        <v>2020</v>
      </c>
      <c r="L21" s="1"/>
      <c r="M21" s="37"/>
      <c r="N21" s="1"/>
      <c r="O21" s="1"/>
    </row>
    <row r="22" spans="1:15" x14ac:dyDescent="0.25">
      <c r="A22" s="1"/>
      <c r="B22" s="119">
        <f t="shared" si="0"/>
        <v>12</v>
      </c>
      <c r="C22" s="335"/>
      <c r="D22" s="387" t="s">
        <v>351</v>
      </c>
      <c r="E22" s="386">
        <v>52839.38</v>
      </c>
      <c r="G22" s="386">
        <v>17568.05</v>
      </c>
      <c r="H22" s="389">
        <v>5.9400000000000001E-2</v>
      </c>
      <c r="I22" s="389">
        <f t="shared" si="1"/>
        <v>5.4146885561718412E-4</v>
      </c>
      <c r="J22" s="390">
        <v>2020</v>
      </c>
      <c r="L22" s="1"/>
      <c r="M22" s="37"/>
      <c r="N22" s="1"/>
      <c r="O22" s="1"/>
    </row>
    <row r="23" spans="1:15" x14ac:dyDescent="0.25">
      <c r="A23" s="1"/>
      <c r="B23" s="119">
        <f t="shared" si="0"/>
        <v>13</v>
      </c>
      <c r="C23" s="335"/>
      <c r="D23" s="387" t="s">
        <v>352</v>
      </c>
      <c r="E23" s="386">
        <v>132039.5</v>
      </c>
      <c r="G23" s="386">
        <v>101439.86</v>
      </c>
      <c r="H23" s="389">
        <v>5.253E-2</v>
      </c>
      <c r="I23" s="389">
        <f t="shared" si="1"/>
        <v>2.7649005822409957E-3</v>
      </c>
      <c r="J23" s="390">
        <v>2011</v>
      </c>
      <c r="L23" s="1"/>
      <c r="M23" s="37"/>
      <c r="N23" s="1"/>
      <c r="O23" s="1"/>
    </row>
    <row r="24" spans="1:15" x14ac:dyDescent="0.25">
      <c r="A24" s="1"/>
      <c r="B24" s="119">
        <f t="shared" si="0"/>
        <v>14</v>
      </c>
      <c r="C24" s="335"/>
      <c r="D24" s="387" t="s">
        <v>353</v>
      </c>
      <c r="E24" s="392">
        <v>132040</v>
      </c>
      <c r="G24" s="392">
        <v>101439.86</v>
      </c>
      <c r="H24" s="393">
        <v>5.253E-2</v>
      </c>
      <c r="I24" s="394">
        <f t="shared" si="1"/>
        <v>2.7649005822409957E-3</v>
      </c>
      <c r="J24" s="390">
        <v>2011</v>
      </c>
      <c r="L24" s="1"/>
      <c r="M24" s="1"/>
      <c r="N24" s="1"/>
      <c r="O24" s="1"/>
    </row>
    <row r="25" spans="1:15" x14ac:dyDescent="0.25">
      <c r="A25" s="1"/>
      <c r="B25" s="119">
        <f t="shared" si="0"/>
        <v>15</v>
      </c>
      <c r="C25" s="335"/>
      <c r="D25" s="213"/>
      <c r="E25" s="442">
        <f>SUM(E15:E24)</f>
        <v>2885125.29</v>
      </c>
      <c r="G25" s="58">
        <f>SUM(G15:G24)</f>
        <v>1927243.2000000002</v>
      </c>
      <c r="H25" s="346"/>
      <c r="I25" s="246">
        <f>SUM(I15:I24)</f>
        <v>8.3844218722162286E-2</v>
      </c>
      <c r="J25" s="246"/>
      <c r="L25" s="1"/>
      <c r="M25" s="1"/>
      <c r="N25" s="1"/>
      <c r="O25" s="1"/>
    </row>
    <row r="26" spans="1:15" x14ac:dyDescent="0.25">
      <c r="A26" s="1"/>
      <c r="B26" s="119">
        <f t="shared" si="0"/>
        <v>16</v>
      </c>
      <c r="C26" s="335"/>
      <c r="L26" s="1"/>
      <c r="M26" s="1"/>
      <c r="N26" s="1"/>
      <c r="O26" s="1"/>
    </row>
    <row r="27" spans="1:15" x14ac:dyDescent="0.25">
      <c r="A27" s="1"/>
      <c r="B27" s="119">
        <f t="shared" si="0"/>
        <v>17</v>
      </c>
      <c r="C27" s="335"/>
      <c r="E27">
        <f>E15+E16+E17+E18+E19+E20+E21+E23+E24</f>
        <v>2832285.91</v>
      </c>
      <c r="L27" s="1"/>
      <c r="M27" s="1"/>
      <c r="N27" s="1"/>
      <c r="O27" s="1"/>
    </row>
    <row r="28" spans="1:15" x14ac:dyDescent="0.25">
      <c r="A28" s="1"/>
      <c r="B28" s="119">
        <f t="shared" si="0"/>
        <v>18</v>
      </c>
      <c r="C28" s="335"/>
      <c r="L28" s="1"/>
      <c r="M28" s="1"/>
      <c r="N28" s="1"/>
      <c r="O28" s="1"/>
    </row>
    <row r="29" spans="1:15" x14ac:dyDescent="0.25">
      <c r="A29" s="1"/>
      <c r="B29" s="119">
        <f t="shared" si="0"/>
        <v>19</v>
      </c>
      <c r="C29" s="335"/>
      <c r="L29" s="1"/>
      <c r="M29" s="1"/>
      <c r="N29" s="1"/>
      <c r="O29" s="1"/>
    </row>
    <row r="30" spans="1:15" x14ac:dyDescent="0.25">
      <c r="A30" s="1"/>
      <c r="B30" s="119">
        <f t="shared" si="0"/>
        <v>20</v>
      </c>
      <c r="C30" s="335"/>
      <c r="L30" s="1"/>
      <c r="M30" s="1"/>
      <c r="N30" s="1"/>
      <c r="O30" s="1"/>
    </row>
    <row r="31" spans="1:15" x14ac:dyDescent="0.25">
      <c r="A31" s="1"/>
      <c r="B31" s="119">
        <f t="shared" si="0"/>
        <v>21</v>
      </c>
      <c r="C31" s="335"/>
      <c r="L31" s="1"/>
      <c r="M31" s="1"/>
      <c r="N31" s="1"/>
      <c r="O31" s="1"/>
    </row>
    <row r="32" spans="1:15" x14ac:dyDescent="0.25">
      <c r="A32" s="1"/>
      <c r="B32" s="119">
        <f t="shared" si="0"/>
        <v>22</v>
      </c>
      <c r="C32" s="335"/>
      <c r="L32" s="1"/>
      <c r="M32" s="1"/>
      <c r="N32" s="1"/>
      <c r="O32" s="1"/>
    </row>
    <row r="33" spans="1:21" x14ac:dyDescent="0.25">
      <c r="A33" s="1"/>
      <c r="B33" s="119">
        <f t="shared" si="0"/>
        <v>23</v>
      </c>
      <c r="C33" s="335"/>
      <c r="L33" s="1"/>
      <c r="M33" s="1"/>
      <c r="N33" s="1"/>
      <c r="O33" s="1"/>
    </row>
    <row r="34" spans="1:21" x14ac:dyDescent="0.25">
      <c r="A34" s="1"/>
      <c r="B34" s="119">
        <f t="shared" si="0"/>
        <v>24</v>
      </c>
      <c r="C34" s="335"/>
      <c r="L34" s="1"/>
      <c r="M34" s="1"/>
      <c r="N34" s="1"/>
      <c r="O34" s="1"/>
    </row>
    <row r="35" spans="1:21" x14ac:dyDescent="0.25">
      <c r="A35" s="1"/>
      <c r="B35" s="119">
        <f t="shared" si="0"/>
        <v>25</v>
      </c>
      <c r="C35" s="335"/>
      <c r="L35" s="1"/>
      <c r="M35" s="1"/>
      <c r="N35" s="1"/>
      <c r="O35" s="1"/>
    </row>
    <row r="36" spans="1:21" x14ac:dyDescent="0.25">
      <c r="A36" s="1"/>
      <c r="B36" s="119">
        <f t="shared" si="0"/>
        <v>26</v>
      </c>
      <c r="C36" s="335"/>
      <c r="L36" s="1"/>
      <c r="M36" s="1"/>
      <c r="N36" s="1"/>
      <c r="O36" s="1"/>
    </row>
    <row r="37" spans="1:21" x14ac:dyDescent="0.25">
      <c r="A37" s="1"/>
      <c r="B37" s="119">
        <f t="shared" si="0"/>
        <v>27</v>
      </c>
      <c r="C37" s="335"/>
      <c r="L37" s="1"/>
      <c r="M37" s="1"/>
      <c r="N37" s="1"/>
      <c r="O37" s="1"/>
    </row>
    <row r="38" spans="1:21" x14ac:dyDescent="0.25">
      <c r="A38" s="1"/>
      <c r="B38" s="119">
        <f t="shared" si="0"/>
        <v>28</v>
      </c>
      <c r="C38" s="335"/>
      <c r="L38" s="1"/>
      <c r="M38" s="1"/>
      <c r="N38" s="1"/>
      <c r="O38" s="1"/>
    </row>
    <row r="39" spans="1:21" x14ac:dyDescent="0.25">
      <c r="A39" s="1"/>
      <c r="B39" s="119">
        <f t="shared" si="0"/>
        <v>29</v>
      </c>
      <c r="C39" s="335"/>
      <c r="L39" s="1"/>
      <c r="M39" s="1"/>
      <c r="N39" s="1"/>
      <c r="O39" s="1"/>
    </row>
    <row r="40" spans="1:21" x14ac:dyDescent="0.25">
      <c r="A40" s="1"/>
      <c r="B40" s="119">
        <f t="shared" si="0"/>
        <v>30</v>
      </c>
      <c r="C40" s="335"/>
      <c r="L40" s="1"/>
      <c r="M40" s="1"/>
      <c r="N40" s="1"/>
      <c r="O40" s="1"/>
    </row>
    <row r="41" spans="1:21" x14ac:dyDescent="0.25">
      <c r="A41" s="1"/>
      <c r="B41" s="119">
        <f t="shared" si="0"/>
        <v>31</v>
      </c>
      <c r="C41" s="335"/>
      <c r="L41" s="1"/>
      <c r="M41" s="1"/>
      <c r="N41" s="1"/>
      <c r="O41" s="1"/>
    </row>
    <row r="42" spans="1:21" x14ac:dyDescent="0.25">
      <c r="A42" s="1"/>
      <c r="B42" s="119">
        <f t="shared" si="0"/>
        <v>32</v>
      </c>
      <c r="C42" s="335"/>
      <c r="L42" s="1"/>
      <c r="M42" s="1"/>
      <c r="N42" s="1"/>
      <c r="O42" s="1"/>
    </row>
    <row r="43" spans="1:21" x14ac:dyDescent="0.25">
      <c r="A43" s="1"/>
      <c r="B43" s="119">
        <f t="shared" si="0"/>
        <v>33</v>
      </c>
      <c r="C43" s="335"/>
      <c r="L43" s="1"/>
      <c r="M43" s="1"/>
      <c r="N43" s="1"/>
      <c r="O43" s="1"/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U45" s="28" t="e">
        <f>IF(tax_flag=1,"","No")</f>
        <v>#NAME?</v>
      </c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U46" s="29"/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U47" s="30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R48">
        <f>+S48-P48</f>
        <v>0</v>
      </c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</sheetData>
  <mergeCells count="2">
    <mergeCell ref="E7:H7"/>
    <mergeCell ref="E8:H8"/>
  </mergeCells>
  <phoneticPr fontId="0" type="noConversion"/>
  <printOptions gridLinesSet="0"/>
  <pageMargins left="0.75" right="0.19" top="1" bottom="1" header="0.5" footer="0.5"/>
  <pageSetup orientation="portrait" r:id="rId1"/>
  <headerFooter alignWithMargins="0">
    <oddFooter>&amp;L&amp;8&amp;T  &amp;D&amp;R&amp;8&amp;F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S62"/>
  <sheetViews>
    <sheetView showGridLines="0" topLeftCell="A20" zoomScale="90" zoomScaleNormal="90" workbookViewId="0"/>
  </sheetViews>
  <sheetFormatPr defaultRowHeight="15.75" customHeight="1" x14ac:dyDescent="0.25"/>
  <cols>
    <col min="1" max="1" width="12.625" customWidth="1"/>
    <col min="2" max="2" width="5.125" customWidth="1"/>
    <col min="3" max="3" width="2.5" customWidth="1"/>
    <col min="4" max="4" width="23.25" customWidth="1"/>
    <col min="5" max="5" width="4.625" customWidth="1"/>
    <col min="6" max="6" width="15.125" customWidth="1"/>
    <col min="7" max="7" width="9.375" customWidth="1"/>
    <col min="8" max="8" width="14.375" customWidth="1"/>
    <col min="9" max="9" width="10.25" customWidth="1"/>
    <col min="10" max="10" width="3.25" customWidth="1"/>
    <col min="11" max="11" width="28" customWidth="1"/>
    <col min="12" max="12" width="10.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68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221" t="str">
        <f>+cover!B8</f>
        <v>Summit View Water Works LLC</v>
      </c>
      <c r="C3" s="104"/>
      <c r="I3" s="332" t="s">
        <v>6</v>
      </c>
      <c r="J3" s="1"/>
      <c r="K3" s="1"/>
      <c r="L3" s="1"/>
      <c r="M3" s="1"/>
    </row>
    <row r="4" spans="1:13" x14ac:dyDescent="0.25">
      <c r="A4" s="1"/>
      <c r="B4" s="222" t="str">
        <f>Test_Yr</f>
        <v>Test Year Ended December 31, 2023</v>
      </c>
      <c r="C4" s="105"/>
      <c r="I4" s="266"/>
      <c r="J4" s="1"/>
      <c r="K4" s="1"/>
      <c r="L4" s="1"/>
      <c r="M4" s="1"/>
    </row>
    <row r="5" spans="1:13" x14ac:dyDescent="0.25">
      <c r="A5" s="1"/>
      <c r="B5" s="36" t="s">
        <v>354</v>
      </c>
      <c r="C5" s="36"/>
      <c r="I5" s="266"/>
      <c r="J5" s="1"/>
      <c r="K5" s="1"/>
      <c r="L5" s="1"/>
      <c r="M5" s="1"/>
    </row>
    <row r="6" spans="1:13" x14ac:dyDescent="0.25">
      <c r="A6" s="1"/>
      <c r="C6" s="36"/>
      <c r="J6" s="1"/>
      <c r="K6" s="1"/>
      <c r="L6" s="1"/>
      <c r="M6" s="1"/>
    </row>
    <row r="7" spans="1:13" x14ac:dyDescent="0.25">
      <c r="A7" s="1"/>
      <c r="B7" s="8"/>
      <c r="C7" s="8"/>
      <c r="J7" s="1"/>
      <c r="K7" s="1"/>
      <c r="L7" s="1"/>
      <c r="M7" s="1"/>
    </row>
    <row r="8" spans="1:13" ht="18.75" x14ac:dyDescent="0.3">
      <c r="A8" s="1"/>
      <c r="E8" s="356" t="s">
        <v>355</v>
      </c>
      <c r="J8" s="1"/>
      <c r="K8" s="1"/>
      <c r="L8" s="1"/>
      <c r="M8" s="1"/>
    </row>
    <row r="9" spans="1:13" x14ac:dyDescent="0.25">
      <c r="A9" s="1"/>
      <c r="B9" s="5" t="s">
        <v>18</v>
      </c>
      <c r="C9" s="5"/>
      <c r="H9" s="14"/>
      <c r="J9" s="1"/>
      <c r="K9" s="1"/>
      <c r="L9" s="1"/>
      <c r="M9" s="1"/>
    </row>
    <row r="10" spans="1:13" x14ac:dyDescent="0.25">
      <c r="A10" s="1"/>
      <c r="B10" s="6" t="s">
        <v>19</v>
      </c>
      <c r="C10" s="6"/>
      <c r="D10" s="146" t="s">
        <v>9</v>
      </c>
      <c r="E10" s="146"/>
      <c r="F10" s="146" t="s">
        <v>10</v>
      </c>
      <c r="G10" s="146" t="s">
        <v>11</v>
      </c>
      <c r="I10" s="146"/>
      <c r="J10" s="1"/>
      <c r="K10" s="1"/>
      <c r="L10" s="1"/>
      <c r="M10" s="1"/>
    </row>
    <row r="11" spans="1:13" x14ac:dyDescent="0.25">
      <c r="A11" s="1"/>
      <c r="B11" s="119">
        <v>1</v>
      </c>
      <c r="C11" s="35"/>
      <c r="D11" s="71"/>
      <c r="E11" s="71"/>
      <c r="F11" s="67"/>
      <c r="H11" s="67"/>
      <c r="J11" s="1"/>
      <c r="K11" s="1"/>
      <c r="L11" s="1"/>
      <c r="M11" s="1"/>
    </row>
    <row r="12" spans="1:13" x14ac:dyDescent="0.25">
      <c r="A12" s="1"/>
      <c r="B12" s="119">
        <f>+B11+1</f>
        <v>2</v>
      </c>
      <c r="C12" s="35"/>
      <c r="D12" s="79" t="s">
        <v>228</v>
      </c>
      <c r="E12" s="266"/>
      <c r="F12" s="79" t="s">
        <v>356</v>
      </c>
      <c r="I12" s="364" t="s">
        <v>31</v>
      </c>
      <c r="J12" s="37"/>
      <c r="K12" s="1"/>
      <c r="L12" s="1"/>
      <c r="M12" s="1"/>
    </row>
    <row r="13" spans="1:13" x14ac:dyDescent="0.25">
      <c r="A13" s="1"/>
      <c r="B13" s="119">
        <f t="shared" ref="B13:B43" si="0">+B12+1</f>
        <v>3</v>
      </c>
      <c r="C13" s="35"/>
      <c r="D13" s="79"/>
      <c r="F13" s="79"/>
      <c r="I13" s="365"/>
      <c r="J13" s="37"/>
      <c r="K13" s="1"/>
      <c r="L13" s="1"/>
      <c r="M13" s="1"/>
    </row>
    <row r="14" spans="1:13" x14ac:dyDescent="0.25">
      <c r="A14" s="1"/>
      <c r="B14" s="119">
        <f t="shared" si="0"/>
        <v>4</v>
      </c>
      <c r="C14" s="35"/>
      <c r="D14" s="121" t="s">
        <v>357</v>
      </c>
      <c r="F14" s="151">
        <f>+'2.1 Rate Base'!K30</f>
        <v>3388193.9820325836</v>
      </c>
      <c r="I14" s="156" t="s">
        <v>358</v>
      </c>
      <c r="J14" s="37"/>
      <c r="K14" s="1"/>
      <c r="L14" s="1"/>
      <c r="M14" s="1"/>
    </row>
    <row r="15" spans="1:13" x14ac:dyDescent="0.25">
      <c r="A15" s="1"/>
      <c r="B15" s="119">
        <f t="shared" si="0"/>
        <v>5</v>
      </c>
      <c r="C15" s="35"/>
      <c r="D15" s="4" t="s">
        <v>359</v>
      </c>
      <c r="F15" s="278">
        <v>0</v>
      </c>
      <c r="I15" s="366" t="s">
        <v>360</v>
      </c>
      <c r="J15" s="37"/>
      <c r="K15" s="1"/>
      <c r="L15" s="1"/>
      <c r="M15" s="1"/>
    </row>
    <row r="16" spans="1:13" ht="20.25" customHeight="1" x14ac:dyDescent="0.25">
      <c r="A16" s="1"/>
      <c r="B16" s="119">
        <f t="shared" si="0"/>
        <v>6</v>
      </c>
      <c r="C16" s="35"/>
      <c r="D16" s="4" t="s">
        <v>361</v>
      </c>
      <c r="F16" s="277">
        <f>+F14+F15</f>
        <v>3388193.9820325836</v>
      </c>
      <c r="I16" s="366" t="s">
        <v>327</v>
      </c>
      <c r="J16" s="37"/>
      <c r="K16" s="1"/>
      <c r="L16" s="1"/>
      <c r="M16" s="1"/>
    </row>
    <row r="17" spans="1:13" x14ac:dyDescent="0.25">
      <c r="A17" s="1"/>
      <c r="B17" s="119">
        <f t="shared" si="0"/>
        <v>7</v>
      </c>
      <c r="C17" s="35"/>
      <c r="D17" s="53"/>
      <c r="F17" s="195"/>
      <c r="I17" s="156"/>
      <c r="J17" s="37"/>
      <c r="K17" s="1"/>
      <c r="L17" s="1"/>
      <c r="M17" s="1"/>
    </row>
    <row r="18" spans="1:13" x14ac:dyDescent="0.25">
      <c r="A18" s="1"/>
      <c r="B18" s="119">
        <f t="shared" si="0"/>
        <v>8</v>
      </c>
      <c r="C18" s="35"/>
      <c r="D18" s="53"/>
      <c r="F18" s="195"/>
      <c r="I18" s="156"/>
      <c r="J18" s="37"/>
      <c r="K18" s="1"/>
      <c r="L18" s="1"/>
      <c r="M18" s="1"/>
    </row>
    <row r="19" spans="1:13" x14ac:dyDescent="0.25">
      <c r="A19" s="1"/>
      <c r="B19" s="119">
        <f t="shared" si="0"/>
        <v>9</v>
      </c>
      <c r="C19" s="35"/>
      <c r="D19" s="4" t="s">
        <v>336</v>
      </c>
      <c r="F19" s="152">
        <f>+'4.1 Capital'!J20</f>
        <v>4.867340713005671E-2</v>
      </c>
      <c r="I19" s="156" t="s">
        <v>362</v>
      </c>
      <c r="J19" s="37"/>
      <c r="K19" s="1"/>
      <c r="L19" s="1"/>
      <c r="M19" s="1"/>
    </row>
    <row r="20" spans="1:13" ht="22.5" customHeight="1" x14ac:dyDescent="0.25">
      <c r="A20" s="1"/>
      <c r="B20" s="119">
        <f t="shared" si="0"/>
        <v>10</v>
      </c>
      <c r="C20" s="35"/>
      <c r="D20" s="4" t="s">
        <v>363</v>
      </c>
      <c r="F20" s="58">
        <f>+F19*F16</f>
        <v>164914.94512307999</v>
      </c>
      <c r="G20">
        <f>+F20</f>
        <v>164914.94512307999</v>
      </c>
      <c r="I20" s="156" t="s">
        <v>364</v>
      </c>
      <c r="J20" s="37"/>
      <c r="K20" s="1"/>
      <c r="L20" s="1"/>
      <c r="M20" s="1"/>
    </row>
    <row r="21" spans="1:13" x14ac:dyDescent="0.25">
      <c r="A21" s="1"/>
      <c r="B21" s="119">
        <f t="shared" si="0"/>
        <v>11</v>
      </c>
      <c r="C21" s="35"/>
      <c r="D21" s="4"/>
      <c r="F21" s="195"/>
      <c r="I21" s="156"/>
      <c r="J21" s="37"/>
      <c r="K21" s="1"/>
      <c r="L21" s="1"/>
      <c r="M21" s="1"/>
    </row>
    <row r="22" spans="1:13" x14ac:dyDescent="0.25">
      <c r="A22" s="1"/>
      <c r="B22" s="119">
        <f t="shared" si="0"/>
        <v>12</v>
      </c>
      <c r="C22" s="35"/>
      <c r="F22" s="102" t="s">
        <v>365</v>
      </c>
      <c r="G22" s="153">
        <f>-'5.1 Income Taxes'!G18</f>
        <v>187378</v>
      </c>
      <c r="I22" s="156" t="s">
        <v>360</v>
      </c>
      <c r="J22" s="37"/>
      <c r="K22" s="1"/>
      <c r="L22" s="1"/>
      <c r="M22" s="1"/>
    </row>
    <row r="23" spans="1:13" x14ac:dyDescent="0.25">
      <c r="A23" s="1"/>
      <c r="B23" s="119">
        <f t="shared" si="0"/>
        <v>13</v>
      </c>
      <c r="C23" s="35"/>
      <c r="D23" s="4"/>
      <c r="I23" s="156"/>
      <c r="J23" s="37"/>
      <c r="K23" s="1"/>
      <c r="L23" s="1"/>
      <c r="M23" s="1"/>
    </row>
    <row r="24" spans="1:13" x14ac:dyDescent="0.25">
      <c r="A24" s="1"/>
      <c r="B24" s="119">
        <f t="shared" si="0"/>
        <v>14</v>
      </c>
      <c r="C24" s="35"/>
      <c r="F24" s="4" t="s">
        <v>366</v>
      </c>
      <c r="G24" s="110">
        <f>+G20-G22</f>
        <v>-22463.05487692001</v>
      </c>
      <c r="H24" s="243" t="s">
        <v>367</v>
      </c>
      <c r="I24" s="366" t="s">
        <v>368</v>
      </c>
      <c r="J24" s="1"/>
      <c r="K24" s="1"/>
      <c r="L24" s="1"/>
      <c r="M24" s="1"/>
    </row>
    <row r="25" spans="1:13" x14ac:dyDescent="0.25">
      <c r="A25" s="1"/>
      <c r="B25" s="119">
        <f t="shared" si="0"/>
        <v>15</v>
      </c>
      <c r="C25" s="35"/>
      <c r="D25" s="4"/>
      <c r="F25" s="53"/>
      <c r="I25" s="367"/>
      <c r="J25" s="1"/>
      <c r="K25" s="1"/>
      <c r="L25" s="1"/>
      <c r="M25" s="1"/>
    </row>
    <row r="26" spans="1:13" x14ac:dyDescent="0.25">
      <c r="A26" s="1"/>
      <c r="B26" s="119">
        <f t="shared" si="0"/>
        <v>16</v>
      </c>
      <c r="C26" s="35"/>
      <c r="I26" s="102"/>
      <c r="J26" s="1"/>
      <c r="K26" s="1"/>
      <c r="L26" s="1"/>
      <c r="M26" s="1"/>
    </row>
    <row r="27" spans="1:13" x14ac:dyDescent="0.25">
      <c r="A27" s="1"/>
      <c r="B27" s="119">
        <f t="shared" si="0"/>
        <v>17</v>
      </c>
      <c r="C27" s="35"/>
      <c r="I27" s="54"/>
      <c r="J27" s="1"/>
      <c r="K27" s="1"/>
      <c r="L27" s="1"/>
      <c r="M27" s="1"/>
    </row>
    <row r="28" spans="1:13" x14ac:dyDescent="0.25">
      <c r="A28" s="1"/>
      <c r="B28" s="119">
        <f t="shared" si="0"/>
        <v>18</v>
      </c>
      <c r="C28" s="35"/>
      <c r="D28" s="248" t="s">
        <v>369</v>
      </c>
      <c r="E28" s="16"/>
      <c r="F28" s="16"/>
      <c r="G28" s="16"/>
      <c r="I28" s="54"/>
      <c r="J28" s="1"/>
      <c r="K28" s="1"/>
      <c r="L28" s="1"/>
      <c r="M28" s="1"/>
    </row>
    <row r="29" spans="1:13" x14ac:dyDescent="0.25">
      <c r="A29" s="1"/>
      <c r="B29" s="119">
        <f t="shared" si="0"/>
        <v>19</v>
      </c>
      <c r="C29" s="35"/>
      <c r="I29" s="54"/>
      <c r="J29" s="1"/>
      <c r="K29" s="1"/>
      <c r="L29" s="1"/>
      <c r="M29" s="1"/>
    </row>
    <row r="30" spans="1:13" x14ac:dyDescent="0.25">
      <c r="A30" s="1"/>
      <c r="B30" s="119">
        <f t="shared" si="0"/>
        <v>20</v>
      </c>
      <c r="C30" s="35"/>
      <c r="D30" s="53"/>
      <c r="I30" s="162"/>
      <c r="J30" s="1"/>
      <c r="K30" s="1"/>
      <c r="L30" s="1"/>
      <c r="M30" s="1"/>
    </row>
    <row r="31" spans="1:13" x14ac:dyDescent="0.25">
      <c r="A31" s="1"/>
      <c r="B31" s="119">
        <f t="shared" si="0"/>
        <v>21</v>
      </c>
      <c r="C31" s="35"/>
      <c r="F31" s="4" t="s">
        <v>370</v>
      </c>
      <c r="G31" s="13">
        <f>+'5.1 Income Taxes'!N27</f>
        <v>0.21</v>
      </c>
      <c r="I31" s="366" t="s">
        <v>360</v>
      </c>
      <c r="J31" s="1"/>
      <c r="K31" s="1"/>
      <c r="L31" s="1"/>
      <c r="M31" s="1"/>
    </row>
    <row r="32" spans="1:13" x14ac:dyDescent="0.25">
      <c r="A32" s="1"/>
      <c r="B32" s="119">
        <f t="shared" si="0"/>
        <v>22</v>
      </c>
      <c r="C32" s="35"/>
      <c r="F32" s="4"/>
      <c r="I32" s="54"/>
      <c r="J32" s="1"/>
      <c r="K32" s="1"/>
      <c r="L32" s="1"/>
      <c r="M32" s="1"/>
    </row>
    <row r="33" spans="1:19" x14ac:dyDescent="0.25">
      <c r="A33" s="1"/>
      <c r="B33" s="119">
        <f t="shared" si="0"/>
        <v>23</v>
      </c>
      <c r="C33" s="35"/>
      <c r="F33" s="4" t="s">
        <v>371</v>
      </c>
      <c r="G33" s="58">
        <f>+G24*G31</f>
        <v>-4717.2415241532017</v>
      </c>
      <c r="I33" s="156" t="s">
        <v>372</v>
      </c>
      <c r="J33" s="1"/>
      <c r="K33" s="1"/>
      <c r="L33" s="1"/>
      <c r="M33" s="1"/>
    </row>
    <row r="34" spans="1:19" x14ac:dyDescent="0.25">
      <c r="A34" s="1"/>
      <c r="B34" s="119">
        <f t="shared" si="0"/>
        <v>24</v>
      </c>
      <c r="C34" s="35"/>
      <c r="I34" s="54"/>
      <c r="J34" s="1"/>
      <c r="K34" s="1"/>
      <c r="L34" s="1"/>
      <c r="M34" s="1"/>
    </row>
    <row r="35" spans="1:19" x14ac:dyDescent="0.25">
      <c r="A35" s="1"/>
      <c r="B35" s="119">
        <f t="shared" si="0"/>
        <v>25</v>
      </c>
      <c r="C35" s="35"/>
      <c r="I35" s="54"/>
      <c r="J35" s="1"/>
      <c r="K35" s="1"/>
      <c r="L35" s="1"/>
      <c r="M35" s="1"/>
    </row>
    <row r="36" spans="1:19" x14ac:dyDescent="0.25">
      <c r="A36" s="1"/>
      <c r="B36" s="119">
        <f t="shared" si="0"/>
        <v>26</v>
      </c>
      <c r="C36" s="35"/>
      <c r="J36" s="1"/>
      <c r="K36" s="1"/>
      <c r="L36" s="1"/>
      <c r="M36" s="1"/>
    </row>
    <row r="37" spans="1:19" x14ac:dyDescent="0.25">
      <c r="A37" s="1"/>
      <c r="B37" s="119">
        <f t="shared" si="0"/>
        <v>27</v>
      </c>
      <c r="C37" s="35"/>
      <c r="J37" s="1"/>
      <c r="K37" s="1"/>
      <c r="L37" s="1"/>
      <c r="M37" s="1"/>
    </row>
    <row r="38" spans="1:19" x14ac:dyDescent="0.25">
      <c r="A38" s="1"/>
      <c r="B38" s="119">
        <f t="shared" si="0"/>
        <v>28</v>
      </c>
      <c r="C38" s="35"/>
      <c r="J38" s="1"/>
      <c r="K38" s="1"/>
      <c r="L38" s="1"/>
      <c r="M38" s="1"/>
    </row>
    <row r="39" spans="1:19" x14ac:dyDescent="0.25">
      <c r="A39" s="1"/>
      <c r="B39" s="119">
        <f t="shared" si="0"/>
        <v>29</v>
      </c>
      <c r="C39" s="35"/>
      <c r="J39" s="1"/>
      <c r="K39" s="1"/>
      <c r="L39" s="1"/>
      <c r="M39" s="1"/>
    </row>
    <row r="40" spans="1:19" x14ac:dyDescent="0.25">
      <c r="A40" s="1"/>
      <c r="B40" s="119">
        <f t="shared" si="0"/>
        <v>30</v>
      </c>
      <c r="C40" s="35"/>
      <c r="J40" s="1"/>
      <c r="K40" s="1"/>
      <c r="L40" s="1"/>
      <c r="M40" s="1"/>
    </row>
    <row r="41" spans="1:19" x14ac:dyDescent="0.25">
      <c r="A41" s="1"/>
      <c r="B41" s="119">
        <f t="shared" si="0"/>
        <v>31</v>
      </c>
      <c r="C41" s="35"/>
      <c r="J41" s="1"/>
      <c r="K41" s="1"/>
      <c r="L41" s="1"/>
      <c r="M41" s="1"/>
    </row>
    <row r="42" spans="1:19" x14ac:dyDescent="0.25">
      <c r="A42" s="1"/>
      <c r="B42" s="119">
        <f t="shared" si="0"/>
        <v>32</v>
      </c>
      <c r="C42" s="35"/>
      <c r="J42" s="1"/>
      <c r="K42" s="1"/>
      <c r="L42" s="1"/>
      <c r="M42" s="1"/>
    </row>
    <row r="43" spans="1:19" x14ac:dyDescent="0.25">
      <c r="A43" s="1"/>
      <c r="B43" s="119">
        <f t="shared" si="0"/>
        <v>33</v>
      </c>
      <c r="C43" s="35"/>
      <c r="J43" s="1"/>
      <c r="K43" s="1"/>
      <c r="L43" s="1"/>
      <c r="M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S45" s="28" t="e">
        <f>IF(tax_flag=1,"","No")</f>
        <v>#NAME?</v>
      </c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S46" s="29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S47" s="30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P48">
        <f>+Q48-N48</f>
        <v>0</v>
      </c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</row>
  </sheetData>
  <phoneticPr fontId="0" type="noConversion"/>
  <printOptions gridLinesSet="0"/>
  <pageMargins left="0.75" right="0.19" top="1" bottom="1" header="0.5" footer="0.5"/>
  <pageSetup orientation="portrait" r:id="rId1"/>
  <headerFooter alignWithMargins="0">
    <oddFooter>&amp;L&amp;8&amp;T  &amp;D&amp;R&amp;8&amp;F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77"/>
  <sheetViews>
    <sheetView showGridLines="0" topLeftCell="A20" zoomScaleNormal="100" workbookViewId="0">
      <selection activeCell="B1" sqref="B1"/>
    </sheetView>
  </sheetViews>
  <sheetFormatPr defaultRowHeight="15.75" x14ac:dyDescent="0.25"/>
  <cols>
    <col min="1" max="1" width="2.5" customWidth="1"/>
    <col min="2" max="2" width="4.875" customWidth="1"/>
    <col min="3" max="3" width="4" customWidth="1"/>
    <col min="4" max="4" width="11.625" customWidth="1"/>
    <col min="5" max="5" width="20.75" customWidth="1"/>
    <col min="6" max="6" width="10.125" customWidth="1"/>
    <col min="7" max="7" width="13" bestFit="1" customWidth="1"/>
    <col min="8" max="8" width="4" customWidth="1"/>
    <col min="9" max="9" width="11.5" customWidth="1"/>
    <col min="10" max="10" width="3.5" customWidth="1"/>
    <col min="11" max="11" width="15.625" customWidth="1"/>
    <col min="12" max="12" width="3.875" customWidth="1"/>
    <col min="13" max="13" width="13.625" bestFit="1" customWidth="1"/>
    <col min="14" max="14" width="13.25" customWidth="1"/>
    <col min="15" max="15" width="3.87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/>
      <c r="B2" s="6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/>
      <c r="B3" s="368" t="str">
        <f>+cover!B8</f>
        <v>Summit View Water Works LLC</v>
      </c>
      <c r="N3" s="332" t="s">
        <v>6</v>
      </c>
      <c r="P3" s="1"/>
      <c r="Q3" s="1"/>
      <c r="R3" s="1"/>
      <c r="S3" s="1"/>
      <c r="T3" s="1"/>
      <c r="U3" s="1"/>
      <c r="V3" s="1"/>
    </row>
    <row r="4" spans="1:22" x14ac:dyDescent="0.25">
      <c r="A4" s="1"/>
      <c r="B4" s="369" t="str">
        <f>+cover!B12</f>
        <v>Test Year Ended December 31, 2023</v>
      </c>
      <c r="P4" s="1"/>
      <c r="Q4" s="1"/>
      <c r="R4" s="1"/>
      <c r="S4" s="1"/>
      <c r="T4" s="1"/>
      <c r="U4" s="1"/>
      <c r="V4" s="1"/>
    </row>
    <row r="5" spans="1:22" x14ac:dyDescent="0.25">
      <c r="A5" s="1"/>
      <c r="B5" s="41" t="s">
        <v>373</v>
      </c>
      <c r="P5" s="1"/>
      <c r="Q5" s="1"/>
      <c r="R5" s="1"/>
      <c r="S5" s="1"/>
      <c r="T5" s="1"/>
      <c r="U5" s="1"/>
      <c r="V5" s="1"/>
    </row>
    <row r="6" spans="1:22" x14ac:dyDescent="0.25">
      <c r="A6" s="1"/>
      <c r="P6" s="1"/>
      <c r="Q6" s="1"/>
      <c r="R6" s="1"/>
      <c r="S6" s="1"/>
      <c r="T6" s="1"/>
      <c r="U6" s="1"/>
      <c r="V6" s="1"/>
    </row>
    <row r="7" spans="1:22" x14ac:dyDescent="0.25">
      <c r="A7" s="1"/>
      <c r="B7" s="100"/>
      <c r="I7" s="53" t="s">
        <v>374</v>
      </c>
      <c r="J7" s="53"/>
      <c r="P7" s="1"/>
      <c r="Q7" s="1"/>
      <c r="R7" s="1"/>
      <c r="S7" s="1"/>
      <c r="T7" s="1"/>
      <c r="U7" s="1"/>
      <c r="V7" s="1"/>
    </row>
    <row r="8" spans="1:22" x14ac:dyDescent="0.25">
      <c r="A8" s="1"/>
      <c r="P8" s="1"/>
      <c r="Q8" s="1"/>
      <c r="R8" s="1"/>
      <c r="S8" s="1"/>
      <c r="T8" s="1"/>
      <c r="U8" s="1"/>
      <c r="V8" s="1"/>
    </row>
    <row r="9" spans="1:22" x14ac:dyDescent="0.25">
      <c r="A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67" t="s">
        <v>18</v>
      </c>
      <c r="C10" s="67"/>
      <c r="D10" s="76" t="s">
        <v>9</v>
      </c>
      <c r="E10" s="121" t="s">
        <v>10</v>
      </c>
      <c r="G10" s="76" t="s">
        <v>11</v>
      </c>
      <c r="I10" s="76" t="s">
        <v>12</v>
      </c>
      <c r="J10" s="76"/>
      <c r="K10" s="76" t="s">
        <v>13</v>
      </c>
      <c r="M10" s="76" t="s">
        <v>14</v>
      </c>
      <c r="N10" s="76" t="s">
        <v>15</v>
      </c>
      <c r="O10" s="67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75" t="s">
        <v>19</v>
      </c>
      <c r="C11" s="75"/>
      <c r="D11" s="67"/>
      <c r="E11" s="266"/>
      <c r="F11" s="67"/>
      <c r="G11" s="79" t="s">
        <v>26</v>
      </c>
      <c r="K11" s="98"/>
      <c r="L11" s="67"/>
      <c r="M11" s="79"/>
      <c r="N11" s="67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01">
        <v>1</v>
      </c>
      <c r="C12" s="78"/>
      <c r="D12" s="266"/>
      <c r="E12" s="266"/>
      <c r="F12" s="266"/>
      <c r="G12" s="79" t="s">
        <v>375</v>
      </c>
      <c r="I12" s="79" t="s">
        <v>151</v>
      </c>
      <c r="J12" s="79"/>
      <c r="K12" s="79" t="s">
        <v>24</v>
      </c>
      <c r="L12" s="67"/>
      <c r="M12" s="79" t="s">
        <v>376</v>
      </c>
      <c r="N12" s="59" t="s">
        <v>25</v>
      </c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01">
        <f>+B12+1</f>
        <v>2</v>
      </c>
      <c r="C13" s="78"/>
      <c r="D13" s="127" t="s">
        <v>31</v>
      </c>
      <c r="E13" s="123"/>
      <c r="F13" s="124" t="s">
        <v>228</v>
      </c>
      <c r="G13" s="99" t="s">
        <v>377</v>
      </c>
      <c r="I13" s="99" t="s">
        <v>27</v>
      </c>
      <c r="J13" s="99"/>
      <c r="K13" s="99" t="s">
        <v>26</v>
      </c>
      <c r="L13" s="67"/>
      <c r="M13" s="99" t="s">
        <v>378</v>
      </c>
      <c r="N13" s="99" t="s">
        <v>379</v>
      </c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01">
        <f t="shared" ref="B14:B42" si="0">+B13+1</f>
        <v>3</v>
      </c>
      <c r="C14" s="78"/>
      <c r="D14" s="109"/>
      <c r="E14" s="78"/>
      <c r="G14" s="78"/>
      <c r="I14" s="78"/>
      <c r="J14" s="78"/>
      <c r="K14" s="78"/>
      <c r="L14" s="78"/>
      <c r="M14" s="78"/>
      <c r="N14" s="78"/>
      <c r="O14" s="78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01">
        <f t="shared" si="0"/>
        <v>4</v>
      </c>
      <c r="C15" s="78"/>
      <c r="D15" s="274"/>
      <c r="E15" s="266"/>
      <c r="G15" s="67"/>
      <c r="I15" s="67"/>
      <c r="J15" s="67"/>
      <c r="K15" s="67"/>
      <c r="L15" s="78"/>
      <c r="M15" s="67"/>
      <c r="N15" s="67"/>
      <c r="P15" s="1"/>
      <c r="Q15" s="1"/>
      <c r="R15" s="1"/>
      <c r="S15" s="1"/>
      <c r="T15" s="1"/>
      <c r="U15" s="1"/>
      <c r="V15" s="1"/>
    </row>
    <row r="16" spans="1:22" ht="18.75" x14ac:dyDescent="0.25">
      <c r="A16" s="1"/>
      <c r="B16" s="101">
        <f t="shared" si="0"/>
        <v>5</v>
      </c>
      <c r="C16" s="78"/>
      <c r="D16" s="279" t="s">
        <v>380</v>
      </c>
      <c r="F16" s="161" t="s">
        <v>82</v>
      </c>
      <c r="G16" s="80">
        <f>+'1.0 Inc. Stmt. RB '!F55</f>
        <v>98052.881080000079</v>
      </c>
      <c r="I16" s="80">
        <f>+'1.0 Inc. Stmt. RB '!G55+'1.0 Inc. Stmt. RB '!I55</f>
        <v>-234214.74859420001</v>
      </c>
      <c r="J16" s="247"/>
      <c r="K16" s="80">
        <f>+G16+I16</f>
        <v>-136161.86751419993</v>
      </c>
      <c r="L16" s="78"/>
      <c r="M16" s="80">
        <f>+N16-K16</f>
        <v>505161.23813999968</v>
      </c>
      <c r="N16" s="80">
        <f>+'1.0 Inc. Stmt. RB '!L55</f>
        <v>368999.37062579975</v>
      </c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101">
        <f t="shared" si="0"/>
        <v>6</v>
      </c>
      <c r="C17" s="78"/>
      <c r="D17" s="274"/>
      <c r="F17" s="161" t="s">
        <v>381</v>
      </c>
      <c r="G17" s="67">
        <v>0</v>
      </c>
      <c r="I17" s="67"/>
      <c r="J17" s="67"/>
      <c r="K17" s="67">
        <f>+I17+G17</f>
        <v>0</v>
      </c>
      <c r="L17" s="78"/>
      <c r="M17" s="67"/>
      <c r="N17" s="67">
        <f>+L17+K17</f>
        <v>0</v>
      </c>
      <c r="O17" s="273"/>
      <c r="P17" s="1"/>
      <c r="Q17" s="1"/>
      <c r="R17" s="1"/>
      <c r="S17" s="1"/>
      <c r="T17" s="1"/>
      <c r="U17" s="1"/>
      <c r="V17" s="1"/>
    </row>
    <row r="18" spans="1:22" ht="18.75" x14ac:dyDescent="0.25">
      <c r="A18" s="1"/>
      <c r="B18" s="101">
        <f t="shared" si="0"/>
        <v>7</v>
      </c>
      <c r="C18" s="78"/>
      <c r="D18" s="279" t="s">
        <v>382</v>
      </c>
      <c r="F18" s="161" t="s">
        <v>383</v>
      </c>
      <c r="G18" s="67">
        <v>-187378</v>
      </c>
      <c r="I18" s="67">
        <f>-'4.3 PF Debt'!G24</f>
        <v>22463.05487692001</v>
      </c>
      <c r="J18" s="247" t="s">
        <v>384</v>
      </c>
      <c r="K18" s="80">
        <f>+G18+I18</f>
        <v>-164914.94512307999</v>
      </c>
      <c r="L18" s="78"/>
      <c r="M18" s="67">
        <f>+N18-K18</f>
        <v>0</v>
      </c>
      <c r="N18" s="67">
        <f>-'4.3 PF Debt'!F20</f>
        <v>-164914.94512307999</v>
      </c>
      <c r="O18" s="273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01">
        <f t="shared" si="0"/>
        <v>8</v>
      </c>
      <c r="C19" s="78"/>
      <c r="D19" s="274"/>
      <c r="F19" s="161" t="s">
        <v>385</v>
      </c>
      <c r="G19" s="67">
        <v>0</v>
      </c>
      <c r="I19" s="67">
        <v>0</v>
      </c>
      <c r="J19" s="67"/>
      <c r="K19" s="67">
        <f>+I19+G19</f>
        <v>0</v>
      </c>
      <c r="L19" s="78"/>
      <c r="M19" s="67">
        <v>0</v>
      </c>
      <c r="N19" s="67">
        <f>+L19+K19</f>
        <v>0</v>
      </c>
      <c r="O19" s="273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01">
        <f t="shared" si="0"/>
        <v>9</v>
      </c>
      <c r="C20" s="78"/>
      <c r="D20" s="274"/>
      <c r="F20" s="161"/>
      <c r="G20" s="67"/>
      <c r="I20" s="80"/>
      <c r="J20" s="80"/>
      <c r="K20" s="67"/>
      <c r="L20" s="78"/>
      <c r="M20" s="80"/>
      <c r="N20" s="67"/>
      <c r="O20" s="273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01">
        <f t="shared" si="0"/>
        <v>10</v>
      </c>
      <c r="C21" s="78"/>
      <c r="D21" s="279" t="s">
        <v>386</v>
      </c>
      <c r="F21" s="161" t="s">
        <v>387</v>
      </c>
      <c r="G21" s="277">
        <f>SUM(G14:G20)</f>
        <v>-89325.118919999921</v>
      </c>
      <c r="I21" s="277">
        <f>SUM(I14:I20)</f>
        <v>-211751.69371728</v>
      </c>
      <c r="J21" s="277"/>
      <c r="K21" s="277">
        <f>SUM(K14:K20)</f>
        <v>-301076.81263727992</v>
      </c>
      <c r="L21" s="78"/>
      <c r="M21" s="277">
        <f>SUM(M14:M20)</f>
        <v>505161.23813999968</v>
      </c>
      <c r="N21" s="277">
        <f>SUM(N14:N20)</f>
        <v>204084.42550271977</v>
      </c>
      <c r="O21" s="273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01">
        <f t="shared" si="0"/>
        <v>11</v>
      </c>
      <c r="C22" s="78"/>
      <c r="D22" s="106"/>
      <c r="F22" s="161"/>
      <c r="G22" s="67"/>
      <c r="I22" s="67"/>
      <c r="J22" s="67"/>
      <c r="K22" s="67"/>
      <c r="L22" s="78"/>
      <c r="M22" s="67"/>
      <c r="N22" s="67"/>
      <c r="O22" s="273"/>
      <c r="P22" s="1"/>
      <c r="Q22" s="1"/>
      <c r="R22" s="1"/>
      <c r="S22" s="1"/>
      <c r="T22" s="1"/>
      <c r="U22" s="1"/>
      <c r="V22" s="1"/>
    </row>
    <row r="23" spans="1:22" ht="16.5" thickBot="1" x14ac:dyDescent="0.3">
      <c r="A23" s="1"/>
      <c r="B23" s="101">
        <f t="shared" si="0"/>
        <v>12</v>
      </c>
      <c r="D23" s="279" t="s">
        <v>388</v>
      </c>
      <c r="F23" s="161" t="s">
        <v>389</v>
      </c>
      <c r="G23" s="103">
        <f>+G21*0.21</f>
        <v>-18758.274973199983</v>
      </c>
      <c r="I23" s="103">
        <f t="shared" ref="I23:K23" si="1">+I21*0.21</f>
        <v>-44467.855680628796</v>
      </c>
      <c r="J23" s="103"/>
      <c r="K23" s="103">
        <f t="shared" si="1"/>
        <v>-63226.130653828783</v>
      </c>
      <c r="L23" s="78"/>
      <c r="M23" s="103">
        <f>+M21*0.21</f>
        <v>106083.86000939993</v>
      </c>
      <c r="N23" s="103">
        <f>+N21*0.21</f>
        <v>42857.729355571151</v>
      </c>
      <c r="O23" s="273"/>
      <c r="P23" s="1"/>
      <c r="Q23" s="1"/>
      <c r="R23" s="1"/>
      <c r="S23" s="1"/>
      <c r="T23" s="1"/>
      <c r="U23" s="1"/>
      <c r="V23" s="1"/>
    </row>
    <row r="24" spans="1:22" ht="16.5" thickTop="1" x14ac:dyDescent="0.25">
      <c r="A24" s="1"/>
      <c r="B24" s="101">
        <f t="shared" si="0"/>
        <v>13</v>
      </c>
      <c r="D24" s="108"/>
      <c r="F24" s="161"/>
      <c r="L24" s="67"/>
      <c r="O24" s="273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101">
        <f t="shared" si="0"/>
        <v>14</v>
      </c>
      <c r="D25" s="279" t="s">
        <v>368</v>
      </c>
      <c r="F25" s="161" t="s">
        <v>390</v>
      </c>
      <c r="G25">
        <f>+G21-G23</f>
        <v>-70566.843946799941</v>
      </c>
      <c r="I25">
        <f>+I21-I23</f>
        <v>-167283.8380366512</v>
      </c>
      <c r="K25">
        <f>+K21-K23</f>
        <v>-237850.68198345113</v>
      </c>
      <c r="M25">
        <f>+M21-M23</f>
        <v>399077.37813059974</v>
      </c>
      <c r="N25">
        <f>+N21-N23</f>
        <v>161226.69614714861</v>
      </c>
      <c r="O25" s="273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101">
        <f t="shared" si="0"/>
        <v>15</v>
      </c>
      <c r="D26" s="279"/>
      <c r="F26" s="161"/>
      <c r="G26" s="13"/>
      <c r="I26" s="13"/>
      <c r="J26" s="13"/>
      <c r="K26" s="13"/>
      <c r="L26" s="67"/>
      <c r="M26" s="13"/>
      <c r="N26" s="13"/>
      <c r="O26" s="273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01">
        <f t="shared" si="0"/>
        <v>16</v>
      </c>
      <c r="D27" s="279" t="s">
        <v>391</v>
      </c>
      <c r="F27" s="161" t="s">
        <v>392</v>
      </c>
      <c r="G27" s="13">
        <f>IF(G21&lt;1,0,+G23/G21)</f>
        <v>0</v>
      </c>
      <c r="I27" s="13">
        <f>IF(I21&lt;1,0,+I23/I21)</f>
        <v>0</v>
      </c>
      <c r="J27" s="13"/>
      <c r="K27" s="13">
        <f>IF(K21&lt;1,0,+K23/K21)</f>
        <v>0</v>
      </c>
      <c r="L27" s="67"/>
      <c r="M27" s="13">
        <f>IF(M21&lt;1,0,+M23/M21)</f>
        <v>0.21</v>
      </c>
      <c r="N27" s="13">
        <f>IF(N21&lt;1,0,+N23/N21)</f>
        <v>0.21</v>
      </c>
      <c r="O27" s="273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01">
        <f t="shared" si="0"/>
        <v>17</v>
      </c>
      <c r="D28" s="292"/>
      <c r="F28" s="161"/>
      <c r="G28" s="13"/>
      <c r="I28" s="13"/>
      <c r="J28" s="13"/>
      <c r="O28" s="273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01">
        <f t="shared" si="0"/>
        <v>18</v>
      </c>
      <c r="D29" s="292"/>
      <c r="F29" s="161"/>
      <c r="G29" s="13"/>
      <c r="I29" s="13"/>
      <c r="J29" s="13"/>
      <c r="K29" s="13"/>
      <c r="L29" s="67"/>
      <c r="O29" s="273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01">
        <f t="shared" si="0"/>
        <v>19</v>
      </c>
      <c r="D30" s="292"/>
      <c r="E30" s="395"/>
      <c r="F30" s="161"/>
      <c r="G30" s="13"/>
      <c r="I30" s="13"/>
      <c r="J30" s="13"/>
      <c r="K30" s="13"/>
      <c r="L30" s="67"/>
      <c r="O30" s="273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01">
        <f t="shared" si="0"/>
        <v>20</v>
      </c>
      <c r="D31" s="292"/>
      <c r="E31" s="395" t="s">
        <v>393</v>
      </c>
      <c r="F31" s="161"/>
      <c r="G31" s="13"/>
      <c r="I31" s="13"/>
      <c r="J31" s="13"/>
      <c r="K31" s="13"/>
      <c r="L31" s="67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01">
        <f t="shared" si="0"/>
        <v>21</v>
      </c>
      <c r="D32" s="292"/>
      <c r="F32" s="161"/>
      <c r="G32" s="13"/>
      <c r="I32" s="13"/>
      <c r="J32" s="13"/>
      <c r="K32" s="13"/>
      <c r="L32" s="67"/>
      <c r="O32" s="273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01">
        <f t="shared" si="0"/>
        <v>22</v>
      </c>
      <c r="D33" s="292"/>
      <c r="F33" s="161"/>
      <c r="G33" s="13"/>
      <c r="I33" s="13"/>
      <c r="J33" s="13"/>
      <c r="K33" s="13"/>
      <c r="L33" s="67"/>
      <c r="O33" s="273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01">
        <f t="shared" si="0"/>
        <v>23</v>
      </c>
      <c r="D34" s="292"/>
      <c r="F34" s="161"/>
      <c r="G34" s="13"/>
      <c r="I34" s="13"/>
      <c r="J34" s="13"/>
      <c r="K34" s="13"/>
      <c r="L34" s="67"/>
      <c r="O34" s="273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01">
        <f t="shared" si="0"/>
        <v>24</v>
      </c>
      <c r="D35" s="292"/>
      <c r="F35" s="161"/>
      <c r="G35" s="13"/>
      <c r="I35" s="13"/>
      <c r="J35" s="13"/>
      <c r="K35" s="13"/>
      <c r="L35" s="67"/>
      <c r="N35" s="13"/>
      <c r="O35" s="273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01">
        <f t="shared" si="0"/>
        <v>25</v>
      </c>
      <c r="D36" s="292"/>
      <c r="F36" s="161"/>
      <c r="G36" s="13"/>
      <c r="I36" s="13"/>
      <c r="J36" s="13"/>
      <c r="K36" s="13"/>
      <c r="L36" s="67"/>
      <c r="N36" s="13"/>
      <c r="O36" s="273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01">
        <f t="shared" si="0"/>
        <v>26</v>
      </c>
      <c r="D37" s="292"/>
      <c r="F37" s="161"/>
      <c r="G37" s="13"/>
      <c r="I37" s="13"/>
      <c r="J37" s="13"/>
      <c r="K37" s="13"/>
      <c r="L37" s="67"/>
      <c r="M37" s="331"/>
      <c r="N37" s="13"/>
      <c r="O37" s="273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01">
        <f t="shared" si="0"/>
        <v>27</v>
      </c>
      <c r="L38" s="67"/>
      <c r="O38" s="273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01">
        <f t="shared" si="0"/>
        <v>28</v>
      </c>
      <c r="O39" s="273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01">
        <f t="shared" si="0"/>
        <v>29</v>
      </c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01">
        <f t="shared" si="0"/>
        <v>30</v>
      </c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01">
        <f t="shared" si="0"/>
        <v>31</v>
      </c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22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2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phoneticPr fontId="11" type="noConversion"/>
  <pageMargins left="0.17" right="0.48" top="1" bottom="1" header="0.5" footer="0.5"/>
  <pageSetup scale="78" orientation="landscape" r:id="rId1"/>
  <headerFooter alignWithMargins="0"/>
  <ignoredErrors>
    <ignoredError sqref="K17 N1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747A-6D13-4FCF-8BC4-817E80FFAC32}">
  <sheetPr>
    <pageSetUpPr fitToPage="1"/>
  </sheetPr>
  <dimension ref="A1:L78"/>
  <sheetViews>
    <sheetView showGridLines="0" workbookViewId="0">
      <selection activeCell="D14" sqref="D14"/>
    </sheetView>
  </sheetViews>
  <sheetFormatPr defaultRowHeight="15.75" x14ac:dyDescent="0.25"/>
  <cols>
    <col min="1" max="1" width="6.375" style="372" customWidth="1"/>
    <col min="2" max="2" width="12.625" customWidth="1"/>
    <col min="3" max="3" width="31" customWidth="1"/>
    <col min="4" max="4" width="15.875" bestFit="1" customWidth="1"/>
    <col min="5" max="5" width="2.625" customWidth="1"/>
    <col min="6" max="6" width="14.125" customWidth="1"/>
    <col min="8" max="8" width="15.875" bestFit="1" customWidth="1"/>
  </cols>
  <sheetData>
    <row r="1" spans="1:12" x14ac:dyDescent="0.25"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2" x14ac:dyDescent="0.25"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</row>
    <row r="3" spans="1:12" x14ac:dyDescent="0.25"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</row>
    <row r="4" spans="1:12" x14ac:dyDescent="0.25">
      <c r="A4" s="371"/>
      <c r="B4" s="221" t="str">
        <f>+cover!B8</f>
        <v>Summit View Water Works LLC</v>
      </c>
      <c r="G4" s="332" t="s">
        <v>6</v>
      </c>
      <c r="H4" s="372"/>
      <c r="I4" s="372"/>
      <c r="J4" s="372"/>
      <c r="K4" s="372"/>
      <c r="L4" s="372"/>
    </row>
    <row r="5" spans="1:12" x14ac:dyDescent="0.25">
      <c r="A5" s="371"/>
      <c r="B5" s="221" t="str">
        <f>+Test_Yr</f>
        <v>Test Year Ended December 31, 2023</v>
      </c>
      <c r="H5" s="372"/>
      <c r="I5" s="372"/>
      <c r="J5" s="372"/>
      <c r="K5" s="372"/>
      <c r="L5" s="372"/>
    </row>
    <row r="6" spans="1:12" x14ac:dyDescent="0.25">
      <c r="A6" s="371"/>
      <c r="B6" s="443" t="s">
        <v>394</v>
      </c>
      <c r="H6" s="372"/>
      <c r="I6" s="372"/>
      <c r="J6" s="372"/>
      <c r="K6" s="372"/>
      <c r="L6" s="372"/>
    </row>
    <row r="7" spans="1:12" x14ac:dyDescent="0.25">
      <c r="A7" s="371"/>
      <c r="C7" s="457" t="s">
        <v>395</v>
      </c>
      <c r="D7" s="457"/>
      <c r="E7" s="457"/>
      <c r="F7" s="457"/>
      <c r="H7" s="372"/>
      <c r="I7" s="372"/>
      <c r="J7" s="372"/>
      <c r="K7" s="372"/>
      <c r="L7" s="372"/>
    </row>
    <row r="8" spans="1:12" ht="18.75" x14ac:dyDescent="0.3">
      <c r="A8" s="371"/>
      <c r="B8" s="362"/>
      <c r="C8" s="457" t="s">
        <v>396</v>
      </c>
      <c r="D8" s="457"/>
      <c r="E8" s="457"/>
      <c r="F8" s="457"/>
      <c r="H8" s="372"/>
      <c r="I8" s="372"/>
      <c r="J8" s="372"/>
      <c r="K8" s="372"/>
      <c r="L8" s="372"/>
    </row>
    <row r="9" spans="1:12" x14ac:dyDescent="0.25">
      <c r="A9" s="371"/>
      <c r="C9" s="114"/>
      <c r="D9" s="114"/>
      <c r="E9" s="114"/>
      <c r="F9" s="114"/>
      <c r="H9" s="372"/>
      <c r="I9" s="372"/>
      <c r="J9" s="372"/>
      <c r="K9" s="372"/>
      <c r="L9" s="372"/>
    </row>
    <row r="10" spans="1:12" ht="18.600000000000001" customHeight="1" x14ac:dyDescent="0.3">
      <c r="A10" s="371"/>
      <c r="C10" s="356" t="s">
        <v>397</v>
      </c>
      <c r="H10" s="372"/>
      <c r="I10" s="372"/>
      <c r="J10" s="372"/>
      <c r="K10" s="372"/>
      <c r="L10" s="372"/>
    </row>
    <row r="11" spans="1:12" ht="10.15" customHeight="1" x14ac:dyDescent="0.25">
      <c r="A11" s="371"/>
      <c r="H11" s="372"/>
      <c r="I11" s="372"/>
      <c r="J11" s="372"/>
      <c r="K11" s="372"/>
      <c r="L11" s="372"/>
    </row>
    <row r="12" spans="1:12" x14ac:dyDescent="0.25">
      <c r="A12" s="371"/>
      <c r="C12" s="53" t="s">
        <v>398</v>
      </c>
      <c r="H12" s="372"/>
      <c r="I12" s="372"/>
      <c r="J12" s="372"/>
      <c r="K12" s="372"/>
      <c r="L12" s="372"/>
    </row>
    <row r="13" spans="1:12" x14ac:dyDescent="0.25">
      <c r="A13" s="371"/>
      <c r="C13" t="s">
        <v>294</v>
      </c>
      <c r="D13" s="357">
        <f>+'1.0 Inc. Stmt. RB '!L62</f>
        <v>5418839</v>
      </c>
      <c r="E13" s="3"/>
      <c r="H13" s="372"/>
      <c r="I13" s="372"/>
      <c r="J13" s="372"/>
      <c r="K13" s="372"/>
      <c r="L13" s="372"/>
    </row>
    <row r="14" spans="1:12" x14ac:dyDescent="0.25">
      <c r="A14" s="371"/>
      <c r="C14" t="s">
        <v>399</v>
      </c>
      <c r="D14" s="16">
        <f>+'1.0 Inc. Stmt. RB '!L63</f>
        <v>-1314110</v>
      </c>
      <c r="H14" s="372"/>
      <c r="I14" s="372"/>
      <c r="J14" s="372"/>
      <c r="K14" s="372"/>
      <c r="L14" s="372"/>
    </row>
    <row r="15" spans="1:12" ht="16.5" thickBot="1" x14ac:dyDescent="0.3">
      <c r="A15" s="371"/>
      <c r="C15" s="373" t="s">
        <v>400</v>
      </c>
      <c r="D15" s="358">
        <f>+D13+D14</f>
        <v>4104729</v>
      </c>
      <c r="F15" s="357">
        <f>+D15</f>
        <v>4104729</v>
      </c>
      <c r="H15" s="372"/>
      <c r="I15" s="372"/>
      <c r="J15" s="372"/>
      <c r="K15" s="372"/>
      <c r="L15" s="372"/>
    </row>
    <row r="16" spans="1:12" ht="7.9" customHeight="1" thickTop="1" x14ac:dyDescent="0.25">
      <c r="A16" s="371"/>
      <c r="H16" s="372"/>
      <c r="I16" s="372"/>
      <c r="J16" s="372"/>
      <c r="K16" s="372"/>
      <c r="L16" s="372"/>
    </row>
    <row r="17" spans="1:12" x14ac:dyDescent="0.25">
      <c r="A17" s="371"/>
      <c r="C17" t="s">
        <v>401</v>
      </c>
      <c r="H17" s="372"/>
      <c r="I17" s="372"/>
      <c r="J17" s="372"/>
      <c r="K17" s="372"/>
      <c r="L17" s="372"/>
    </row>
    <row r="18" spans="1:12" ht="9" customHeight="1" x14ac:dyDescent="0.25">
      <c r="A18" s="371"/>
      <c r="H18" s="372"/>
      <c r="I18" s="372"/>
      <c r="J18" s="372"/>
      <c r="K18" s="372"/>
      <c r="L18" s="372"/>
    </row>
    <row r="19" spans="1:12" x14ac:dyDescent="0.25">
      <c r="A19" s="371"/>
      <c r="C19" s="53" t="s">
        <v>402</v>
      </c>
      <c r="H19" s="372"/>
      <c r="I19" s="372"/>
      <c r="J19" s="372"/>
      <c r="K19" s="372"/>
      <c r="L19" s="372"/>
    </row>
    <row r="20" spans="1:12" x14ac:dyDescent="0.25">
      <c r="A20" s="371"/>
      <c r="C20" t="s">
        <v>403</v>
      </c>
      <c r="D20" s="357">
        <v>45060.1</v>
      </c>
      <c r="H20" s="372"/>
      <c r="I20" s="372"/>
      <c r="J20" s="372"/>
      <c r="K20" s="372"/>
      <c r="L20" s="372"/>
    </row>
    <row r="21" spans="1:12" x14ac:dyDescent="0.25">
      <c r="A21" s="371"/>
      <c r="C21" t="s">
        <v>404</v>
      </c>
      <c r="D21" s="16">
        <v>414117.43</v>
      </c>
      <c r="H21" s="372"/>
      <c r="I21" s="372"/>
      <c r="J21" s="372"/>
      <c r="K21" s="372"/>
      <c r="L21" s="372"/>
    </row>
    <row r="22" spans="1:12" x14ac:dyDescent="0.25">
      <c r="A22" s="371"/>
      <c r="C22" s="4" t="s">
        <v>405</v>
      </c>
      <c r="D22" s="360">
        <v>459177.53</v>
      </c>
      <c r="F22">
        <f>+D22</f>
        <v>459177.53</v>
      </c>
      <c r="H22" s="372"/>
      <c r="I22" s="372"/>
      <c r="J22" s="372"/>
      <c r="K22" s="372"/>
      <c r="L22" s="372"/>
    </row>
    <row r="23" spans="1:12" x14ac:dyDescent="0.25">
      <c r="A23" s="371"/>
      <c r="H23" s="372"/>
      <c r="I23" s="372"/>
      <c r="J23" s="372"/>
      <c r="K23" s="372"/>
      <c r="L23" s="372"/>
    </row>
    <row r="24" spans="1:12" x14ac:dyDescent="0.25">
      <c r="A24" s="371"/>
      <c r="C24" t="s">
        <v>406</v>
      </c>
      <c r="D24">
        <v>0</v>
      </c>
      <c r="H24" s="372"/>
      <c r="I24" s="372"/>
      <c r="J24" s="372"/>
      <c r="K24" s="372"/>
      <c r="L24" s="372"/>
    </row>
    <row r="25" spans="1:12" x14ac:dyDescent="0.25">
      <c r="A25" s="371"/>
      <c r="C25" t="s">
        <v>407</v>
      </c>
      <c r="D25" s="16">
        <v>0</v>
      </c>
      <c r="H25" s="372"/>
      <c r="I25" s="372"/>
      <c r="J25" s="372"/>
      <c r="K25" s="372"/>
      <c r="L25" s="372"/>
    </row>
    <row r="26" spans="1:12" ht="21" customHeight="1" thickBot="1" x14ac:dyDescent="0.3">
      <c r="A26" s="371"/>
      <c r="C26" s="4" t="s">
        <v>408</v>
      </c>
      <c r="D26" s="358">
        <f>+D24+D25</f>
        <v>0</v>
      </c>
      <c r="F26">
        <f>+D26</f>
        <v>0</v>
      </c>
      <c r="H26" s="372"/>
      <c r="I26" s="372"/>
      <c r="J26" s="372"/>
      <c r="K26" s="372"/>
      <c r="L26" s="372"/>
    </row>
    <row r="27" spans="1:12" ht="16.5" thickTop="1" x14ac:dyDescent="0.25">
      <c r="A27" s="371"/>
      <c r="H27" s="372"/>
      <c r="I27" s="372"/>
      <c r="J27" s="372"/>
      <c r="K27" s="372"/>
      <c r="L27" s="372"/>
    </row>
    <row r="28" spans="1:12" ht="16.5" thickBot="1" x14ac:dyDescent="0.3">
      <c r="A28" s="371"/>
      <c r="D28" s="4" t="s">
        <v>409</v>
      </c>
      <c r="F28" s="358">
        <f>+F15+F17+F26</f>
        <v>4104729</v>
      </c>
      <c r="H28" s="372"/>
      <c r="I28" s="372"/>
      <c r="J28" s="372"/>
      <c r="K28" s="372"/>
      <c r="L28" s="372"/>
    </row>
    <row r="29" spans="1:12" ht="16.5" thickTop="1" x14ac:dyDescent="0.25">
      <c r="A29" s="371"/>
      <c r="H29" s="372"/>
      <c r="I29" s="372"/>
      <c r="J29" s="372"/>
      <c r="K29" s="372"/>
      <c r="L29" s="372"/>
    </row>
    <row r="30" spans="1:12" ht="18.75" x14ac:dyDescent="0.3">
      <c r="A30" s="371"/>
      <c r="C30" s="356" t="s">
        <v>410</v>
      </c>
      <c r="H30" s="372"/>
      <c r="I30" s="372"/>
      <c r="J30" s="372"/>
      <c r="K30" s="372"/>
      <c r="L30" s="372"/>
    </row>
    <row r="31" spans="1:12" x14ac:dyDescent="0.25">
      <c r="A31" s="371"/>
      <c r="H31" s="372"/>
      <c r="I31" s="372"/>
      <c r="J31" s="372"/>
      <c r="K31" s="372"/>
      <c r="L31" s="372"/>
    </row>
    <row r="32" spans="1:12" x14ac:dyDescent="0.25">
      <c r="A32" s="371"/>
      <c r="C32" s="361" t="s">
        <v>411</v>
      </c>
      <c r="H32" s="372"/>
      <c r="I32" s="372"/>
      <c r="J32" s="372"/>
      <c r="K32" s="372"/>
      <c r="L32" s="372"/>
    </row>
    <row r="33" spans="1:12" x14ac:dyDescent="0.25">
      <c r="A33" s="371"/>
      <c r="C33" t="s">
        <v>344</v>
      </c>
      <c r="D33" s="357">
        <f>+'4.2 Cost Debt'!G15</f>
        <v>377422.94</v>
      </c>
      <c r="H33" s="372"/>
      <c r="I33" s="372"/>
      <c r="J33" s="372"/>
      <c r="K33" s="372"/>
      <c r="L33" s="372"/>
    </row>
    <row r="34" spans="1:12" x14ac:dyDescent="0.25">
      <c r="A34" s="371"/>
      <c r="C34" s="387" t="s">
        <v>345</v>
      </c>
      <c r="D34" s="386">
        <f>+'4.2 Cost Debt'!G16</f>
        <v>315731.94</v>
      </c>
      <c r="H34" s="372"/>
      <c r="I34" s="372"/>
      <c r="J34" s="372"/>
      <c r="K34" s="372"/>
      <c r="L34" s="372"/>
    </row>
    <row r="35" spans="1:12" x14ac:dyDescent="0.25">
      <c r="A35" s="371"/>
      <c r="C35" s="387" t="s">
        <v>346</v>
      </c>
      <c r="D35" s="386">
        <f>+'4.2 Cost Debt'!G17</f>
        <v>423529.88</v>
      </c>
      <c r="H35" s="372"/>
      <c r="I35" s="372"/>
      <c r="J35" s="372"/>
      <c r="K35" s="372"/>
      <c r="L35" s="372"/>
    </row>
    <row r="36" spans="1:12" x14ac:dyDescent="0.25">
      <c r="A36" s="371"/>
      <c r="C36" s="387" t="s">
        <v>347</v>
      </c>
      <c r="D36" s="386">
        <f>+'4.2 Cost Debt'!G18</f>
        <v>67703.03</v>
      </c>
      <c r="H36" s="372"/>
      <c r="I36" s="372"/>
      <c r="J36" s="372"/>
      <c r="K36" s="372"/>
      <c r="L36" s="372"/>
    </row>
    <row r="37" spans="1:12" x14ac:dyDescent="0.25">
      <c r="A37" s="371"/>
      <c r="C37" s="387" t="s">
        <v>348</v>
      </c>
      <c r="D37" s="386">
        <f>+'4.2 Cost Debt'!G19</f>
        <v>510755.7</v>
      </c>
      <c r="H37" s="372"/>
      <c r="I37" s="372"/>
      <c r="J37" s="372"/>
      <c r="K37" s="372"/>
      <c r="L37" s="372"/>
    </row>
    <row r="38" spans="1:12" x14ac:dyDescent="0.25">
      <c r="A38" s="371"/>
      <c r="C38" s="387" t="s">
        <v>349</v>
      </c>
      <c r="D38" s="386">
        <f>+'4.2 Cost Debt'!G20</f>
        <v>5825.98</v>
      </c>
      <c r="H38" s="372"/>
      <c r="I38" s="372"/>
      <c r="J38" s="372"/>
      <c r="K38" s="372"/>
      <c r="L38" s="372"/>
    </row>
    <row r="39" spans="1:12" x14ac:dyDescent="0.25">
      <c r="A39" s="371"/>
      <c r="C39" s="387" t="s">
        <v>350</v>
      </c>
      <c r="D39" s="386">
        <f>+'4.2 Cost Debt'!G21</f>
        <v>5825.96</v>
      </c>
      <c r="H39" s="372"/>
      <c r="I39" s="372"/>
      <c r="J39" s="372"/>
      <c r="K39" s="372"/>
      <c r="L39" s="372"/>
    </row>
    <row r="40" spans="1:12" x14ac:dyDescent="0.25">
      <c r="A40" s="371"/>
      <c r="C40" s="387" t="s">
        <v>412</v>
      </c>
      <c r="D40" s="386">
        <f>+'4.2 Cost Debt'!G22</f>
        <v>17568.05</v>
      </c>
      <c r="H40" s="372"/>
      <c r="I40" s="372"/>
      <c r="J40" s="372"/>
      <c r="K40" s="372"/>
      <c r="L40" s="372"/>
    </row>
    <row r="41" spans="1:12" x14ac:dyDescent="0.25">
      <c r="A41" s="371"/>
      <c r="C41" s="387" t="s">
        <v>352</v>
      </c>
      <c r="D41" s="386">
        <f>+'4.2 Cost Debt'!G23</f>
        <v>101439.86</v>
      </c>
      <c r="H41" s="372"/>
      <c r="I41" s="372"/>
      <c r="J41" s="372"/>
      <c r="K41" s="372"/>
      <c r="L41" s="372"/>
    </row>
    <row r="42" spans="1:12" x14ac:dyDescent="0.25">
      <c r="A42" s="371"/>
      <c r="C42" s="387" t="s">
        <v>353</v>
      </c>
      <c r="D42" s="386">
        <f>+'4.2 Cost Debt'!G24</f>
        <v>101439.86</v>
      </c>
      <c r="H42" s="372"/>
      <c r="I42" s="372"/>
      <c r="J42" s="372"/>
      <c r="K42" s="372"/>
      <c r="L42" s="372"/>
    </row>
    <row r="43" spans="1:12" ht="16.5" thickBot="1" x14ac:dyDescent="0.3">
      <c r="A43" s="371"/>
      <c r="C43" s="396" t="s">
        <v>413</v>
      </c>
      <c r="D43" s="358">
        <f>SUM(D33:D42)</f>
        <v>1927243.2000000002</v>
      </c>
      <c r="F43" s="357">
        <f>+D43</f>
        <v>1927243.2000000002</v>
      </c>
      <c r="H43" s="372"/>
      <c r="I43" s="372"/>
      <c r="J43" s="372"/>
      <c r="K43" s="372"/>
      <c r="L43" s="372"/>
    </row>
    <row r="44" spans="1:12" ht="16.5" thickTop="1" x14ac:dyDescent="0.25">
      <c r="A44" s="371"/>
      <c r="H44" s="372"/>
      <c r="I44" s="372"/>
      <c r="J44" s="372"/>
      <c r="K44" s="372"/>
      <c r="L44" s="372"/>
    </row>
    <row r="45" spans="1:12" x14ac:dyDescent="0.25">
      <c r="A45" s="371"/>
      <c r="H45" s="372"/>
      <c r="I45" s="372"/>
      <c r="J45" s="372"/>
      <c r="K45" s="372"/>
      <c r="L45" s="372"/>
    </row>
    <row r="46" spans="1:12" x14ac:dyDescent="0.25">
      <c r="A46" s="371"/>
      <c r="C46" s="53" t="s">
        <v>414</v>
      </c>
      <c r="H46" s="372"/>
      <c r="I46" s="372"/>
      <c r="J46" s="372"/>
      <c r="K46" s="372"/>
      <c r="L46" s="372"/>
    </row>
    <row r="47" spans="1:12" x14ac:dyDescent="0.25">
      <c r="A47" s="371"/>
      <c r="C47" t="s">
        <v>321</v>
      </c>
      <c r="D47" s="357">
        <v>216180.48000000001</v>
      </c>
      <c r="H47" s="372"/>
      <c r="I47" s="372"/>
      <c r="J47" s="372"/>
      <c r="K47" s="372"/>
      <c r="L47" s="372"/>
    </row>
    <row r="48" spans="1:12" x14ac:dyDescent="0.25">
      <c r="A48" s="371"/>
      <c r="C48" t="s">
        <v>324</v>
      </c>
      <c r="D48">
        <v>1176422</v>
      </c>
      <c r="H48" s="372"/>
      <c r="I48" s="372"/>
      <c r="J48" s="372"/>
      <c r="K48" s="372"/>
      <c r="L48" s="372"/>
    </row>
    <row r="49" spans="1:12" ht="16.5" thickBot="1" x14ac:dyDescent="0.3">
      <c r="A49" s="371"/>
      <c r="C49" s="4" t="s">
        <v>415</v>
      </c>
      <c r="D49" s="358">
        <f>+D47+D48</f>
        <v>1392602.48</v>
      </c>
      <c r="F49">
        <f>+D49</f>
        <v>1392602.48</v>
      </c>
      <c r="H49" s="372"/>
      <c r="I49" s="372"/>
      <c r="J49" s="372"/>
      <c r="K49" s="372"/>
      <c r="L49" s="372"/>
    </row>
    <row r="50" spans="1:12" ht="16.5" thickTop="1" x14ac:dyDescent="0.25">
      <c r="A50" s="371"/>
      <c r="H50" s="372"/>
      <c r="I50" s="372"/>
      <c r="J50" s="372"/>
      <c r="K50" s="372"/>
      <c r="L50" s="372"/>
    </row>
    <row r="51" spans="1:12" x14ac:dyDescent="0.25">
      <c r="A51" s="371"/>
      <c r="C51" t="s">
        <v>416</v>
      </c>
      <c r="D51" s="359">
        <v>784883.04158333794</v>
      </c>
      <c r="F51">
        <f>+D51</f>
        <v>784883.04158333794</v>
      </c>
      <c r="H51" s="372"/>
      <c r="I51" s="372"/>
      <c r="J51" s="372"/>
      <c r="K51" s="372"/>
      <c r="L51" s="372"/>
    </row>
    <row r="52" spans="1:12" x14ac:dyDescent="0.25">
      <c r="A52" s="371"/>
      <c r="H52" s="372"/>
      <c r="I52" s="372"/>
      <c r="J52" s="372"/>
      <c r="K52" s="372"/>
      <c r="L52" s="372"/>
    </row>
    <row r="53" spans="1:12" ht="16.5" thickBot="1" x14ac:dyDescent="0.3">
      <c r="A53" s="371"/>
      <c r="D53" s="161" t="s">
        <v>417</v>
      </c>
      <c r="F53" s="358">
        <f>+F43+F49+F51</f>
        <v>4104728.721583338</v>
      </c>
      <c r="H53" s="372"/>
      <c r="I53" s="372"/>
      <c r="J53" s="372"/>
      <c r="K53" s="372"/>
      <c r="L53" s="372"/>
    </row>
    <row r="54" spans="1:12" ht="16.5" thickTop="1" x14ac:dyDescent="0.25">
      <c r="A54" s="371"/>
      <c r="H54" s="372"/>
      <c r="I54" s="372"/>
      <c r="J54" s="372"/>
      <c r="K54" s="372"/>
      <c r="L54" s="372"/>
    </row>
    <row r="55" spans="1:12" x14ac:dyDescent="0.25">
      <c r="A55" s="371"/>
      <c r="H55" s="372"/>
      <c r="I55" s="372"/>
      <c r="J55" s="372"/>
      <c r="K55" s="372"/>
      <c r="L55" s="372"/>
    </row>
    <row r="56" spans="1:12" x14ac:dyDescent="0.25">
      <c r="A56" s="371"/>
      <c r="H56" s="372"/>
      <c r="I56" s="372"/>
      <c r="J56" s="372"/>
      <c r="K56" s="372"/>
      <c r="L56" s="372"/>
    </row>
    <row r="57" spans="1:12" x14ac:dyDescent="0.25">
      <c r="A57" s="371"/>
      <c r="C57" s="464" t="s">
        <v>418</v>
      </c>
      <c r="D57" s="464"/>
      <c r="E57" s="464"/>
      <c r="F57" s="464"/>
      <c r="H57" s="372"/>
      <c r="I57" s="372"/>
      <c r="J57" s="372"/>
      <c r="K57" s="372"/>
      <c r="L57" s="372"/>
    </row>
    <row r="58" spans="1:12" x14ac:dyDescent="0.25">
      <c r="A58" s="371"/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</row>
    <row r="59" spans="1:12" x14ac:dyDescent="0.25">
      <c r="A59" s="371"/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</row>
    <row r="60" spans="1:12" x14ac:dyDescent="0.25">
      <c r="A60" s="371"/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</row>
    <row r="61" spans="1:12" x14ac:dyDescent="0.25">
      <c r="A61" s="371"/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</row>
    <row r="62" spans="1:12" x14ac:dyDescent="0.25">
      <c r="A62" s="371"/>
      <c r="B62" s="372"/>
      <c r="C62" s="372"/>
      <c r="D62" s="372"/>
      <c r="E62" s="372"/>
      <c r="F62" s="372"/>
      <c r="G62" s="372"/>
      <c r="H62" s="372"/>
      <c r="I62" s="372"/>
      <c r="J62" s="372"/>
      <c r="K62" s="372"/>
      <c r="L62" s="372"/>
    </row>
    <row r="63" spans="1:12" x14ac:dyDescent="0.25">
      <c r="A63" s="371"/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</row>
    <row r="64" spans="1:12" x14ac:dyDescent="0.25">
      <c r="A64" s="371"/>
      <c r="B64" s="372"/>
      <c r="C64" s="372"/>
      <c r="D64" s="372"/>
      <c r="E64" s="372"/>
      <c r="F64" s="372"/>
      <c r="G64" s="372"/>
      <c r="H64" s="372"/>
      <c r="I64" s="372"/>
      <c r="J64" s="372"/>
      <c r="K64" s="372"/>
      <c r="L64" s="372"/>
    </row>
    <row r="65" spans="1:12" x14ac:dyDescent="0.25">
      <c r="A65" s="371"/>
      <c r="B65" s="372"/>
      <c r="C65" s="372"/>
      <c r="D65" s="372"/>
      <c r="E65" s="372"/>
      <c r="F65" s="372"/>
      <c r="G65" s="372"/>
      <c r="H65" s="372"/>
      <c r="I65" s="372"/>
      <c r="J65" s="372"/>
      <c r="K65" s="372"/>
      <c r="L65" s="372"/>
    </row>
    <row r="66" spans="1:12" x14ac:dyDescent="0.25">
      <c r="A66" s="371"/>
      <c r="B66" s="372"/>
      <c r="C66" s="372"/>
      <c r="D66" s="372"/>
      <c r="E66" s="372"/>
      <c r="F66" s="372"/>
      <c r="G66" s="372"/>
      <c r="H66" s="372"/>
      <c r="I66" s="372"/>
      <c r="J66" s="372"/>
      <c r="K66" s="372"/>
      <c r="L66" s="372"/>
    </row>
    <row r="67" spans="1:12" x14ac:dyDescent="0.25">
      <c r="A67" s="371"/>
    </row>
    <row r="68" spans="1:12" x14ac:dyDescent="0.25">
      <c r="A68" s="371"/>
    </row>
    <row r="69" spans="1:12" x14ac:dyDescent="0.25">
      <c r="A69" s="371"/>
    </row>
    <row r="70" spans="1:12" x14ac:dyDescent="0.25">
      <c r="A70" s="371"/>
    </row>
    <row r="71" spans="1:12" x14ac:dyDescent="0.25">
      <c r="A71" s="371"/>
    </row>
    <row r="72" spans="1:12" x14ac:dyDescent="0.25">
      <c r="A72" s="371"/>
    </row>
    <row r="73" spans="1:12" x14ac:dyDescent="0.25">
      <c r="A73" s="371"/>
    </row>
    <row r="74" spans="1:12" x14ac:dyDescent="0.25">
      <c r="A74" s="371"/>
    </row>
    <row r="75" spans="1:12" x14ac:dyDescent="0.25">
      <c r="A75" s="371"/>
    </row>
    <row r="76" spans="1:12" x14ac:dyDescent="0.25">
      <c r="A76" s="371"/>
    </row>
    <row r="77" spans="1:12" x14ac:dyDescent="0.25">
      <c r="A77" s="371"/>
    </row>
    <row r="78" spans="1:12" x14ac:dyDescent="0.25">
      <c r="A78" s="371"/>
    </row>
  </sheetData>
  <mergeCells count="3">
    <mergeCell ref="C7:F7"/>
    <mergeCell ref="C8:F8"/>
    <mergeCell ref="C57:F57"/>
  </mergeCells>
  <pageMargins left="0.7" right="0.7" top="0.75" bottom="0.75" header="0.3" footer="0.3"/>
  <pageSetup scale="8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8184-FA80-4C9D-9410-AAA755584474}">
  <dimension ref="A1"/>
  <sheetViews>
    <sheetView workbookViewId="0"/>
  </sheetViews>
  <sheetFormatPr defaultRowHeight="15.75" x14ac:dyDescent="0.25"/>
  <sheetData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79"/>
  <sheetViews>
    <sheetView showGridLines="0" zoomScale="75" zoomScaleNormal="75" workbookViewId="0">
      <selection activeCell="D3" sqref="D3"/>
    </sheetView>
  </sheetViews>
  <sheetFormatPr defaultColWidth="9" defaultRowHeight="15.75" x14ac:dyDescent="0.25"/>
  <cols>
    <col min="1" max="1" width="8.75" style="67" customWidth="1"/>
    <col min="2" max="2" width="4.125" style="67" customWidth="1"/>
    <col min="3" max="3" width="2" style="67" customWidth="1"/>
    <col min="4" max="4" width="24.25" style="67" customWidth="1"/>
    <col min="5" max="5" width="21.75" style="67" customWidth="1"/>
    <col min="6" max="6" width="14.125" style="67" customWidth="1"/>
    <col min="7" max="7" width="13.25" style="67" customWidth="1"/>
    <col min="8" max="8" width="12.625" style="67" customWidth="1"/>
    <col min="9" max="9" width="14.375" style="67" customWidth="1"/>
    <col min="10" max="10" width="14.625" style="67" customWidth="1"/>
    <col min="11" max="11" width="12.125" style="67" customWidth="1"/>
    <col min="12" max="12" width="15.25" style="67" customWidth="1"/>
    <col min="13" max="13" width="2.75" style="67" customWidth="1"/>
    <col min="14" max="14" width="9.25" style="67" customWidth="1"/>
    <col min="15" max="15" width="15.5" style="67" customWidth="1"/>
    <col min="16" max="16" width="25.75" style="67" customWidth="1"/>
    <col min="17" max="17" width="13.625" style="67" customWidth="1"/>
    <col min="18" max="18" width="14.5" style="67" customWidth="1"/>
    <col min="19" max="19" width="12" style="67" customWidth="1"/>
    <col min="20" max="16384" width="9" style="67"/>
  </cols>
  <sheetData>
    <row r="1" spans="1:18" x14ac:dyDescent="0.25">
      <c r="A1" s="65"/>
      <c r="B1" s="65"/>
      <c r="C1" s="65"/>
      <c r="D1" s="65"/>
      <c r="E1" s="65"/>
      <c r="F1" s="65"/>
      <c r="G1" s="65"/>
      <c r="H1" s="65" t="s">
        <v>5</v>
      </c>
      <c r="I1" s="66">
        <f>+K17/J17</f>
        <v>0.53991735421428177</v>
      </c>
      <c r="J1" s="65"/>
      <c r="K1" s="65"/>
      <c r="L1" s="66">
        <f>+L71</f>
        <v>9.6940577161802127E-2</v>
      </c>
      <c r="M1" s="65"/>
      <c r="N1" s="65"/>
      <c r="O1" s="65"/>
      <c r="P1" s="65"/>
      <c r="Q1" s="65"/>
      <c r="R1" s="65"/>
    </row>
    <row r="2" spans="1:18" x14ac:dyDescent="0.25">
      <c r="A2" s="65"/>
      <c r="B2" s="68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x14ac:dyDescent="0.25">
      <c r="A3" s="65"/>
      <c r="B3" s="219" t="str">
        <f>+cover!B8</f>
        <v>Summit View Water Works LLC</v>
      </c>
      <c r="C3" s="60"/>
      <c r="D3" s="60"/>
      <c r="E3" s="60"/>
      <c r="L3" s="121" t="s">
        <v>6</v>
      </c>
      <c r="O3" s="65"/>
      <c r="P3" s="65"/>
      <c r="Q3" s="65"/>
      <c r="R3" s="65"/>
    </row>
    <row r="4" spans="1:18" x14ac:dyDescent="0.25">
      <c r="A4" s="65"/>
      <c r="B4" s="219" t="str">
        <f>+cover!B12</f>
        <v>Test Year Ended December 31, 2023</v>
      </c>
      <c r="C4" s="60"/>
      <c r="D4" s="60"/>
      <c r="E4" s="60"/>
      <c r="L4" s="121"/>
      <c r="O4" s="65"/>
      <c r="P4" s="65"/>
      <c r="Q4" s="65"/>
      <c r="R4" s="65"/>
    </row>
    <row r="5" spans="1:18" ht="20.25" x14ac:dyDescent="0.3">
      <c r="A5" s="65"/>
      <c r="B5" s="70" t="s">
        <v>7</v>
      </c>
      <c r="G5" s="188" t="s">
        <v>8</v>
      </c>
      <c r="I5" s="71"/>
      <c r="O5" s="65"/>
      <c r="P5" s="65"/>
      <c r="Q5" s="65"/>
      <c r="R5" s="65"/>
    </row>
    <row r="6" spans="1:18" ht="19.5" customHeight="1" x14ac:dyDescent="0.25">
      <c r="A6" s="65"/>
      <c r="D6" s="72"/>
      <c r="F6" s="60"/>
      <c r="H6" s="74"/>
      <c r="O6" s="65"/>
      <c r="P6" s="65"/>
      <c r="Q6" s="65"/>
      <c r="R6" s="65"/>
    </row>
    <row r="7" spans="1:18" x14ac:dyDescent="0.25">
      <c r="A7" s="65"/>
      <c r="D7" s="76" t="s">
        <v>9</v>
      </c>
      <c r="E7" s="76" t="s">
        <v>10</v>
      </c>
      <c r="F7" s="76" t="s">
        <v>11</v>
      </c>
      <c r="G7" s="76" t="s">
        <v>12</v>
      </c>
      <c r="H7" s="76" t="s">
        <v>13</v>
      </c>
      <c r="I7" s="76" t="s">
        <v>14</v>
      </c>
      <c r="J7" s="76" t="s">
        <v>15</v>
      </c>
      <c r="K7" s="76" t="s">
        <v>16</v>
      </c>
      <c r="L7" s="76" t="s">
        <v>17</v>
      </c>
      <c r="M7" s="76"/>
      <c r="O7" s="65"/>
      <c r="P7" s="65"/>
      <c r="Q7" s="65"/>
      <c r="R7" s="65"/>
    </row>
    <row r="8" spans="1:18" x14ac:dyDescent="0.25">
      <c r="A8" s="65"/>
      <c r="B8" s="67" t="s">
        <v>18</v>
      </c>
      <c r="D8" s="71"/>
      <c r="E8" s="71"/>
      <c r="F8" s="5"/>
      <c r="G8" s="5"/>
      <c r="I8" s="5"/>
      <c r="J8" s="35"/>
      <c r="K8" s="5"/>
      <c r="L8" s="35"/>
      <c r="M8" s="5"/>
      <c r="O8" s="94"/>
      <c r="P8" s="65"/>
      <c r="Q8" s="65"/>
      <c r="R8" s="65"/>
    </row>
    <row r="9" spans="1:18" x14ac:dyDescent="0.25">
      <c r="A9" s="65"/>
      <c r="B9" s="75" t="s">
        <v>19</v>
      </c>
      <c r="C9" s="75"/>
      <c r="F9" s="79"/>
      <c r="G9" s="79"/>
      <c r="H9" s="98"/>
      <c r="I9" s="79"/>
      <c r="J9" s="98"/>
      <c r="K9" s="79"/>
      <c r="L9" s="79" t="s">
        <v>20</v>
      </c>
      <c r="M9" s="79"/>
      <c r="O9" s="65"/>
      <c r="P9" s="65"/>
      <c r="Q9" s="65"/>
      <c r="R9" s="65"/>
    </row>
    <row r="10" spans="1:18" x14ac:dyDescent="0.25">
      <c r="A10" s="65"/>
      <c r="B10" s="77">
        <v>1</v>
      </c>
      <c r="C10" s="78"/>
      <c r="D10" s="266"/>
      <c r="E10" s="266"/>
      <c r="F10" s="79" t="s">
        <v>21</v>
      </c>
      <c r="G10" s="79" t="s">
        <v>22</v>
      </c>
      <c r="H10" s="79" t="s">
        <v>23</v>
      </c>
      <c r="I10" s="79" t="s">
        <v>24</v>
      </c>
      <c r="J10" s="59" t="s">
        <v>24</v>
      </c>
      <c r="K10" s="79" t="s">
        <v>25</v>
      </c>
      <c r="L10" s="79" t="s">
        <v>25</v>
      </c>
      <c r="M10" s="79"/>
      <c r="O10" s="65"/>
      <c r="P10" s="65"/>
      <c r="Q10" s="65"/>
      <c r="R10" s="65"/>
    </row>
    <row r="11" spans="1:18" x14ac:dyDescent="0.25">
      <c r="A11" s="65"/>
      <c r="B11" s="77">
        <f>+B10+1</f>
        <v>2</v>
      </c>
      <c r="C11" s="78"/>
      <c r="D11" s="266"/>
      <c r="F11" s="79" t="s">
        <v>26</v>
      </c>
      <c r="G11" s="79" t="s">
        <v>27</v>
      </c>
      <c r="H11" s="99" t="s">
        <v>26</v>
      </c>
      <c r="I11" s="59" t="s">
        <v>27</v>
      </c>
      <c r="J11" s="99" t="s">
        <v>26</v>
      </c>
      <c r="K11" s="99" t="s">
        <v>28</v>
      </c>
      <c r="L11" s="99" t="s">
        <v>28</v>
      </c>
      <c r="M11" s="79"/>
      <c r="O11" s="86">
        <f>+'4.1 Capital'!J21</f>
        <v>9.6913385923287854E-2</v>
      </c>
      <c r="P11" s="244" t="s">
        <v>29</v>
      </c>
      <c r="Q11" s="65"/>
      <c r="R11" s="65"/>
    </row>
    <row r="12" spans="1:18" x14ac:dyDescent="0.25">
      <c r="A12" s="65"/>
      <c r="B12" s="77">
        <f t="shared" ref="B12:B21" si="0">+B11+1</f>
        <v>3</v>
      </c>
      <c r="C12" s="78"/>
      <c r="D12" s="64" t="s">
        <v>30</v>
      </c>
      <c r="E12" s="114" t="s">
        <v>31</v>
      </c>
      <c r="F12" s="267" t="s">
        <v>32</v>
      </c>
      <c r="G12" s="268" t="s">
        <v>33</v>
      </c>
      <c r="H12" s="268" t="s">
        <v>34</v>
      </c>
      <c r="I12" s="268" t="s">
        <v>35</v>
      </c>
      <c r="J12" s="268" t="s">
        <v>36</v>
      </c>
      <c r="K12" s="269"/>
      <c r="L12" s="270" t="s">
        <v>37</v>
      </c>
      <c r="M12" s="79"/>
      <c r="O12" s="88">
        <f>+J71</f>
        <v>-2.1679023872659808E-2</v>
      </c>
      <c r="P12" s="87" t="s">
        <v>38</v>
      </c>
      <c r="Q12" s="65"/>
      <c r="R12" s="65"/>
    </row>
    <row r="13" spans="1:18" ht="25.5" customHeight="1" x14ac:dyDescent="0.25">
      <c r="A13" s="65"/>
      <c r="B13" s="77">
        <f t="shared" si="0"/>
        <v>4</v>
      </c>
      <c r="C13" s="78"/>
      <c r="D13" s="266"/>
      <c r="E13" s="272"/>
      <c r="F13" s="67">
        <v>0</v>
      </c>
      <c r="K13" s="273"/>
      <c r="M13" s="79"/>
      <c r="O13" s="450" t="s">
        <v>39</v>
      </c>
      <c r="P13" s="451"/>
      <c r="Q13" s="65"/>
      <c r="R13" s="65"/>
    </row>
    <row r="14" spans="1:18" x14ac:dyDescent="0.25">
      <c r="A14" s="65"/>
      <c r="B14" s="77">
        <f t="shared" si="0"/>
        <v>5</v>
      </c>
      <c r="C14" s="78"/>
      <c r="D14" s="266" t="s">
        <v>40</v>
      </c>
      <c r="E14" s="274"/>
      <c r="F14" s="67">
        <v>485109</v>
      </c>
      <c r="G14" s="80">
        <f>+'1.2 Restating Adj'!F14</f>
        <v>-929</v>
      </c>
      <c r="H14" s="67">
        <f>+F14+G14</f>
        <v>484180</v>
      </c>
      <c r="I14" s="80">
        <f>+'1.3 Pro Forma Adj'!F13</f>
        <v>0</v>
      </c>
      <c r="J14" s="67">
        <f>+I14+H14</f>
        <v>484180</v>
      </c>
      <c r="K14" s="273">
        <f>+K17-K15</f>
        <v>138834</v>
      </c>
      <c r="L14" s="67">
        <f>+K14+J14</f>
        <v>623014</v>
      </c>
      <c r="M14" s="79"/>
      <c r="O14" s="88">
        <f>+L71</f>
        <v>9.6940577161802127E-2</v>
      </c>
      <c r="P14" s="87" t="s">
        <v>41</v>
      </c>
      <c r="Q14" s="65"/>
      <c r="R14" s="65"/>
    </row>
    <row r="15" spans="1:18" x14ac:dyDescent="0.25">
      <c r="A15" s="65"/>
      <c r="B15" s="77">
        <f t="shared" si="0"/>
        <v>6</v>
      </c>
      <c r="C15" s="78"/>
      <c r="D15" s="266" t="s">
        <v>42</v>
      </c>
      <c r="E15" s="274"/>
      <c r="F15" s="67">
        <v>474377</v>
      </c>
      <c r="G15" s="80">
        <f>+'1.2 Restating Adj'!F15</f>
        <v>-6189</v>
      </c>
      <c r="H15" s="67">
        <f>+G15+F15</f>
        <v>468188</v>
      </c>
      <c r="I15" s="80">
        <f>+'1.3 Pro Forma Adj'!F14</f>
        <v>0</v>
      </c>
      <c r="J15" s="67">
        <f>+I15+H15</f>
        <v>468188</v>
      </c>
      <c r="K15" s="273">
        <f>+K17*0.73</f>
        <v>375366</v>
      </c>
      <c r="L15" s="67">
        <f>+K15+J15</f>
        <v>843554</v>
      </c>
      <c r="M15" s="79"/>
      <c r="O15" s="245">
        <f>-O11+O14</f>
        <v>2.719123851427363E-5</v>
      </c>
      <c r="P15" s="87" t="s">
        <v>43</v>
      </c>
      <c r="Q15" s="65"/>
      <c r="R15" s="65"/>
    </row>
    <row r="16" spans="1:18" x14ac:dyDescent="0.25">
      <c r="A16" s="65"/>
      <c r="B16" s="77">
        <f t="shared" si="0"/>
        <v>7</v>
      </c>
      <c r="C16" s="78"/>
      <c r="D16" t="s">
        <v>44</v>
      </c>
      <c r="E16" s="274"/>
      <c r="F16" s="67">
        <v>731.98</v>
      </c>
      <c r="G16" s="80">
        <f>+'1.2 Restating Adj'!F16</f>
        <v>-732</v>
      </c>
      <c r="H16" s="67">
        <f>+G16+F16</f>
        <v>-1.999999999998181E-2</v>
      </c>
      <c r="I16" s="80"/>
      <c r="J16" s="67">
        <f>+I16+H16</f>
        <v>-1.999999999998181E-2</v>
      </c>
      <c r="L16" s="67">
        <f>+K16+J16</f>
        <v>-1.999999999998181E-2</v>
      </c>
      <c r="M16" s="79"/>
      <c r="O16" s="65"/>
      <c r="P16" s="65"/>
      <c r="Q16" s="65"/>
      <c r="R16" s="65"/>
    </row>
    <row r="17" spans="1:20" x14ac:dyDescent="0.25">
      <c r="A17" s="65"/>
      <c r="B17" s="77">
        <f t="shared" si="0"/>
        <v>8</v>
      </c>
      <c r="C17" s="78"/>
      <c r="D17" s="275"/>
      <c r="E17" s="276" t="s">
        <v>45</v>
      </c>
      <c r="F17" s="277">
        <f>SUM(F14:F16)</f>
        <v>960217.98</v>
      </c>
      <c r="G17" s="147">
        <f>SUM(G12:G16)</f>
        <v>-7850</v>
      </c>
      <c r="H17" s="277">
        <f>SUM(H12:H16)</f>
        <v>952367.98</v>
      </c>
      <c r="I17" s="147">
        <f>SUM(I12:I15)</f>
        <v>0</v>
      </c>
      <c r="J17" s="277">
        <f>SUM(J12:J16)</f>
        <v>952367.98</v>
      </c>
      <c r="K17" s="277">
        <f>+O17</f>
        <v>514200</v>
      </c>
      <c r="L17" s="277">
        <f>SUM(L12:L16)</f>
        <v>1466567.98</v>
      </c>
      <c r="M17" s="79"/>
      <c r="N17" s="84"/>
      <c r="O17" s="129">
        <v>514200</v>
      </c>
      <c r="P17" s="87" t="s">
        <v>46</v>
      </c>
      <c r="Q17" s="65"/>
      <c r="R17" s="65"/>
    </row>
    <row r="18" spans="1:20" x14ac:dyDescent="0.25">
      <c r="A18" s="65"/>
      <c r="B18" s="77">
        <f t="shared" si="0"/>
        <v>9</v>
      </c>
      <c r="C18" s="78"/>
      <c r="E18" s="106"/>
      <c r="G18" s="80"/>
      <c r="I18" s="80"/>
      <c r="M18" s="79"/>
      <c r="O18" s="65"/>
      <c r="P18" s="65"/>
      <c r="Q18" s="65"/>
      <c r="R18" s="65"/>
    </row>
    <row r="19" spans="1:20" s="48" customFormat="1" x14ac:dyDescent="0.25">
      <c r="A19" s="65"/>
      <c r="B19" s="77">
        <f t="shared" si="0"/>
        <v>10</v>
      </c>
      <c r="C19" s="78"/>
      <c r="D19" s="64" t="s">
        <v>47</v>
      </c>
      <c r="E19" s="107"/>
      <c r="F19" s="278"/>
      <c r="G19" s="80"/>
      <c r="H19" s="67"/>
      <c r="I19" s="80"/>
      <c r="J19" s="67"/>
      <c r="K19" s="67"/>
      <c r="L19" s="67"/>
      <c r="M19" s="79"/>
      <c r="N19" s="67"/>
      <c r="O19" s="65"/>
      <c r="P19" s="65"/>
      <c r="Q19" s="65"/>
      <c r="R19" s="65"/>
      <c r="S19" s="67"/>
      <c r="T19" s="67"/>
    </row>
    <row r="20" spans="1:20" ht="14.25" customHeight="1" x14ac:dyDescent="0.25">
      <c r="A20" s="65"/>
      <c r="B20" s="77">
        <f t="shared" si="0"/>
        <v>11</v>
      </c>
      <c r="C20" s="78"/>
      <c r="D20" s="266"/>
      <c r="E20" s="274"/>
      <c r="F20" s="278"/>
      <c r="G20" s="80"/>
      <c r="I20" s="80"/>
      <c r="M20" s="79"/>
      <c r="O20" s="65"/>
      <c r="P20" s="65"/>
      <c r="Q20" s="65"/>
      <c r="R20" s="65"/>
    </row>
    <row r="21" spans="1:20" x14ac:dyDescent="0.25">
      <c r="A21" s="81"/>
      <c r="B21" s="77">
        <f t="shared" si="0"/>
        <v>12</v>
      </c>
      <c r="C21" s="78"/>
      <c r="D21" s="266" t="s">
        <v>48</v>
      </c>
      <c r="E21" s="279"/>
      <c r="F21" s="278">
        <f>329288.35</f>
        <v>329288.34999999998</v>
      </c>
      <c r="G21" s="80">
        <f>+'1.2 Restating Adj'!F21</f>
        <v>-34916.17</v>
      </c>
      <c r="H21" s="67">
        <f t="shared" ref="H21:H31" si="1">+G21+F21</f>
        <v>294372.18</v>
      </c>
      <c r="I21" s="384">
        <f>+'1.3 Pro Forma Adj'!F23</f>
        <v>104116.55</v>
      </c>
      <c r="J21" s="67">
        <f t="shared" ref="J21:J32" si="2">+I21+H21</f>
        <v>398488.73</v>
      </c>
      <c r="L21" s="67">
        <f>+K21+J21</f>
        <v>398488.73</v>
      </c>
      <c r="M21" s="79"/>
      <c r="O21" s="65"/>
      <c r="P21" s="65"/>
      <c r="Q21" s="65"/>
      <c r="R21" s="65"/>
    </row>
    <row r="22" spans="1:20" x14ac:dyDescent="0.25">
      <c r="A22" s="81"/>
      <c r="B22" s="77">
        <f>+B21+1</f>
        <v>13</v>
      </c>
      <c r="C22" s="78"/>
      <c r="D22" s="266" t="s">
        <v>49</v>
      </c>
      <c r="E22" s="279"/>
      <c r="F22" s="278">
        <f>7042.92</f>
        <v>7042.92</v>
      </c>
      <c r="G22" s="80">
        <f>+'1.2 Restating Adj'!F22</f>
        <v>23331</v>
      </c>
      <c r="H22" s="67">
        <f t="shared" si="1"/>
        <v>30373.919999999998</v>
      </c>
      <c r="I22" s="384">
        <f>+'1.3 Pro Forma Adj'!F24</f>
        <v>8613.76</v>
      </c>
      <c r="J22" s="67">
        <f t="shared" si="2"/>
        <v>38987.68</v>
      </c>
      <c r="L22" s="67">
        <f t="shared" ref="L22:L37" si="3">+K22+J22</f>
        <v>38987.68</v>
      </c>
      <c r="M22" s="79"/>
      <c r="O22" s="65"/>
      <c r="P22" s="65"/>
      <c r="Q22" s="65"/>
      <c r="R22" s="65"/>
    </row>
    <row r="23" spans="1:20" x14ac:dyDescent="0.25">
      <c r="A23" s="65"/>
      <c r="B23" s="77">
        <f>+B22+1</f>
        <v>14</v>
      </c>
      <c r="C23" s="78"/>
      <c r="D23" s="266" t="s">
        <v>50</v>
      </c>
      <c r="E23" s="279"/>
      <c r="F23" s="386">
        <v>66912.61</v>
      </c>
      <c r="G23" s="80">
        <f>+'1.2 Restating Adj'!F23</f>
        <v>0</v>
      </c>
      <c r="H23" s="67">
        <f>+F23+G23</f>
        <v>66912.61</v>
      </c>
      <c r="I23" s="384">
        <f>+'1.3 Pro Forma Adj'!F25</f>
        <v>-11081.85</v>
      </c>
      <c r="J23" s="67">
        <f>+H23+I23</f>
        <v>55830.76</v>
      </c>
      <c r="L23" s="67">
        <f>+J23+K23</f>
        <v>55830.76</v>
      </c>
      <c r="M23" s="79"/>
      <c r="O23" s="444"/>
      <c r="P23" s="65"/>
      <c r="Q23" s="65"/>
      <c r="R23" s="65"/>
    </row>
    <row r="24" spans="1:20" x14ac:dyDescent="0.25">
      <c r="A24" s="65"/>
      <c r="B24" s="77">
        <f>+B23+1</f>
        <v>15</v>
      </c>
      <c r="C24" s="78"/>
      <c r="D24" s="266" t="s">
        <v>51</v>
      </c>
      <c r="E24" s="279"/>
      <c r="F24" s="205">
        <f>20680.01+371.19</f>
        <v>21051.199999999997</v>
      </c>
      <c r="G24" s="80">
        <f>+'1.2 Restating Adj'!F24</f>
        <v>0</v>
      </c>
      <c r="H24" s="67">
        <f t="shared" si="1"/>
        <v>21051.199999999997</v>
      </c>
      <c r="I24" s="80">
        <f>+'1.3 Pro Forma Adj'!F26</f>
        <v>0</v>
      </c>
      <c r="J24" s="67">
        <f t="shared" si="2"/>
        <v>21051.199999999997</v>
      </c>
      <c r="L24" s="67">
        <f t="shared" si="3"/>
        <v>21051.199999999997</v>
      </c>
      <c r="M24" s="79"/>
      <c r="O24" s="65"/>
      <c r="P24" s="94"/>
      <c r="Q24" s="65"/>
      <c r="R24" s="65"/>
    </row>
    <row r="25" spans="1:20" x14ac:dyDescent="0.25">
      <c r="A25" s="65"/>
      <c r="B25" s="141">
        <f>+B24+1</f>
        <v>16</v>
      </c>
      <c r="C25" s="142"/>
      <c r="D25" s="143" t="s">
        <v>52</v>
      </c>
      <c r="E25" s="419"/>
      <c r="F25" s="144">
        <v>22935.119999999999</v>
      </c>
      <c r="G25" s="144">
        <f>+H25-F25</f>
        <v>1414.2911941999992</v>
      </c>
      <c r="H25" s="73">
        <f>(H17-H15)*0.05029</f>
        <v>24349.411194199998</v>
      </c>
      <c r="I25" s="80">
        <f>+'1.3 Pro Forma Adj'!F27</f>
        <v>0</v>
      </c>
      <c r="J25" s="73">
        <f>(J17-J15)*0.05029</f>
        <v>24349.411194199998</v>
      </c>
      <c r="K25" s="73">
        <f>+L25-J25</f>
        <v>6981.9618600000031</v>
      </c>
      <c r="L25" s="73">
        <f>(L17-L15)*0.05029</f>
        <v>31331.373054200001</v>
      </c>
      <c r="M25" s="79"/>
      <c r="O25" s="65"/>
      <c r="P25" s="65"/>
      <c r="Q25" s="65"/>
      <c r="R25" s="65"/>
    </row>
    <row r="26" spans="1:20" x14ac:dyDescent="0.25">
      <c r="A26" s="65"/>
      <c r="B26" s="77">
        <f t="shared" ref="B26:B32" si="4">+B25+1</f>
        <v>17</v>
      </c>
      <c r="C26" s="78"/>
      <c r="D26" t="s">
        <v>53</v>
      </c>
      <c r="E26" s="279"/>
      <c r="F26" s="205">
        <v>4624.51</v>
      </c>
      <c r="G26" s="80">
        <f>+'1.2 Restating Adj'!F26</f>
        <v>0</v>
      </c>
      <c r="H26" s="67">
        <f t="shared" si="1"/>
        <v>4624.51</v>
      </c>
      <c r="I26" s="80">
        <f>+'1.3 Pro Forma Adj'!F28</f>
        <v>0</v>
      </c>
      <c r="J26" s="67">
        <f t="shared" si="2"/>
        <v>4624.51</v>
      </c>
      <c r="L26" s="67">
        <f t="shared" si="3"/>
        <v>4624.51</v>
      </c>
      <c r="M26" s="79"/>
      <c r="O26" s="65"/>
      <c r="P26" s="65"/>
      <c r="Q26" s="65"/>
      <c r="R26" s="65"/>
    </row>
    <row r="27" spans="1:20" s="73" customFormat="1" x14ac:dyDescent="0.25">
      <c r="A27" s="140"/>
      <c r="B27" s="77">
        <f t="shared" si="4"/>
        <v>18</v>
      </c>
      <c r="C27" s="78"/>
      <c r="D27" t="s">
        <v>54</v>
      </c>
      <c r="E27" s="279" t="s">
        <v>55</v>
      </c>
      <c r="F27" s="278">
        <f>+'1.1 Inc Stmt detail'!D17</f>
        <v>30925.119999999999</v>
      </c>
      <c r="G27" s="80">
        <f>+'1.2 Restating Adj'!F27</f>
        <v>0</v>
      </c>
      <c r="H27" s="67">
        <f t="shared" si="1"/>
        <v>30925.119999999999</v>
      </c>
      <c r="I27" s="80">
        <f>+'1.3 Pro Forma Adj'!F29</f>
        <v>0</v>
      </c>
      <c r="J27" s="67">
        <f t="shared" si="2"/>
        <v>30925.119999999999</v>
      </c>
      <c r="K27" s="67"/>
      <c r="L27" s="67">
        <f t="shared" si="3"/>
        <v>30925.119999999999</v>
      </c>
      <c r="M27" s="79"/>
      <c r="N27" s="67"/>
      <c r="O27" s="65"/>
      <c r="P27" s="65"/>
      <c r="Q27" s="65"/>
      <c r="R27" s="140"/>
      <c r="S27" s="67"/>
      <c r="T27" s="67"/>
    </row>
    <row r="28" spans="1:20" x14ac:dyDescent="0.25">
      <c r="A28" s="65"/>
      <c r="B28" s="77">
        <f t="shared" si="4"/>
        <v>19</v>
      </c>
      <c r="C28" s="78"/>
      <c r="D28" s="266" t="s">
        <v>56</v>
      </c>
      <c r="E28" s="279"/>
      <c r="F28" s="205">
        <f>18741.31</f>
        <v>18741.310000000001</v>
      </c>
      <c r="G28" s="80">
        <f>+'1.2 Restating Adj'!F28</f>
        <v>0</v>
      </c>
      <c r="H28" s="67">
        <f t="shared" si="1"/>
        <v>18741.310000000001</v>
      </c>
      <c r="I28" s="80">
        <f>+'1.3 Pro Forma Adj'!F30</f>
        <v>0</v>
      </c>
      <c r="J28" s="67">
        <f t="shared" si="2"/>
        <v>18741.310000000001</v>
      </c>
      <c r="L28" s="67">
        <f t="shared" si="3"/>
        <v>18741.310000000001</v>
      </c>
      <c r="M28" s="79"/>
      <c r="O28" s="65"/>
      <c r="P28" s="65"/>
      <c r="Q28" s="65"/>
      <c r="R28" s="65"/>
    </row>
    <row r="29" spans="1:20" x14ac:dyDescent="0.25">
      <c r="A29" s="65"/>
      <c r="B29" s="77">
        <f t="shared" si="4"/>
        <v>20</v>
      </c>
      <c r="C29" s="78"/>
      <c r="D29" s="266" t="s">
        <v>57</v>
      </c>
      <c r="E29" s="279"/>
      <c r="F29" s="278">
        <v>1882.23</v>
      </c>
      <c r="G29" s="80">
        <f>+'1.2 Restating Adj'!F29</f>
        <v>0</v>
      </c>
      <c r="H29" s="67">
        <f t="shared" si="1"/>
        <v>1882.23</v>
      </c>
      <c r="I29" s="80">
        <f>+'1.3 Pro Forma Adj'!F31</f>
        <v>0</v>
      </c>
      <c r="J29" s="67">
        <f t="shared" si="2"/>
        <v>1882.23</v>
      </c>
      <c r="L29" s="67">
        <f t="shared" si="3"/>
        <v>1882.23</v>
      </c>
      <c r="M29" s="79"/>
      <c r="O29" s="65"/>
      <c r="P29" s="65"/>
      <c r="Q29" s="65"/>
      <c r="R29" s="65"/>
    </row>
    <row r="30" spans="1:20" x14ac:dyDescent="0.25">
      <c r="A30" s="65"/>
      <c r="B30" s="77">
        <f t="shared" si="4"/>
        <v>21</v>
      </c>
      <c r="C30" s="78"/>
      <c r="D30" s="266" t="s">
        <v>58</v>
      </c>
      <c r="E30" s="279"/>
      <c r="F30" s="278">
        <v>9465.67</v>
      </c>
      <c r="G30" s="80">
        <f>+'1.2 Restating Adj'!F30</f>
        <v>0</v>
      </c>
      <c r="H30" s="67">
        <f t="shared" si="1"/>
        <v>9465.67</v>
      </c>
      <c r="I30" s="80">
        <f>+'1.3 Pro Forma Adj'!F32</f>
        <v>0</v>
      </c>
      <c r="J30" s="67">
        <f t="shared" si="2"/>
        <v>9465.67</v>
      </c>
      <c r="L30" s="67">
        <f t="shared" si="3"/>
        <v>9465.67</v>
      </c>
      <c r="M30" s="79"/>
      <c r="O30" s="65"/>
      <c r="P30" s="65"/>
      <c r="Q30" s="65"/>
      <c r="R30" s="65"/>
    </row>
    <row r="31" spans="1:20" ht="15" customHeight="1" x14ac:dyDescent="0.25">
      <c r="A31" s="65"/>
      <c r="B31" s="77">
        <f t="shared" si="4"/>
        <v>22</v>
      </c>
      <c r="C31" s="78"/>
      <c r="D31" s="266" t="s">
        <v>59</v>
      </c>
      <c r="E31" s="279"/>
      <c r="F31" s="374">
        <v>153665</v>
      </c>
      <c r="G31" s="80">
        <f>+'1.2 Restating Adj'!F31</f>
        <v>58878.86</v>
      </c>
      <c r="H31" s="67">
        <f t="shared" si="1"/>
        <v>212543.86</v>
      </c>
      <c r="I31" s="80">
        <f>+'1.3 Pro Forma Adj'!F33</f>
        <v>1654</v>
      </c>
      <c r="J31" s="67">
        <f t="shared" si="2"/>
        <v>214197.86</v>
      </c>
      <c r="L31" s="67">
        <f t="shared" si="3"/>
        <v>214197.86</v>
      </c>
      <c r="M31" s="79"/>
      <c r="O31" s="65"/>
      <c r="P31" s="65"/>
      <c r="Q31" s="65"/>
      <c r="R31" s="65"/>
    </row>
    <row r="32" spans="1:20" x14ac:dyDescent="0.25">
      <c r="A32" s="65"/>
      <c r="B32" s="77">
        <f t="shared" si="4"/>
        <v>23</v>
      </c>
      <c r="C32" s="78"/>
      <c r="D32" s="266" t="s">
        <v>60</v>
      </c>
      <c r="E32" s="279"/>
      <c r="F32" s="278">
        <f>-'2.2 CIAC'!H28</f>
        <v>-62827.523000000001</v>
      </c>
      <c r="G32" s="80">
        <f>+'1.2 Restating Adj'!F32</f>
        <v>0</v>
      </c>
      <c r="H32" s="67">
        <f t="shared" ref="H32:H51" si="5">+G32+F32</f>
        <v>-62827.523000000001</v>
      </c>
      <c r="I32" s="80">
        <f>+'1.3 Pro Forma Adj'!F34</f>
        <v>0</v>
      </c>
      <c r="J32" s="67">
        <f t="shared" si="2"/>
        <v>-62827.523000000001</v>
      </c>
      <c r="L32" s="67">
        <f t="shared" si="3"/>
        <v>-62827.523000000001</v>
      </c>
      <c r="M32" s="79"/>
      <c r="O32" s="65"/>
      <c r="P32" s="65"/>
      <c r="Q32" s="65"/>
      <c r="R32" s="65"/>
    </row>
    <row r="33" spans="1:20" x14ac:dyDescent="0.25">
      <c r="A33" s="65"/>
      <c r="B33" s="77">
        <f t="shared" ref="B33:B74" si="6">+B32+1</f>
        <v>24</v>
      </c>
      <c r="C33" s="78"/>
      <c r="D33" s="266" t="s">
        <v>61</v>
      </c>
      <c r="E33" s="279"/>
      <c r="F33" s="278">
        <v>7407.35</v>
      </c>
      <c r="G33" s="80">
        <f>+'1.2 Restating Adj'!F33</f>
        <v>0</v>
      </c>
      <c r="H33" s="67">
        <f t="shared" si="5"/>
        <v>7407.35</v>
      </c>
      <c r="I33" s="80">
        <f>+'1.3 Pro Forma Adj'!F35</f>
        <v>0</v>
      </c>
      <c r="J33" s="67">
        <f>+H33+I33</f>
        <v>7407.35</v>
      </c>
      <c r="L33" s="67">
        <f t="shared" si="3"/>
        <v>7407.35</v>
      </c>
      <c r="M33" s="79"/>
      <c r="O33" s="65"/>
      <c r="P33" s="65"/>
      <c r="Q33" s="65"/>
      <c r="R33" s="65"/>
    </row>
    <row r="34" spans="1:20" x14ac:dyDescent="0.25">
      <c r="A34" s="65"/>
      <c r="B34" s="77">
        <f t="shared" si="6"/>
        <v>25</v>
      </c>
      <c r="C34" s="78"/>
      <c r="D34" s="266" t="s">
        <v>62</v>
      </c>
      <c r="E34" s="279"/>
      <c r="F34" s="278">
        <v>729.97</v>
      </c>
      <c r="G34" s="80">
        <f>+'1.2 Restating Adj'!F34</f>
        <v>729.97</v>
      </c>
      <c r="H34" s="67">
        <f t="shared" si="5"/>
        <v>1459.94</v>
      </c>
      <c r="I34" s="80">
        <f>+'1.3 Pro Forma Adj'!F36</f>
        <v>757</v>
      </c>
      <c r="J34" s="67">
        <f>+I34+H34</f>
        <v>2216.94</v>
      </c>
      <c r="L34" s="67">
        <f t="shared" si="3"/>
        <v>2216.94</v>
      </c>
      <c r="M34" s="79"/>
      <c r="O34" s="65"/>
      <c r="P34" s="65"/>
      <c r="Q34" s="65"/>
      <c r="R34" s="65"/>
    </row>
    <row r="35" spans="1:20" x14ac:dyDescent="0.25">
      <c r="A35" s="65"/>
      <c r="B35" s="141">
        <f t="shared" si="6"/>
        <v>26</v>
      </c>
      <c r="C35" s="142"/>
      <c r="D35" s="143" t="s">
        <v>63</v>
      </c>
      <c r="E35" s="419"/>
      <c r="F35" s="73">
        <f>+(((F17)-50000)*0.004)+50000*0.1%</f>
        <v>3690.87192</v>
      </c>
      <c r="G35" s="80">
        <f>+'1.2 Restating Adj'!F35</f>
        <v>-31.400000000000091</v>
      </c>
      <c r="H35" s="73">
        <f>+(((H17)-50000)*0.004)+50000*0.1%</f>
        <v>3659.47192</v>
      </c>
      <c r="I35" s="80">
        <f>+'1.3 Pro Forma Adj'!F37</f>
        <v>0</v>
      </c>
      <c r="J35" s="73">
        <f>+(((J17)-50000)*0.004)+50000*0.1%</f>
        <v>3659.47192</v>
      </c>
      <c r="K35" s="73">
        <f>+L35-J35</f>
        <v>2056.8000000000002</v>
      </c>
      <c r="L35" s="73">
        <f>+(((L17)-50000)*0.004)+50000*0.1%</f>
        <v>5716.2719200000001</v>
      </c>
      <c r="M35" s="79"/>
      <c r="O35" s="65"/>
      <c r="P35" s="65"/>
      <c r="Q35" s="65"/>
      <c r="R35" s="65"/>
    </row>
    <row r="36" spans="1:20" x14ac:dyDescent="0.25">
      <c r="A36" s="65"/>
      <c r="B36" s="77">
        <f t="shared" si="6"/>
        <v>27</v>
      </c>
      <c r="C36" s="78"/>
      <c r="D36" s="266" t="s">
        <v>64</v>
      </c>
      <c r="E36" s="279"/>
      <c r="F36" s="278">
        <v>8163.3</v>
      </c>
      <c r="G36" s="80">
        <f>+'1.2 Restating Adj'!F36</f>
        <v>0</v>
      </c>
      <c r="H36" s="67">
        <f t="shared" si="5"/>
        <v>8163.3</v>
      </c>
      <c r="I36" s="80">
        <f>+'1.3 Pro Forma Adj'!F38</f>
        <v>636.73739999999998</v>
      </c>
      <c r="J36" s="67">
        <f t="shared" ref="J36:J50" si="7">+I36+H36</f>
        <v>8800.0374000000011</v>
      </c>
      <c r="L36" s="67">
        <f t="shared" si="3"/>
        <v>8800.0374000000011</v>
      </c>
      <c r="M36" s="79"/>
      <c r="O36" s="65"/>
      <c r="P36" s="65"/>
      <c r="Q36" s="65"/>
      <c r="R36" s="65"/>
    </row>
    <row r="37" spans="1:20" s="73" customFormat="1" x14ac:dyDescent="0.25">
      <c r="A37" s="140"/>
      <c r="B37" s="77">
        <f t="shared" si="6"/>
        <v>28</v>
      </c>
      <c r="C37" s="78"/>
      <c r="D37" s="266" t="s">
        <v>65</v>
      </c>
      <c r="E37" s="279"/>
      <c r="F37" s="278">
        <v>10419.5</v>
      </c>
      <c r="G37" s="80">
        <f>+'1.2 Restating Adj'!F37</f>
        <v>0</v>
      </c>
      <c r="H37" s="67">
        <f t="shared" si="5"/>
        <v>10419.5</v>
      </c>
      <c r="I37" s="80">
        <f>+'1.3 Pro Forma Adj'!F39</f>
        <v>0</v>
      </c>
      <c r="J37" s="67">
        <f t="shared" si="7"/>
        <v>10419.5</v>
      </c>
      <c r="L37" s="67">
        <f t="shared" si="3"/>
        <v>10419.5</v>
      </c>
      <c r="M37" s="79"/>
      <c r="N37" s="67"/>
      <c r="O37" s="65"/>
      <c r="P37" s="65"/>
      <c r="Q37" s="140"/>
      <c r="R37" s="140"/>
      <c r="S37" s="67"/>
      <c r="T37" s="67"/>
    </row>
    <row r="38" spans="1:20" x14ac:dyDescent="0.25">
      <c r="A38" s="65"/>
      <c r="B38" s="77">
        <f t="shared" si="6"/>
        <v>29</v>
      </c>
      <c r="C38" s="78"/>
      <c r="D38" s="266" t="s">
        <v>66</v>
      </c>
      <c r="E38" s="279"/>
      <c r="F38" s="278">
        <v>7922.5</v>
      </c>
      <c r="G38" s="80">
        <f>+'1.2 Restating Adj'!F38</f>
        <v>0</v>
      </c>
      <c r="H38" s="67">
        <f t="shared" si="5"/>
        <v>7922.5</v>
      </c>
      <c r="I38" s="80">
        <f>+'1.3 Pro Forma Adj'!F40</f>
        <v>0</v>
      </c>
      <c r="J38" s="67">
        <f t="shared" si="7"/>
        <v>7922.5</v>
      </c>
      <c r="K38" s="73"/>
      <c r="L38" s="67">
        <f t="shared" ref="L38:L51" si="8">+K38+J38</f>
        <v>7922.5</v>
      </c>
      <c r="M38" s="79"/>
      <c r="O38" s="65"/>
      <c r="P38" s="65"/>
      <c r="Q38" s="65"/>
      <c r="R38" s="65"/>
    </row>
    <row r="39" spans="1:20" x14ac:dyDescent="0.25">
      <c r="A39" s="65"/>
      <c r="B39" s="77">
        <f t="shared" si="6"/>
        <v>30</v>
      </c>
      <c r="C39" s="78"/>
      <c r="D39" s="266" t="s">
        <v>67</v>
      </c>
      <c r="E39" s="279"/>
      <c r="F39" s="278">
        <v>0</v>
      </c>
      <c r="G39" s="80">
        <f>+'1.2 Restating Adj'!F39</f>
        <v>0</v>
      </c>
      <c r="H39" s="67">
        <f t="shared" si="5"/>
        <v>0</v>
      </c>
      <c r="I39" s="80">
        <f>+'1.3 Pro Forma Adj'!F41</f>
        <v>0</v>
      </c>
      <c r="J39" s="67">
        <f t="shared" si="7"/>
        <v>0</v>
      </c>
      <c r="K39" s="73"/>
      <c r="L39" s="67">
        <f>+K39+J39</f>
        <v>0</v>
      </c>
      <c r="M39" s="79"/>
      <c r="O39" s="65"/>
      <c r="P39" s="65"/>
      <c r="Q39" s="65"/>
      <c r="R39" s="65"/>
    </row>
    <row r="40" spans="1:20" x14ac:dyDescent="0.25">
      <c r="A40" s="65"/>
      <c r="B40" s="77">
        <f t="shared" si="6"/>
        <v>31</v>
      </c>
      <c r="C40" s="78"/>
      <c r="D40" s="266" t="s">
        <v>68</v>
      </c>
      <c r="E40" s="279"/>
      <c r="F40" s="278">
        <f>2485+1307.5</f>
        <v>3792.5</v>
      </c>
      <c r="G40" s="80">
        <f>+'1.2 Restating Adj'!F40</f>
        <v>0</v>
      </c>
      <c r="H40" s="67">
        <f t="shared" si="5"/>
        <v>3792.5</v>
      </c>
      <c r="I40" s="80">
        <f>+'1.3 Pro Forma Adj'!F42</f>
        <v>0</v>
      </c>
      <c r="J40" s="67">
        <f t="shared" si="7"/>
        <v>3792.5</v>
      </c>
      <c r="L40" s="67">
        <f t="shared" si="8"/>
        <v>3792.5</v>
      </c>
      <c r="M40" s="79"/>
      <c r="O40" s="65"/>
      <c r="P40" s="65"/>
      <c r="Q40" s="65"/>
      <c r="R40" s="65"/>
    </row>
    <row r="41" spans="1:20" x14ac:dyDescent="0.25">
      <c r="A41" s="65"/>
      <c r="B41" s="77">
        <f t="shared" si="6"/>
        <v>32</v>
      </c>
      <c r="C41" s="78"/>
      <c r="D41" s="266" t="s">
        <v>69</v>
      </c>
      <c r="E41" s="279"/>
      <c r="F41" s="278">
        <v>1864.58</v>
      </c>
      <c r="G41" s="80">
        <f>+'1.2 Restating Adj'!F41</f>
        <v>0</v>
      </c>
      <c r="H41" s="67">
        <f t="shared" si="5"/>
        <v>1864.58</v>
      </c>
      <c r="I41" s="80">
        <f>+'1.3 Pro Forma Adj'!F43</f>
        <v>0</v>
      </c>
      <c r="J41" s="67">
        <f t="shared" si="7"/>
        <v>1864.58</v>
      </c>
      <c r="L41" s="67">
        <f t="shared" si="8"/>
        <v>1864.58</v>
      </c>
      <c r="M41" s="79"/>
      <c r="O41" s="65"/>
      <c r="P41" s="65"/>
      <c r="Q41" s="65"/>
      <c r="R41" s="65"/>
    </row>
    <row r="42" spans="1:20" x14ac:dyDescent="0.25">
      <c r="A42" s="65"/>
      <c r="B42" s="77">
        <f t="shared" si="6"/>
        <v>33</v>
      </c>
      <c r="C42" s="78"/>
      <c r="D42" s="266" t="s">
        <v>70</v>
      </c>
      <c r="E42" s="279"/>
      <c r="F42" s="278">
        <v>17760</v>
      </c>
      <c r="G42" s="80">
        <f>+'1.2 Restating Adj'!F42</f>
        <v>0</v>
      </c>
      <c r="H42" s="67">
        <f t="shared" si="5"/>
        <v>17760</v>
      </c>
      <c r="I42" s="80">
        <f>+'1.3 Pro Forma Adj'!F44</f>
        <v>46800</v>
      </c>
      <c r="J42" s="67">
        <f t="shared" si="7"/>
        <v>64560</v>
      </c>
      <c r="L42" s="67">
        <f t="shared" si="8"/>
        <v>64560</v>
      </c>
      <c r="M42" s="79"/>
      <c r="O42" s="65"/>
      <c r="P42" s="65"/>
      <c r="Q42" s="65"/>
      <c r="R42" s="65"/>
    </row>
    <row r="43" spans="1:20" x14ac:dyDescent="0.25">
      <c r="A43" s="65"/>
      <c r="B43" s="77">
        <f t="shared" si="6"/>
        <v>34</v>
      </c>
      <c r="C43" s="78"/>
      <c r="D43" t="s">
        <v>71</v>
      </c>
      <c r="E43" s="279" t="s">
        <v>55</v>
      </c>
      <c r="F43" s="278">
        <f>+'1.1 Inc Stmt detail'!D25</f>
        <v>4871.43</v>
      </c>
      <c r="G43" s="80">
        <f>+'1.2 Restating Adj'!F43</f>
        <v>0</v>
      </c>
      <c r="H43" s="67">
        <f t="shared" si="5"/>
        <v>4871.43</v>
      </c>
      <c r="I43" s="80">
        <f>+'1.3 Pro Forma Adj'!F45</f>
        <v>0</v>
      </c>
      <c r="J43" s="67">
        <f t="shared" si="7"/>
        <v>4871.43</v>
      </c>
      <c r="L43" s="67">
        <f t="shared" si="8"/>
        <v>4871.43</v>
      </c>
      <c r="M43" s="79"/>
      <c r="O43" s="65"/>
      <c r="P43" s="65"/>
      <c r="Q43" s="65"/>
      <c r="R43" s="65"/>
    </row>
    <row r="44" spans="1:20" x14ac:dyDescent="0.25">
      <c r="A44" s="65"/>
      <c r="B44" s="77">
        <f t="shared" si="6"/>
        <v>35</v>
      </c>
      <c r="C44" s="78"/>
      <c r="D44" s="266" t="s">
        <v>72</v>
      </c>
      <c r="E44" s="279"/>
      <c r="F44" s="278">
        <v>0</v>
      </c>
      <c r="G44" s="80">
        <f>+'1.2 Restating Adj'!F44</f>
        <v>0</v>
      </c>
      <c r="H44" s="67">
        <f t="shared" si="5"/>
        <v>0</v>
      </c>
      <c r="I44" s="80">
        <f>+'1.3 Pro Forma Adj'!F46</f>
        <v>25462</v>
      </c>
      <c r="J44" s="67">
        <f t="shared" si="7"/>
        <v>25462</v>
      </c>
      <c r="K44" s="73"/>
      <c r="L44" s="67">
        <f t="shared" si="8"/>
        <v>25462</v>
      </c>
      <c r="M44" s="79"/>
      <c r="O44" s="65"/>
      <c r="P44" s="65"/>
      <c r="Q44" s="65"/>
      <c r="R44" s="65"/>
    </row>
    <row r="45" spans="1:20" x14ac:dyDescent="0.25">
      <c r="A45" s="65"/>
      <c r="B45" s="77">
        <f t="shared" si="6"/>
        <v>36</v>
      </c>
      <c r="C45" s="78"/>
      <c r="D45" t="s">
        <v>73</v>
      </c>
      <c r="E45" s="279" t="s">
        <v>55</v>
      </c>
      <c r="F45" s="278">
        <f>+'1.1 Inc Stmt detail'!D34</f>
        <v>16464.03</v>
      </c>
      <c r="G45" s="80">
        <f>+'1.2 Restating Adj'!F45</f>
        <v>0</v>
      </c>
      <c r="H45" s="67">
        <f t="shared" ref="H45" si="9">+G45+F45</f>
        <v>16464.03</v>
      </c>
      <c r="I45" s="80">
        <f>+'1.3 Pro Forma Adj'!F47</f>
        <v>0</v>
      </c>
      <c r="J45" s="67">
        <f t="shared" ref="J45" si="10">+I45+H45</f>
        <v>16464.03</v>
      </c>
      <c r="L45" s="67">
        <f t="shared" ref="L45" si="11">+K45+J45</f>
        <v>16464.03</v>
      </c>
      <c r="M45" s="79"/>
      <c r="O45" s="65"/>
      <c r="P45" s="65"/>
      <c r="Q45" s="65"/>
      <c r="R45" s="65"/>
    </row>
    <row r="46" spans="1:20" x14ac:dyDescent="0.25">
      <c r="A46" s="65"/>
      <c r="B46" s="77">
        <f t="shared" si="6"/>
        <v>37</v>
      </c>
      <c r="C46" s="78"/>
      <c r="D46" s="266" t="s">
        <v>74</v>
      </c>
      <c r="E46" s="279"/>
      <c r="F46" s="278">
        <v>718.04</v>
      </c>
      <c r="G46" s="80">
        <f>+'1.2 Restating Adj'!F46</f>
        <v>0</v>
      </c>
      <c r="H46" s="67">
        <f t="shared" si="5"/>
        <v>718.04</v>
      </c>
      <c r="I46" s="80">
        <f>+'1.3 Pro Forma Adj'!F48</f>
        <v>0</v>
      </c>
      <c r="J46" s="67">
        <f t="shared" si="7"/>
        <v>718.04</v>
      </c>
      <c r="K46" s="73"/>
      <c r="L46" s="67">
        <f t="shared" si="8"/>
        <v>718.04</v>
      </c>
      <c r="M46" s="79"/>
      <c r="O46" s="65"/>
      <c r="P46" s="65"/>
      <c r="Q46" s="65"/>
      <c r="R46" s="65"/>
    </row>
    <row r="47" spans="1:20" x14ac:dyDescent="0.25">
      <c r="A47" s="65"/>
      <c r="B47" s="77">
        <f t="shared" si="6"/>
        <v>38</v>
      </c>
      <c r="C47" s="78"/>
      <c r="D47" s="266" t="s">
        <v>75</v>
      </c>
      <c r="E47" s="279"/>
      <c r="F47" s="278">
        <v>12058.31</v>
      </c>
      <c r="G47" s="80">
        <f>+'1.2 Restating Adj'!F47</f>
        <v>0</v>
      </c>
      <c r="H47" s="67">
        <f t="shared" si="5"/>
        <v>12058.31</v>
      </c>
      <c r="I47" s="80">
        <f>+'1.3 Pro Forma Adj'!F49</f>
        <v>0</v>
      </c>
      <c r="J47" s="67">
        <f t="shared" si="7"/>
        <v>12058.31</v>
      </c>
      <c r="K47" s="73"/>
      <c r="L47" s="67">
        <f t="shared" si="8"/>
        <v>12058.31</v>
      </c>
      <c r="M47" s="79"/>
      <c r="O47" s="65"/>
      <c r="P47" s="65"/>
      <c r="Q47" s="65"/>
      <c r="R47" s="65"/>
    </row>
    <row r="48" spans="1:20" x14ac:dyDescent="0.25">
      <c r="A48" s="65"/>
      <c r="B48" s="77">
        <f t="shared" si="6"/>
        <v>39</v>
      </c>
      <c r="C48" s="78"/>
      <c r="D48" s="266" t="s">
        <v>76</v>
      </c>
      <c r="E48" s="279"/>
      <c r="F48" s="278">
        <v>6120.75</v>
      </c>
      <c r="G48" s="80">
        <f>+'1.2 Restating Adj'!F48</f>
        <v>0</v>
      </c>
      <c r="H48" s="67">
        <f t="shared" si="5"/>
        <v>6120.75</v>
      </c>
      <c r="I48" s="80">
        <f>+'1.3 Pro Forma Adj'!F50</f>
        <v>0</v>
      </c>
      <c r="J48" s="67">
        <f t="shared" si="7"/>
        <v>6120.75</v>
      </c>
      <c r="K48" s="73"/>
      <c r="L48" s="67">
        <f t="shared" si="8"/>
        <v>6120.75</v>
      </c>
      <c r="M48" s="79"/>
      <c r="O48" s="65"/>
      <c r="P48" s="65"/>
      <c r="Q48" s="65"/>
      <c r="R48" s="65"/>
    </row>
    <row r="49" spans="1:19" x14ac:dyDescent="0.25">
      <c r="A49" s="65"/>
      <c r="B49" s="77">
        <f t="shared" si="6"/>
        <v>40</v>
      </c>
      <c r="C49" s="78"/>
      <c r="D49" t="s">
        <v>77</v>
      </c>
      <c r="E49" s="279" t="s">
        <v>55</v>
      </c>
      <c r="F49" s="278">
        <f>+'1.1 Inc Stmt detail'!I18</f>
        <v>142926.59</v>
      </c>
      <c r="G49" s="80">
        <f>+'1.2 Restating Adj'!F49</f>
        <v>0</v>
      </c>
      <c r="H49" s="67">
        <f t="shared" si="5"/>
        <v>142926.59</v>
      </c>
      <c r="I49" s="80">
        <f>+'1.3 Pro Forma Adj'!F51</f>
        <v>0</v>
      </c>
      <c r="J49" s="67">
        <f t="shared" si="7"/>
        <v>142926.59</v>
      </c>
      <c r="K49" s="73"/>
      <c r="L49" s="67">
        <f t="shared" si="8"/>
        <v>142926.59</v>
      </c>
      <c r="M49" s="79"/>
      <c r="O49" s="65"/>
      <c r="P49" s="65"/>
      <c r="Q49" s="65"/>
      <c r="R49" s="65"/>
    </row>
    <row r="50" spans="1:19" x14ac:dyDescent="0.25">
      <c r="A50" s="65"/>
      <c r="B50" s="77">
        <f t="shared" si="6"/>
        <v>41</v>
      </c>
      <c r="C50" s="78"/>
      <c r="D50" t="s">
        <v>78</v>
      </c>
      <c r="E50" s="279" t="s">
        <v>55</v>
      </c>
      <c r="F50" s="278">
        <f>1172.29+2243.46</f>
        <v>3415.75</v>
      </c>
      <c r="G50" s="80">
        <f>+'1.2 Restating Adj'!F50</f>
        <v>0</v>
      </c>
      <c r="H50" s="67">
        <f t="shared" si="5"/>
        <v>3415.75</v>
      </c>
      <c r="I50" s="80">
        <f>+'1.3 Pro Forma Adj'!F52</f>
        <v>0</v>
      </c>
      <c r="J50" s="67">
        <f t="shared" si="7"/>
        <v>3415.75</v>
      </c>
      <c r="K50" s="73"/>
      <c r="L50" s="67">
        <f>+K50+J50</f>
        <v>3415.75</v>
      </c>
      <c r="M50" s="79"/>
      <c r="O50" s="65"/>
      <c r="P50" s="65"/>
      <c r="Q50" s="65"/>
      <c r="R50" s="65"/>
    </row>
    <row r="51" spans="1:19" x14ac:dyDescent="0.25">
      <c r="A51" s="65"/>
      <c r="B51" s="77">
        <f t="shared" si="6"/>
        <v>42</v>
      </c>
      <c r="C51" s="78"/>
      <c r="D51" t="s">
        <v>79</v>
      </c>
      <c r="E51" s="279" t="s">
        <v>55</v>
      </c>
      <c r="F51" s="278">
        <f>+'1.1 Inc Stmt detail'!I35</f>
        <v>10133.11</v>
      </c>
      <c r="G51" s="80">
        <f>+'1.2 Restating Adj'!F51</f>
        <v>0</v>
      </c>
      <c r="H51" s="67">
        <f t="shared" si="5"/>
        <v>10133.11</v>
      </c>
      <c r="I51" s="80">
        <f>+'1.3 Pro Forma Adj'!F53</f>
        <v>0</v>
      </c>
      <c r="J51" s="67">
        <f>+I51+H51</f>
        <v>10133.11</v>
      </c>
      <c r="K51" s="73"/>
      <c r="L51" s="67">
        <f t="shared" si="8"/>
        <v>10133.11</v>
      </c>
      <c r="M51" s="79"/>
      <c r="O51" s="65"/>
      <c r="P51" s="65"/>
      <c r="Q51" s="65"/>
      <c r="R51" s="65"/>
    </row>
    <row r="52" spans="1:19" x14ac:dyDescent="0.25">
      <c r="A52" s="65"/>
      <c r="B52" s="77">
        <f t="shared" si="6"/>
        <v>43</v>
      </c>
      <c r="C52" s="78"/>
      <c r="D52" s="275" t="s">
        <v>80</v>
      </c>
      <c r="E52" s="276" t="s">
        <v>81</v>
      </c>
      <c r="F52" s="83">
        <f t="shared" ref="F52:L52" si="12">SUM(F20:F51)</f>
        <v>862165.0989199999</v>
      </c>
      <c r="G52" s="148">
        <f t="shared" si="12"/>
        <v>49406.551194200001</v>
      </c>
      <c r="H52" s="83">
        <f t="shared" si="12"/>
        <v>911571.65011419996</v>
      </c>
      <c r="I52" s="148">
        <f t="shared" si="12"/>
        <v>176958.1974</v>
      </c>
      <c r="J52" s="83">
        <f t="shared" si="12"/>
        <v>1088529.8475142003</v>
      </c>
      <c r="K52" s="83">
        <f t="shared" si="12"/>
        <v>9038.7618600000023</v>
      </c>
      <c r="L52" s="83">
        <f t="shared" si="12"/>
        <v>1097568.6093742002</v>
      </c>
      <c r="M52" s="79"/>
      <c r="O52" s="65"/>
      <c r="P52" s="65"/>
      <c r="Q52" s="65"/>
      <c r="R52" s="65"/>
      <c r="S52" s="84"/>
    </row>
    <row r="53" spans="1:19" x14ac:dyDescent="0.25">
      <c r="A53" s="65"/>
      <c r="B53" s="77">
        <f t="shared" si="6"/>
        <v>44</v>
      </c>
      <c r="C53" s="78"/>
      <c r="E53" s="7"/>
      <c r="G53" s="80"/>
      <c r="I53" s="80"/>
      <c r="M53" s="79"/>
      <c r="O53" s="65"/>
      <c r="P53" s="65"/>
      <c r="Q53" s="65"/>
      <c r="R53" s="65"/>
    </row>
    <row r="54" spans="1:19" x14ac:dyDescent="0.25">
      <c r="A54" s="65"/>
      <c r="B54" s="77">
        <f t="shared" si="6"/>
        <v>45</v>
      </c>
      <c r="C54" s="78"/>
      <c r="D54" s="60" t="s">
        <v>82</v>
      </c>
      <c r="E54" s="7"/>
      <c r="G54" s="80"/>
      <c r="I54" s="80"/>
      <c r="M54" s="79"/>
      <c r="O54" s="65"/>
      <c r="P54" s="65"/>
      <c r="Q54" s="250" t="s">
        <v>83</v>
      </c>
      <c r="R54" s="251"/>
      <c r="S54" s="252" t="s">
        <v>84</v>
      </c>
    </row>
    <row r="55" spans="1:19" x14ac:dyDescent="0.25">
      <c r="A55" s="65"/>
      <c r="B55" s="77">
        <f t="shared" si="6"/>
        <v>46</v>
      </c>
      <c r="C55" s="78"/>
      <c r="D55" s="60" t="s">
        <v>85</v>
      </c>
      <c r="E55" s="276" t="s">
        <v>86</v>
      </c>
      <c r="F55" s="83">
        <f>+F17-F52</f>
        <v>98052.881080000079</v>
      </c>
      <c r="G55" s="148">
        <f>+G17-G52</f>
        <v>-57256.551194200001</v>
      </c>
      <c r="H55" s="83">
        <f>+H17-H52</f>
        <v>40796.32988580002</v>
      </c>
      <c r="I55" s="148">
        <f>+I17-I52</f>
        <v>-176958.1974</v>
      </c>
      <c r="J55" s="83">
        <f>+J17-J52</f>
        <v>-136161.86751420028</v>
      </c>
      <c r="K55" s="83"/>
      <c r="L55" s="83">
        <f>+L17-L52</f>
        <v>368999.37062579975</v>
      </c>
      <c r="M55" s="79"/>
      <c r="O55" s="65"/>
      <c r="P55" s="65"/>
      <c r="Q55" s="353" t="s">
        <v>87</v>
      </c>
      <c r="R55" s="354" t="s">
        <v>88</v>
      </c>
      <c r="S55" s="355" t="s">
        <v>89</v>
      </c>
    </row>
    <row r="56" spans="1:19" x14ac:dyDescent="0.25">
      <c r="A56" s="65"/>
      <c r="B56" s="77">
        <f t="shared" si="6"/>
        <v>47</v>
      </c>
      <c r="C56" s="78"/>
      <c r="D56" s="266"/>
      <c r="E56" s="274"/>
      <c r="F56" s="278"/>
      <c r="G56" s="80"/>
      <c r="I56" s="80"/>
      <c r="M56" s="79"/>
      <c r="O56" s="65"/>
      <c r="P56" s="65"/>
      <c r="Q56" s="253">
        <f>+R56*L69</f>
        <v>163754.18170984241</v>
      </c>
      <c r="R56" s="344">
        <f>+'4.1 Capital'!J20</f>
        <v>4.867340713005671E-2</v>
      </c>
      <c r="S56" s="254" t="s">
        <v>90</v>
      </c>
    </row>
    <row r="57" spans="1:19" ht="18" x14ac:dyDescent="0.4">
      <c r="A57" s="65"/>
      <c r="B57" s="77">
        <f t="shared" si="6"/>
        <v>48</v>
      </c>
      <c r="C57" s="78"/>
      <c r="D57" s="275" t="s">
        <v>91</v>
      </c>
      <c r="E57" s="279" t="s">
        <v>92</v>
      </c>
      <c r="F57" s="278">
        <v>13264</v>
      </c>
      <c r="G57" s="80">
        <f>+H57-F57</f>
        <v>-76490.13065382879</v>
      </c>
      <c r="H57" s="278">
        <f>'5.1 Income Taxes'!K23</f>
        <v>-63226.130653828783</v>
      </c>
      <c r="I57" s="80">
        <f>+J57-H57</f>
        <v>0</v>
      </c>
      <c r="J57" s="278">
        <f>+'5.1 Income Taxes'!K23</f>
        <v>-63226.130653828783</v>
      </c>
      <c r="K57" s="67">
        <f>+L57-J57</f>
        <v>106083.86000939994</v>
      </c>
      <c r="L57" s="278">
        <f>+'5.1 Income Taxes'!N23</f>
        <v>42857.729355571151</v>
      </c>
      <c r="M57" s="79"/>
      <c r="N57" s="84"/>
      <c r="O57" s="65"/>
      <c r="P57" s="65"/>
      <c r="Q57" s="257">
        <f>+R57*L69</f>
        <v>162295.97882634422</v>
      </c>
      <c r="R57" s="344">
        <f>+'4.1 Capital'!J16</f>
        <v>4.8239978793231136E-2</v>
      </c>
      <c r="S57" s="254" t="s">
        <v>93</v>
      </c>
    </row>
    <row r="58" spans="1:19" ht="20.25" customHeight="1" x14ac:dyDescent="0.25">
      <c r="A58" s="65"/>
      <c r="B58" s="77">
        <f t="shared" si="6"/>
        <v>49</v>
      </c>
      <c r="C58" s="78"/>
      <c r="D58" s="60" t="s">
        <v>94</v>
      </c>
      <c r="E58" s="280" t="s">
        <v>95</v>
      </c>
      <c r="F58" s="85">
        <f>+F55-F57</f>
        <v>84788.881080000079</v>
      </c>
      <c r="G58" s="149">
        <f t="shared" ref="G58:L58" si="13">+G55-G57</f>
        <v>19233.579459628789</v>
      </c>
      <c r="H58" s="85">
        <f t="shared" si="13"/>
        <v>104022.46053962881</v>
      </c>
      <c r="I58" s="149">
        <f t="shared" si="13"/>
        <v>-176958.1974</v>
      </c>
      <c r="J58" s="85">
        <f t="shared" si="13"/>
        <v>-72935.736860371486</v>
      </c>
      <c r="K58" s="85">
        <f t="shared" si="13"/>
        <v>-106083.86000939994</v>
      </c>
      <c r="L58" s="85">
        <f t="shared" si="13"/>
        <v>326141.6412702286</v>
      </c>
      <c r="M58" s="79"/>
      <c r="O58" s="65"/>
      <c r="P58" s="65"/>
      <c r="Q58" s="255">
        <f>+Q56+Q57</f>
        <v>326050.16053618665</v>
      </c>
      <c r="R58" s="345">
        <f>+R56+R57</f>
        <v>9.6913385923287854E-2</v>
      </c>
      <c r="S58" s="256" t="s">
        <v>96</v>
      </c>
    </row>
    <row r="59" spans="1:19" x14ac:dyDescent="0.25">
      <c r="A59" s="65"/>
      <c r="B59" s="77">
        <f t="shared" si="6"/>
        <v>50</v>
      </c>
      <c r="C59" s="78"/>
      <c r="E59" s="281"/>
      <c r="G59" s="80"/>
      <c r="I59" s="80"/>
      <c r="M59" s="79"/>
      <c r="O59" s="65"/>
      <c r="P59" s="65"/>
      <c r="Q59" s="65"/>
      <c r="R59" s="65"/>
    </row>
    <row r="60" spans="1:19" x14ac:dyDescent="0.25">
      <c r="A60" s="65"/>
      <c r="B60" s="77">
        <f t="shared" si="6"/>
        <v>51</v>
      </c>
      <c r="C60" s="78"/>
      <c r="D60" s="61" t="s">
        <v>97</v>
      </c>
      <c r="E60" s="112"/>
      <c r="G60" s="80"/>
      <c r="I60" s="80"/>
      <c r="M60" s="79"/>
      <c r="O60" s="65"/>
      <c r="P60" s="65"/>
      <c r="Q60" s="65"/>
      <c r="R60" s="65"/>
    </row>
    <row r="61" spans="1:19" x14ac:dyDescent="0.25">
      <c r="A61" s="65"/>
      <c r="B61" s="77">
        <f t="shared" si="6"/>
        <v>52</v>
      </c>
      <c r="C61" s="78"/>
      <c r="E61" s="107"/>
      <c r="G61" s="80"/>
      <c r="I61" s="80"/>
      <c r="M61" s="79"/>
      <c r="O61" s="65"/>
      <c r="P61" s="65"/>
      <c r="Q61" s="65"/>
      <c r="R61" s="65"/>
    </row>
    <row r="62" spans="1:19" x14ac:dyDescent="0.25">
      <c r="A62" s="65"/>
      <c r="B62" s="77">
        <f t="shared" si="6"/>
        <v>53</v>
      </c>
      <c r="D62" s="67" t="s">
        <v>98</v>
      </c>
      <c r="E62" s="7" t="s">
        <v>99</v>
      </c>
      <c r="F62" s="67">
        <f>+'2.1 Rate Base'!G14</f>
        <v>5418839</v>
      </c>
      <c r="G62" s="80">
        <f>+'1.2 Restating Adj'!F62</f>
        <v>0</v>
      </c>
      <c r="H62" s="67">
        <f>+G62+F62</f>
        <v>5418839</v>
      </c>
      <c r="I62" s="80">
        <f>+'1.3 Pro Forma Adj'!F63</f>
        <v>0</v>
      </c>
      <c r="J62" s="67">
        <f>+I62+H62</f>
        <v>5418839</v>
      </c>
      <c r="L62" s="67">
        <f>+K62+J62</f>
        <v>5418839</v>
      </c>
      <c r="M62" s="79"/>
      <c r="O62" s="65"/>
      <c r="P62" s="65"/>
      <c r="Q62" s="65"/>
      <c r="R62" s="65"/>
    </row>
    <row r="63" spans="1:19" x14ac:dyDescent="0.25">
      <c r="A63" s="65"/>
      <c r="B63" s="77">
        <f t="shared" si="6"/>
        <v>54</v>
      </c>
      <c r="D63" s="67" t="s">
        <v>100</v>
      </c>
      <c r="E63" s="7" t="s">
        <v>99</v>
      </c>
      <c r="F63" s="67">
        <f>+'2.1 Rate Base'!G15</f>
        <v>-1314110</v>
      </c>
      <c r="G63" s="80">
        <f>+'1.2 Restating Adj'!F63</f>
        <v>0</v>
      </c>
      <c r="H63" s="67">
        <f>+G63+F63</f>
        <v>-1314110</v>
      </c>
      <c r="I63" s="80">
        <f>+'1.3 Pro Forma Adj'!F64</f>
        <v>0</v>
      </c>
      <c r="J63" s="67">
        <f>+I63+H63</f>
        <v>-1314110</v>
      </c>
      <c r="L63" s="67">
        <f>+K63+J63</f>
        <v>-1314110</v>
      </c>
      <c r="M63" s="79"/>
      <c r="O63" s="65"/>
      <c r="P63" s="65"/>
      <c r="Q63" s="65"/>
      <c r="R63" s="65"/>
    </row>
    <row r="64" spans="1:19" x14ac:dyDescent="0.25">
      <c r="A64" s="65"/>
      <c r="B64" s="77">
        <f>+B63+1</f>
        <v>55</v>
      </c>
      <c r="D64" s="67" t="s">
        <v>101</v>
      </c>
      <c r="E64" s="282" t="s">
        <v>102</v>
      </c>
      <c r="F64" s="83">
        <f>+F62+F63</f>
        <v>4104729</v>
      </c>
      <c r="G64" s="150"/>
      <c r="H64" s="83">
        <f>+H62+H63</f>
        <v>4104729</v>
      </c>
      <c r="I64" s="148">
        <f>+I62+I63</f>
        <v>0</v>
      </c>
      <c r="J64" s="83">
        <f>+J62+J63</f>
        <v>4104729</v>
      </c>
      <c r="K64" s="83"/>
      <c r="L64" s="83">
        <f>+L62+L63</f>
        <v>4104729</v>
      </c>
      <c r="M64" s="79"/>
      <c r="O64" s="65"/>
      <c r="P64" s="65"/>
      <c r="Q64" s="65"/>
      <c r="R64" s="65"/>
    </row>
    <row r="65" spans="1:18" x14ac:dyDescent="0.25">
      <c r="A65" s="65"/>
      <c r="B65" s="77">
        <f t="shared" si="6"/>
        <v>56</v>
      </c>
      <c r="E65" s="77"/>
      <c r="G65" s="151"/>
      <c r="I65" s="80"/>
      <c r="M65" s="79"/>
      <c r="O65" s="65"/>
      <c r="P65" s="65"/>
      <c r="Q65" s="65"/>
      <c r="R65" s="65"/>
    </row>
    <row r="66" spans="1:18" x14ac:dyDescent="0.25">
      <c r="A66" s="65"/>
      <c r="B66" s="77">
        <f t="shared" si="6"/>
        <v>57</v>
      </c>
      <c r="D66" s="67" t="s">
        <v>103</v>
      </c>
      <c r="E66" s="7" t="s">
        <v>104</v>
      </c>
      <c r="F66" s="67">
        <f>-'2.2 CIAC'!G28</f>
        <v>-784883.04158333794</v>
      </c>
      <c r="G66" s="80">
        <f>+'1.2 Restating Adj'!F65</f>
        <v>0</v>
      </c>
      <c r="H66" s="67">
        <f>+F66+G66</f>
        <v>-784883.04158333794</v>
      </c>
      <c r="I66" s="80">
        <f>+'1.3 Pro Forma Adj'!F67</f>
        <v>0</v>
      </c>
      <c r="J66" s="67">
        <f>+I66+H66</f>
        <v>-784883.04158333794</v>
      </c>
      <c r="L66" s="67">
        <f>+J66</f>
        <v>-784883.04158333794</v>
      </c>
      <c r="M66" s="79"/>
      <c r="O66" s="65"/>
      <c r="P66" s="65"/>
      <c r="Q66" s="65"/>
      <c r="R66" s="65"/>
    </row>
    <row r="67" spans="1:18" x14ac:dyDescent="0.25">
      <c r="A67" s="65"/>
      <c r="B67" s="77">
        <f t="shared" si="6"/>
        <v>58</v>
      </c>
      <c r="D67" s="67" t="s">
        <v>105</v>
      </c>
      <c r="E67" s="7"/>
      <c r="G67" s="80">
        <f>+'1.2 Restating Adj'!F66</f>
        <v>0</v>
      </c>
      <c r="H67" s="67">
        <f>+G67+F67</f>
        <v>0</v>
      </c>
      <c r="I67" s="80">
        <f>+'1.3 Pro Forma Adj'!F68</f>
        <v>0</v>
      </c>
      <c r="J67" s="67">
        <f>+I67+H67</f>
        <v>0</v>
      </c>
      <c r="L67" s="67">
        <f>+J67</f>
        <v>0</v>
      </c>
      <c r="M67" s="79"/>
      <c r="O67" s="65"/>
      <c r="P67" s="65"/>
      <c r="Q67" s="65"/>
      <c r="R67" s="65"/>
    </row>
    <row r="68" spans="1:18" x14ac:dyDescent="0.25">
      <c r="A68" s="65"/>
      <c r="B68" s="77">
        <f t="shared" si="6"/>
        <v>59</v>
      </c>
      <c r="D68" s="67" t="s">
        <v>106</v>
      </c>
      <c r="E68" s="7" t="s">
        <v>107</v>
      </c>
      <c r="G68" s="80">
        <f>+H68-F68</f>
        <v>34915.975211635712</v>
      </c>
      <c r="H68" s="67">
        <f>+'2.3 Working Cap'!K20</f>
        <v>34915.975211635712</v>
      </c>
      <c r="I68" s="80">
        <f>+J68-H68</f>
        <v>9584.0484042857279</v>
      </c>
      <c r="J68" s="67">
        <f>+'2.3 Working Cap'!M20</f>
        <v>44500.02361592144</v>
      </c>
      <c r="L68" s="67">
        <f>+'2.3 Working Cap'!O20</f>
        <v>44500.02361592144</v>
      </c>
      <c r="M68" s="79"/>
      <c r="O68" s="65"/>
      <c r="P68" s="65"/>
      <c r="Q68" s="65"/>
      <c r="R68" s="65"/>
    </row>
    <row r="69" spans="1:18" x14ac:dyDescent="0.25">
      <c r="A69" s="65"/>
      <c r="B69" s="77">
        <f t="shared" si="6"/>
        <v>60</v>
      </c>
      <c r="D69" s="67" t="s">
        <v>97</v>
      </c>
      <c r="E69" s="282" t="s">
        <v>108</v>
      </c>
      <c r="F69" s="83">
        <f>+F64+F66+F67+F68</f>
        <v>3319845.9584166622</v>
      </c>
      <c r="G69" s="150"/>
      <c r="H69" s="83">
        <f>+H64+H66+H67+H68</f>
        <v>3354761.9336282979</v>
      </c>
      <c r="I69" s="148">
        <f>+I64+I66+I68</f>
        <v>9584.0484042857279</v>
      </c>
      <c r="J69" s="83">
        <f>+J64+J66+J67+J68</f>
        <v>3364345.9820325836</v>
      </c>
      <c r="K69" s="83"/>
      <c r="L69" s="83">
        <f>+L64+L66+L67+L68</f>
        <v>3364345.9820325836</v>
      </c>
      <c r="M69" s="79"/>
      <c r="O69" s="65"/>
      <c r="P69" s="65"/>
      <c r="Q69" s="65"/>
      <c r="R69" s="65"/>
    </row>
    <row r="70" spans="1:18" x14ac:dyDescent="0.25">
      <c r="A70" s="65"/>
      <c r="B70" s="77">
        <f t="shared" si="6"/>
        <v>61</v>
      </c>
      <c r="F70" s="113"/>
      <c r="G70" s="80"/>
      <c r="I70" s="80"/>
      <c r="M70" s="79"/>
      <c r="O70" s="65"/>
      <c r="P70" s="65"/>
      <c r="Q70" s="65"/>
      <c r="R70" s="65"/>
    </row>
    <row r="71" spans="1:18" x14ac:dyDescent="0.25">
      <c r="A71" s="65"/>
      <c r="B71" s="77">
        <f t="shared" si="6"/>
        <v>62</v>
      </c>
      <c r="D71" s="67" t="s">
        <v>109</v>
      </c>
      <c r="E71" s="7" t="s">
        <v>110</v>
      </c>
      <c r="F71" s="89">
        <f>+F58/F69</f>
        <v>2.5540004609261611E-2</v>
      </c>
      <c r="G71" s="80"/>
      <c r="H71" s="89">
        <f>+H58/H69</f>
        <v>3.1007404578221355E-2</v>
      </c>
      <c r="I71" s="80"/>
      <c r="J71" s="90">
        <f>+J58/J69</f>
        <v>-2.1679023872659808E-2</v>
      </c>
      <c r="L71" s="90">
        <f>+L58/L69</f>
        <v>9.6940577161802127E-2</v>
      </c>
      <c r="M71" s="79"/>
      <c r="O71" s="65"/>
      <c r="P71" s="65"/>
      <c r="Q71" s="65"/>
      <c r="R71" s="65"/>
    </row>
    <row r="72" spans="1:18" x14ac:dyDescent="0.25">
      <c r="A72" s="65"/>
      <c r="B72" s="77">
        <f t="shared" si="6"/>
        <v>63</v>
      </c>
      <c r="G72" s="80"/>
      <c r="I72" s="80"/>
      <c r="M72" s="79"/>
      <c r="O72" s="65"/>
      <c r="P72" s="65"/>
      <c r="Q72" s="65"/>
      <c r="R72" s="65"/>
    </row>
    <row r="73" spans="1:18" x14ac:dyDescent="0.25">
      <c r="A73" s="65"/>
      <c r="B73" s="77">
        <f t="shared" si="6"/>
        <v>64</v>
      </c>
      <c r="D73" s="220"/>
      <c r="G73" s="80"/>
      <c r="I73" s="71"/>
      <c r="M73" s="79"/>
      <c r="O73" s="65"/>
      <c r="P73" s="65"/>
      <c r="Q73" s="65"/>
      <c r="R73" s="65"/>
    </row>
    <row r="74" spans="1:18" x14ac:dyDescent="0.25">
      <c r="A74" s="65"/>
      <c r="B74" s="77">
        <f t="shared" si="6"/>
        <v>65</v>
      </c>
      <c r="M74" s="79"/>
      <c r="O74" s="65"/>
      <c r="P74" s="65"/>
      <c r="Q74" s="65"/>
      <c r="R74" s="65"/>
    </row>
    <row r="75" spans="1:18" x14ac:dyDescent="0.2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</row>
    <row r="76" spans="1:18" x14ac:dyDescent="0.2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</row>
    <row r="77" spans="1:18" x14ac:dyDescent="0.2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97"/>
      <c r="P77" s="65"/>
      <c r="Q77" s="65"/>
      <c r="R77" s="65"/>
    </row>
    <row r="78" spans="1:18" x14ac:dyDescent="0.25">
      <c r="A78" s="65"/>
      <c r="B78" s="65"/>
      <c r="C78" s="65"/>
      <c r="D78" s="95"/>
      <c r="E78" s="95"/>
      <c r="F78" s="96"/>
      <c r="G78" s="65"/>
      <c r="H78" s="96"/>
      <c r="I78" s="65"/>
      <c r="J78" s="96"/>
      <c r="K78" s="65"/>
      <c r="L78" s="96"/>
      <c r="M78" s="96"/>
      <c r="N78" s="65"/>
      <c r="O78" s="96"/>
      <c r="P78" s="65"/>
      <c r="Q78" s="65"/>
      <c r="R78" s="65"/>
    </row>
    <row r="79" spans="1:18" x14ac:dyDescent="0.25">
      <c r="A79" s="65"/>
      <c r="B79" s="65"/>
      <c r="C79" s="65"/>
      <c r="D79" s="95"/>
      <c r="E79" s="95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65"/>
      <c r="Q79" s="65"/>
      <c r="R79" s="65"/>
    </row>
  </sheetData>
  <mergeCells count="1">
    <mergeCell ref="O13:P13"/>
  </mergeCells>
  <phoneticPr fontId="0" type="noConversion"/>
  <printOptions horizontalCentered="1" gridLinesSet="0"/>
  <pageMargins left="0.25" right="0.25" top="0.42" bottom="0.42" header="0.25" footer="0.2"/>
  <pageSetup scale="64" orientation="portrait" r:id="rId1"/>
  <headerFooter alignWithMargins="0">
    <oddFooter>&amp;L&amp;8&amp;T  &amp;D&amp;R&amp;8&amp;F &amp;A</oddFooter>
  </headerFooter>
  <ignoredErrors>
    <ignoredError sqref="I15 I16:I17 I4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56ECF-23FE-49CD-AF31-43121C42F9F0}">
  <sheetPr>
    <pageSetUpPr fitToPage="1"/>
  </sheetPr>
  <dimension ref="A1:P66"/>
  <sheetViews>
    <sheetView showGridLines="0" zoomScaleNormal="100" workbookViewId="0"/>
  </sheetViews>
  <sheetFormatPr defaultRowHeight="15.75" x14ac:dyDescent="0.25"/>
  <cols>
    <col min="1" max="1" width="10.625" customWidth="1"/>
    <col min="3" max="3" width="18.875" customWidth="1"/>
    <col min="7" max="7" width="3.375" customWidth="1"/>
    <col min="8" max="8" width="20.5" customWidth="1"/>
  </cols>
  <sheetData>
    <row r="1" spans="1:16" s="67" customFormat="1" x14ac:dyDescent="0.25">
      <c r="A1" s="65"/>
      <c r="B1" s="68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67" customFormat="1" x14ac:dyDescent="0.25">
      <c r="A2" s="65"/>
      <c r="B2" s="219" t="str">
        <f>+cover!B8</f>
        <v>Summit View Water Works LLC</v>
      </c>
      <c r="H2" s="69"/>
      <c r="J2" s="332" t="s">
        <v>6</v>
      </c>
      <c r="M2" s="65"/>
      <c r="N2" s="65"/>
      <c r="O2" s="65"/>
      <c r="P2" s="65"/>
    </row>
    <row r="3" spans="1:16" s="67" customFormat="1" x14ac:dyDescent="0.25">
      <c r="A3" s="65"/>
      <c r="B3" s="219" t="str">
        <f>+cover!B12</f>
        <v>Test Year Ended December 31, 2023</v>
      </c>
      <c r="M3" s="65"/>
      <c r="N3" s="65"/>
      <c r="O3" s="65"/>
      <c r="P3" s="65"/>
    </row>
    <row r="4" spans="1:16" s="67" customFormat="1" x14ac:dyDescent="0.25">
      <c r="A4" s="65"/>
      <c r="B4" s="70" t="s">
        <v>111</v>
      </c>
      <c r="M4" s="65"/>
      <c r="N4" s="65"/>
      <c r="O4" s="65"/>
      <c r="P4" s="65"/>
    </row>
    <row r="5" spans="1:16" x14ac:dyDescent="0.25">
      <c r="A5" s="65"/>
      <c r="M5" s="65"/>
      <c r="N5" s="65"/>
      <c r="O5" s="65"/>
      <c r="P5" s="65"/>
    </row>
    <row r="6" spans="1:16" ht="20.25" x14ac:dyDescent="0.3">
      <c r="A6" s="65"/>
      <c r="C6" s="67"/>
      <c r="D6" s="452" t="s">
        <v>112</v>
      </c>
      <c r="E6" s="452"/>
      <c r="F6" s="452"/>
      <c r="G6" s="452"/>
      <c r="H6" s="452"/>
      <c r="I6" s="452"/>
      <c r="M6" s="65"/>
      <c r="N6" s="65"/>
      <c r="O6" s="65"/>
      <c r="P6" s="65"/>
    </row>
    <row r="7" spans="1:16" ht="20.25" x14ac:dyDescent="0.3">
      <c r="A7" s="65"/>
      <c r="D7" s="452" t="s">
        <v>113</v>
      </c>
      <c r="E7" s="452"/>
      <c r="F7" s="452"/>
      <c r="G7" s="452"/>
      <c r="H7" s="452"/>
      <c r="I7" s="452"/>
      <c r="M7" s="65"/>
      <c r="N7" s="65"/>
      <c r="O7" s="65"/>
      <c r="P7" s="65"/>
    </row>
    <row r="8" spans="1:16" ht="20.25" x14ac:dyDescent="0.3">
      <c r="A8" s="65"/>
      <c r="D8" s="188"/>
      <c r="M8" s="65"/>
      <c r="N8" s="65"/>
      <c r="O8" s="65"/>
      <c r="P8" s="65"/>
    </row>
    <row r="9" spans="1:16" x14ac:dyDescent="0.25">
      <c r="A9" s="65"/>
      <c r="M9" s="65"/>
      <c r="N9" s="65"/>
      <c r="O9" s="65"/>
      <c r="P9" s="65"/>
    </row>
    <row r="10" spans="1:16" x14ac:dyDescent="0.25">
      <c r="A10" s="65"/>
      <c r="M10" s="65"/>
      <c r="N10" s="65"/>
      <c r="O10" s="65"/>
      <c r="P10" s="65"/>
    </row>
    <row r="11" spans="1:16" x14ac:dyDescent="0.25">
      <c r="A11" s="65"/>
      <c r="C11" s="453" t="s">
        <v>114</v>
      </c>
      <c r="D11" s="453"/>
      <c r="E11" s="213"/>
      <c r="F11" s="213"/>
      <c r="G11" s="213"/>
      <c r="H11" s="453" t="s">
        <v>115</v>
      </c>
      <c r="I11" s="453"/>
      <c r="J11" s="213"/>
      <c r="M11" s="65"/>
      <c r="N11" s="65"/>
      <c r="O11" s="65"/>
      <c r="P11" s="65"/>
    </row>
    <row r="12" spans="1:16" x14ac:dyDescent="0.25">
      <c r="A12" s="65"/>
      <c r="C12" s="214" t="s">
        <v>116</v>
      </c>
      <c r="D12" s="215">
        <v>885.09</v>
      </c>
      <c r="E12" s="213"/>
      <c r="F12" s="213"/>
      <c r="G12" s="213"/>
      <c r="H12" s="214" t="s">
        <v>117</v>
      </c>
      <c r="I12" s="215">
        <v>32149.62</v>
      </c>
      <c r="J12" s="213"/>
      <c r="M12" s="65"/>
      <c r="N12" s="65"/>
      <c r="O12" s="65"/>
      <c r="P12" s="65"/>
    </row>
    <row r="13" spans="1:16" x14ac:dyDescent="0.25">
      <c r="A13" s="65"/>
      <c r="C13" s="214" t="s">
        <v>118</v>
      </c>
      <c r="D13" s="215">
        <v>840</v>
      </c>
      <c r="E13" s="213"/>
      <c r="F13" s="213"/>
      <c r="G13" s="213"/>
      <c r="H13" s="214" t="s">
        <v>119</v>
      </c>
      <c r="I13" s="215">
        <v>74701.039999999994</v>
      </c>
      <c r="J13" s="213"/>
      <c r="M13" s="65"/>
      <c r="N13" s="65"/>
      <c r="O13" s="65"/>
      <c r="P13" s="65"/>
    </row>
    <row r="14" spans="1:16" x14ac:dyDescent="0.25">
      <c r="A14" s="65"/>
      <c r="C14" s="214" t="s">
        <v>120</v>
      </c>
      <c r="D14" s="215">
        <v>6323.74</v>
      </c>
      <c r="E14" s="213"/>
      <c r="F14" s="213"/>
      <c r="G14" s="213"/>
      <c r="H14" s="214" t="s">
        <v>121</v>
      </c>
      <c r="I14" s="215">
        <v>781.8</v>
      </c>
      <c r="J14" s="213"/>
      <c r="M14" s="65"/>
      <c r="N14" s="65"/>
      <c r="O14" s="65"/>
      <c r="P14" s="65"/>
    </row>
    <row r="15" spans="1:16" x14ac:dyDescent="0.25">
      <c r="A15" s="65"/>
      <c r="C15" s="214" t="s">
        <v>122</v>
      </c>
      <c r="D15" s="215">
        <v>21867.29</v>
      </c>
      <c r="E15" s="213"/>
      <c r="F15" s="213"/>
      <c r="G15" s="213"/>
      <c r="H15" s="214" t="s">
        <v>123</v>
      </c>
      <c r="I15" s="215">
        <v>21679.23</v>
      </c>
      <c r="J15" s="213"/>
      <c r="M15" s="65"/>
      <c r="N15" s="65"/>
      <c r="O15" s="65"/>
      <c r="P15" s="65"/>
    </row>
    <row r="16" spans="1:16" x14ac:dyDescent="0.25">
      <c r="A16" s="65"/>
      <c r="C16" s="214" t="s">
        <v>124</v>
      </c>
      <c r="D16" s="215">
        <v>1009</v>
      </c>
      <c r="E16" s="213"/>
      <c r="F16" s="213"/>
      <c r="G16" s="213"/>
      <c r="H16" s="214" t="s">
        <v>125</v>
      </c>
      <c r="I16" s="215">
        <v>8150.97</v>
      </c>
      <c r="J16" s="213"/>
      <c r="M16" s="65"/>
      <c r="N16" s="65"/>
      <c r="O16" s="65"/>
      <c r="P16" s="65"/>
    </row>
    <row r="17" spans="1:16" ht="16.5" thickBot="1" x14ac:dyDescent="0.3">
      <c r="A17" s="65"/>
      <c r="C17" s="216" t="s">
        <v>54</v>
      </c>
      <c r="D17" s="217">
        <v>30925.119999999999</v>
      </c>
      <c r="E17" s="213"/>
      <c r="F17" s="213"/>
      <c r="G17" s="213"/>
      <c r="H17" s="214" t="s">
        <v>126</v>
      </c>
      <c r="I17" s="218">
        <v>5463.93</v>
      </c>
      <c r="J17" s="213"/>
      <c r="M17" s="65"/>
      <c r="N17" s="65"/>
      <c r="O17" s="65"/>
      <c r="P17" s="65"/>
    </row>
    <row r="18" spans="1:16" ht="17.25" thickTop="1" thickBot="1" x14ac:dyDescent="0.3">
      <c r="A18" s="65"/>
      <c r="C18" s="215"/>
      <c r="D18" s="215"/>
      <c r="E18" s="213"/>
      <c r="F18" s="213"/>
      <c r="G18" s="213"/>
      <c r="H18" s="216" t="s">
        <v>127</v>
      </c>
      <c r="I18" s="217">
        <v>142926.59</v>
      </c>
      <c r="J18" s="213"/>
      <c r="M18" s="65"/>
      <c r="N18" s="65"/>
      <c r="O18" s="65"/>
      <c r="P18" s="65"/>
    </row>
    <row r="19" spans="1:16" ht="16.5" thickTop="1" x14ac:dyDescent="0.25">
      <c r="A19" s="65"/>
      <c r="C19" s="215"/>
      <c r="D19" s="215"/>
      <c r="E19" s="213"/>
      <c r="F19" s="213"/>
      <c r="G19" s="213"/>
      <c r="H19" s="213"/>
      <c r="I19" s="213"/>
      <c r="J19" s="213"/>
      <c r="M19" s="65"/>
      <c r="N19" s="65"/>
      <c r="O19" s="65"/>
      <c r="P19" s="65"/>
    </row>
    <row r="20" spans="1:16" x14ac:dyDescent="0.25">
      <c r="A20" s="65"/>
      <c r="C20" s="453" t="s">
        <v>128</v>
      </c>
      <c r="D20" s="453"/>
      <c r="E20" s="213"/>
      <c r="F20" s="213"/>
      <c r="G20" s="213"/>
      <c r="H20" s="213"/>
      <c r="I20" s="213"/>
      <c r="J20" s="213"/>
      <c r="M20" s="65"/>
      <c r="N20" s="65"/>
      <c r="O20" s="65"/>
      <c r="P20" s="65"/>
    </row>
    <row r="21" spans="1:16" x14ac:dyDescent="0.25">
      <c r="A21" s="65"/>
      <c r="C21" s="214" t="s">
        <v>129</v>
      </c>
      <c r="D21" s="215">
        <v>456.87</v>
      </c>
      <c r="E21" s="213"/>
      <c r="F21" s="213"/>
      <c r="G21" s="213"/>
      <c r="J21" s="213"/>
      <c r="M21" s="65"/>
      <c r="N21" s="65"/>
      <c r="O21" s="65"/>
      <c r="P21" s="65"/>
    </row>
    <row r="22" spans="1:16" x14ac:dyDescent="0.25">
      <c r="A22" s="65"/>
      <c r="C22" s="214" t="s">
        <v>130</v>
      </c>
      <c r="D22" s="215">
        <v>2310</v>
      </c>
      <c r="E22" s="213"/>
      <c r="F22" s="213"/>
      <c r="G22" s="213"/>
      <c r="H22" s="454" t="s">
        <v>131</v>
      </c>
      <c r="I22" s="454"/>
      <c r="J22" s="213"/>
      <c r="M22" s="65"/>
      <c r="N22" s="65"/>
      <c r="O22" s="65"/>
      <c r="P22" s="65"/>
    </row>
    <row r="23" spans="1:16" x14ac:dyDescent="0.25">
      <c r="A23" s="65"/>
      <c r="C23" s="214" t="s">
        <v>132</v>
      </c>
      <c r="D23" s="215">
        <v>73.53</v>
      </c>
      <c r="E23" s="213"/>
      <c r="F23" s="213"/>
      <c r="G23" s="213"/>
      <c r="H23" s="209" t="s">
        <v>133</v>
      </c>
      <c r="I23" s="214">
        <v>1172.29</v>
      </c>
      <c r="J23" s="213"/>
      <c r="M23" s="65"/>
      <c r="N23" s="65"/>
      <c r="O23" s="65"/>
      <c r="P23" s="65"/>
    </row>
    <row r="24" spans="1:16" x14ac:dyDescent="0.25">
      <c r="A24" s="65"/>
      <c r="C24" s="214" t="s">
        <v>134</v>
      </c>
      <c r="D24" s="215">
        <v>2031.03</v>
      </c>
      <c r="E24" s="213"/>
      <c r="F24" s="213"/>
      <c r="G24" s="213"/>
      <c r="H24" s="209" t="s">
        <v>135</v>
      </c>
      <c r="I24" s="215">
        <v>2243.46</v>
      </c>
      <c r="J24" s="213"/>
      <c r="M24" s="65"/>
      <c r="N24" s="65"/>
      <c r="O24" s="65"/>
      <c r="P24" s="65"/>
    </row>
    <row r="25" spans="1:16" ht="16.5" thickBot="1" x14ac:dyDescent="0.3">
      <c r="A25" s="65"/>
      <c r="C25" s="216" t="s">
        <v>136</v>
      </c>
      <c r="D25" s="217">
        <v>4871.43</v>
      </c>
      <c r="E25" s="213"/>
      <c r="F25" s="213"/>
      <c r="G25" s="213"/>
      <c r="H25" s="212" t="s">
        <v>137</v>
      </c>
      <c r="I25" s="210">
        <v>3415.75</v>
      </c>
      <c r="J25" s="213"/>
      <c r="M25" s="65"/>
      <c r="N25" s="65"/>
      <c r="O25" s="65"/>
      <c r="P25" s="65"/>
    </row>
    <row r="26" spans="1:16" ht="16.5" thickTop="1" x14ac:dyDescent="0.25">
      <c r="A26" s="65"/>
      <c r="C26" s="215"/>
      <c r="D26" s="215"/>
      <c r="E26" s="213"/>
      <c r="F26" s="213"/>
      <c r="G26" s="213"/>
      <c r="J26" s="213"/>
      <c r="M26" s="65"/>
      <c r="N26" s="65"/>
      <c r="O26" s="65"/>
      <c r="P26" s="65"/>
    </row>
    <row r="27" spans="1:16" x14ac:dyDescent="0.25">
      <c r="A27" s="65"/>
      <c r="C27" s="213"/>
      <c r="D27" s="213"/>
      <c r="E27" s="213"/>
      <c r="F27" s="213"/>
      <c r="G27" s="213"/>
      <c r="H27" s="213"/>
      <c r="I27" s="213"/>
      <c r="J27" s="213"/>
      <c r="M27" s="65"/>
      <c r="N27" s="65"/>
      <c r="O27" s="65"/>
      <c r="P27" s="65"/>
    </row>
    <row r="28" spans="1:16" x14ac:dyDescent="0.25">
      <c r="A28" s="65"/>
      <c r="C28" s="213"/>
      <c r="D28" s="213"/>
      <c r="E28" s="213"/>
      <c r="F28" s="213"/>
      <c r="G28" s="213"/>
      <c r="H28" s="213"/>
      <c r="I28" s="213"/>
      <c r="J28" s="213"/>
      <c r="M28" s="65"/>
      <c r="N28" s="65"/>
      <c r="O28" s="65"/>
      <c r="P28" s="65"/>
    </row>
    <row r="29" spans="1:16" x14ac:dyDescent="0.25">
      <c r="A29" s="65"/>
      <c r="C29" s="453" t="s">
        <v>138</v>
      </c>
      <c r="D29" s="453"/>
      <c r="E29" s="213"/>
      <c r="F29" s="213"/>
      <c r="G29" s="213"/>
      <c r="H29" s="213"/>
      <c r="I29" s="213"/>
      <c r="J29" s="213"/>
      <c r="M29" s="65"/>
      <c r="N29" s="65"/>
      <c r="O29" s="65"/>
      <c r="P29" s="65"/>
    </row>
    <row r="30" spans="1:16" x14ac:dyDescent="0.25">
      <c r="A30" s="65"/>
      <c r="C30" s="214" t="s">
        <v>139</v>
      </c>
      <c r="D30" s="215">
        <v>2801.89</v>
      </c>
      <c r="E30" s="213"/>
      <c r="F30" s="213"/>
      <c r="G30" s="213"/>
      <c r="H30" s="453" t="s">
        <v>140</v>
      </c>
      <c r="I30" s="453"/>
      <c r="J30" s="213"/>
      <c r="M30" s="65"/>
      <c r="N30" s="65"/>
      <c r="O30" s="65"/>
      <c r="P30" s="65"/>
    </row>
    <row r="31" spans="1:16" x14ac:dyDescent="0.25">
      <c r="A31" s="65"/>
      <c r="C31" s="214" t="s">
        <v>141</v>
      </c>
      <c r="D31" s="215">
        <v>825.6</v>
      </c>
      <c r="E31" s="213"/>
      <c r="F31" s="213"/>
      <c r="G31" s="213"/>
      <c r="H31" s="214" t="s">
        <v>142</v>
      </c>
      <c r="I31" s="215">
        <v>444.56</v>
      </c>
      <c r="J31" s="213"/>
      <c r="M31" s="65"/>
      <c r="N31" s="65"/>
      <c r="O31" s="65"/>
      <c r="P31" s="65"/>
    </row>
    <row r="32" spans="1:16" x14ac:dyDescent="0.25">
      <c r="A32" s="65"/>
      <c r="C32" s="214" t="s">
        <v>143</v>
      </c>
      <c r="D32" s="215">
        <v>12297.66</v>
      </c>
      <c r="E32" s="213"/>
      <c r="F32" s="213"/>
      <c r="G32" s="213"/>
      <c r="H32" s="214" t="s">
        <v>144</v>
      </c>
      <c r="I32" s="215">
        <v>6250</v>
      </c>
      <c r="J32" s="213"/>
      <c r="M32" s="65"/>
      <c r="N32" s="65"/>
      <c r="O32" s="65"/>
      <c r="P32" s="65"/>
    </row>
    <row r="33" spans="1:16" x14ac:dyDescent="0.25">
      <c r="A33" s="65"/>
      <c r="C33" s="214" t="s">
        <v>145</v>
      </c>
      <c r="D33" s="215">
        <v>538.88</v>
      </c>
      <c r="E33" s="213"/>
      <c r="F33" s="213"/>
      <c r="G33" s="213"/>
      <c r="H33" s="214" t="s">
        <v>146</v>
      </c>
      <c r="I33" s="215">
        <v>600</v>
      </c>
      <c r="J33" s="213"/>
      <c r="M33" s="65"/>
      <c r="N33" s="65"/>
      <c r="O33" s="65"/>
      <c r="P33" s="65"/>
    </row>
    <row r="34" spans="1:16" ht="16.5" thickBot="1" x14ac:dyDescent="0.3">
      <c r="A34" s="65"/>
      <c r="C34" s="216" t="s">
        <v>147</v>
      </c>
      <c r="D34" s="217">
        <v>16464.03</v>
      </c>
      <c r="E34" s="213"/>
      <c r="F34" s="213"/>
      <c r="G34" s="213"/>
      <c r="H34" s="214" t="s">
        <v>148</v>
      </c>
      <c r="I34" s="215">
        <v>2838.55</v>
      </c>
      <c r="J34" s="213"/>
      <c r="M34" s="65"/>
      <c r="N34" s="65"/>
      <c r="O34" s="65"/>
      <c r="P34" s="65"/>
    </row>
    <row r="35" spans="1:16" ht="17.25" thickTop="1" thickBot="1" x14ac:dyDescent="0.3">
      <c r="A35" s="65"/>
      <c r="C35" s="215"/>
      <c r="D35" s="215"/>
      <c r="E35" s="213"/>
      <c r="F35" s="213"/>
      <c r="G35" s="213"/>
      <c r="H35" s="216" t="s">
        <v>79</v>
      </c>
      <c r="I35" s="217">
        <v>10133.11</v>
      </c>
      <c r="J35" s="213"/>
      <c r="M35" s="65"/>
      <c r="N35" s="65"/>
      <c r="O35" s="65"/>
      <c r="P35" s="65"/>
    </row>
    <row r="36" spans="1:16" ht="16.5" thickTop="1" x14ac:dyDescent="0.25">
      <c r="A36" s="65"/>
      <c r="C36" s="211"/>
      <c r="D36" s="211"/>
      <c r="M36" s="65"/>
      <c r="N36" s="65"/>
      <c r="O36" s="65"/>
      <c r="P36" s="65"/>
    </row>
    <row r="37" spans="1:16" x14ac:dyDescent="0.25">
      <c r="A37" s="65"/>
      <c r="C37" s="211"/>
      <c r="D37" s="211"/>
      <c r="M37" s="65"/>
      <c r="N37" s="65"/>
      <c r="O37" s="65"/>
      <c r="P37" s="65"/>
    </row>
    <row r="38" spans="1:16" x14ac:dyDescent="0.25">
      <c r="A38" s="65"/>
      <c r="M38" s="65"/>
      <c r="N38" s="65"/>
      <c r="O38" s="65"/>
      <c r="P38" s="65"/>
    </row>
    <row r="39" spans="1:16" x14ac:dyDescent="0.25">
      <c r="A39" s="65"/>
      <c r="M39" s="65"/>
      <c r="N39" s="65"/>
      <c r="O39" s="65"/>
      <c r="P39" s="65"/>
    </row>
    <row r="40" spans="1:16" x14ac:dyDescent="0.25">
      <c r="A40" s="65"/>
      <c r="M40" s="65"/>
      <c r="N40" s="65"/>
      <c r="O40" s="65"/>
      <c r="P40" s="65"/>
    </row>
    <row r="41" spans="1:16" x14ac:dyDescent="0.25">
      <c r="A41" s="65"/>
      <c r="M41" s="65"/>
      <c r="N41" s="65"/>
      <c r="O41" s="65"/>
      <c r="P41" s="65"/>
    </row>
    <row r="42" spans="1:16" x14ac:dyDescent="0.25">
      <c r="A42" s="65"/>
      <c r="M42" s="65"/>
      <c r="N42" s="65"/>
      <c r="O42" s="65"/>
      <c r="P42" s="65"/>
    </row>
    <row r="43" spans="1:16" x14ac:dyDescent="0.25">
      <c r="A43" s="65"/>
      <c r="M43" s="65"/>
      <c r="N43" s="65"/>
      <c r="O43" s="65"/>
      <c r="P43" s="65"/>
    </row>
    <row r="44" spans="1:16" x14ac:dyDescent="0.25">
      <c r="A44" s="65"/>
      <c r="M44" s="65"/>
      <c r="N44" s="65"/>
      <c r="O44" s="65"/>
      <c r="P44" s="65"/>
    </row>
    <row r="45" spans="1:16" x14ac:dyDescent="0.25">
      <c r="A45" s="65"/>
      <c r="M45" s="65"/>
      <c r="N45" s="65"/>
      <c r="O45" s="65"/>
      <c r="P45" s="65"/>
    </row>
    <row r="46" spans="1:16" x14ac:dyDescent="0.25">
      <c r="A46" s="65"/>
      <c r="M46" s="65"/>
      <c r="N46" s="65"/>
      <c r="O46" s="65"/>
      <c r="P46" s="65"/>
    </row>
    <row r="47" spans="1:16" x14ac:dyDescent="0.25">
      <c r="A47" s="65"/>
      <c r="M47" s="65"/>
      <c r="N47" s="65"/>
      <c r="O47" s="65"/>
      <c r="P47" s="65"/>
    </row>
    <row r="48" spans="1:16" x14ac:dyDescent="0.25">
      <c r="A48" s="65"/>
      <c r="M48" s="65"/>
      <c r="N48" s="65"/>
      <c r="O48" s="65"/>
      <c r="P48" s="65"/>
    </row>
    <row r="49" spans="1:16" x14ac:dyDescent="0.25">
      <c r="A49" s="65"/>
      <c r="M49" s="65"/>
      <c r="N49" s="65"/>
      <c r="O49" s="65"/>
      <c r="P49" s="65"/>
    </row>
    <row r="50" spans="1:16" x14ac:dyDescent="0.25">
      <c r="A50" s="65"/>
      <c r="M50" s="65"/>
      <c r="N50" s="65"/>
      <c r="O50" s="65"/>
      <c r="P50" s="65"/>
    </row>
    <row r="51" spans="1:16" x14ac:dyDescent="0.25">
      <c r="A51" s="65"/>
      <c r="M51" s="65"/>
      <c r="N51" s="65"/>
      <c r="O51" s="65"/>
      <c r="P51" s="65"/>
    </row>
    <row r="52" spans="1:16" x14ac:dyDescent="0.25">
      <c r="A52" s="65"/>
      <c r="M52" s="65"/>
      <c r="N52" s="65"/>
      <c r="O52" s="65"/>
      <c r="P52" s="65"/>
    </row>
    <row r="53" spans="1:16" x14ac:dyDescent="0.25">
      <c r="A53" s="65"/>
      <c r="M53" s="65"/>
      <c r="N53" s="65"/>
      <c r="O53" s="65"/>
      <c r="P53" s="65"/>
    </row>
    <row r="54" spans="1:16" x14ac:dyDescent="0.25">
      <c r="A54" s="65"/>
      <c r="M54" s="65"/>
      <c r="N54" s="65"/>
      <c r="O54" s="65"/>
      <c r="P54" s="65"/>
    </row>
    <row r="55" spans="1:16" x14ac:dyDescent="0.25">
      <c r="A55" s="65"/>
      <c r="C55" s="211"/>
      <c r="D55" s="211"/>
      <c r="M55" s="65"/>
      <c r="N55" s="65"/>
      <c r="O55" s="65"/>
      <c r="P55" s="65"/>
    </row>
    <row r="56" spans="1:16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</row>
    <row r="57" spans="1:16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</row>
    <row r="58" spans="1:16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</row>
    <row r="60" spans="1:16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</row>
    <row r="63" spans="1:16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</row>
    <row r="65" spans="1:16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</row>
    <row r="66" spans="1:16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</row>
  </sheetData>
  <mergeCells count="8">
    <mergeCell ref="D6:I6"/>
    <mergeCell ref="D7:I7"/>
    <mergeCell ref="C11:D11"/>
    <mergeCell ref="H30:I30"/>
    <mergeCell ref="C29:D29"/>
    <mergeCell ref="H11:I11"/>
    <mergeCell ref="H22:I22"/>
    <mergeCell ref="C20:D20"/>
  </mergeCells>
  <pageMargins left="0.7" right="0.7" top="0.75" bottom="0.75" header="0.3" footer="0.3"/>
  <pageSetup scale="87" orientation="portrait" r:id="rId1"/>
  <headerFooter>
    <oddFooter>&amp;L&amp;8&amp;T  &amp;D&amp;R&amp;8&amp;F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W79"/>
  <sheetViews>
    <sheetView showGridLines="0" zoomScale="75" workbookViewId="0"/>
  </sheetViews>
  <sheetFormatPr defaultColWidth="9" defaultRowHeight="15.75" customHeight="1" x14ac:dyDescent="0.25"/>
  <cols>
    <col min="1" max="1" width="5.625" style="67" customWidth="1"/>
    <col min="2" max="2" width="4.125" style="67" customWidth="1"/>
    <col min="3" max="3" width="2" style="67" customWidth="1"/>
    <col min="4" max="4" width="24.25" style="67" customWidth="1"/>
    <col min="5" max="5" width="16.125" style="67" customWidth="1"/>
    <col min="6" max="6" width="14.125" style="67" customWidth="1"/>
    <col min="7" max="7" width="13.25" style="67" customWidth="1"/>
    <col min="8" max="8" width="14.5" style="67" customWidth="1"/>
    <col min="9" max="9" width="14.375" style="67" customWidth="1"/>
    <col min="10" max="10" width="16.125" style="67" customWidth="1"/>
    <col min="11" max="11" width="12.125" style="67" customWidth="1"/>
    <col min="12" max="12" width="13.625" style="67" customWidth="1"/>
    <col min="13" max="13" width="11.5" style="67" bestFit="1" customWidth="1"/>
    <col min="14" max="14" width="11.875" style="67" bestFit="1" customWidth="1"/>
    <col min="15" max="15" width="13" style="67" customWidth="1"/>
    <col min="16" max="17" width="12.5" style="67" customWidth="1"/>
    <col min="18" max="18" width="17.75" style="67" customWidth="1"/>
    <col min="19" max="19" width="13.625" style="67" customWidth="1"/>
    <col min="20" max="21" width="12" style="67" customWidth="1"/>
    <col min="22" max="16384" width="9" style="67"/>
  </cols>
  <sheetData>
    <row r="1" spans="1:20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x14ac:dyDescent="0.25">
      <c r="A2" s="65"/>
      <c r="B2" s="68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x14ac:dyDescent="0.25">
      <c r="A3" s="65"/>
      <c r="B3" s="219" t="str">
        <f>+cover!B8</f>
        <v>Summit View Water Works LLC</v>
      </c>
      <c r="C3" s="60"/>
      <c r="D3" s="60"/>
      <c r="E3" s="60"/>
      <c r="K3" s="69"/>
      <c r="R3" s="65"/>
      <c r="S3" s="65"/>
      <c r="T3" s="65"/>
    </row>
    <row r="4" spans="1:20" x14ac:dyDescent="0.25">
      <c r="A4" s="65"/>
      <c r="B4" s="219" t="str">
        <f>+cover!B12</f>
        <v>Test Year Ended December 31, 2023</v>
      </c>
      <c r="C4" s="60"/>
      <c r="D4" s="60"/>
      <c r="E4" s="60"/>
      <c r="O4" s="121"/>
      <c r="R4" s="65"/>
      <c r="S4" s="65"/>
      <c r="T4" s="65"/>
    </row>
    <row r="5" spans="1:20" ht="20.25" x14ac:dyDescent="0.3">
      <c r="A5" s="65"/>
      <c r="B5" s="70" t="s">
        <v>6</v>
      </c>
      <c r="G5" s="188" t="s">
        <v>149</v>
      </c>
      <c r="I5" s="71"/>
      <c r="R5" s="65"/>
      <c r="S5" s="65"/>
      <c r="T5" s="65"/>
    </row>
    <row r="6" spans="1:20" ht="19.5" customHeight="1" x14ac:dyDescent="0.25">
      <c r="A6" s="65"/>
      <c r="B6" s="45" t="s">
        <v>150</v>
      </c>
      <c r="D6" s="72"/>
      <c r="F6" s="60"/>
      <c r="H6" s="74"/>
      <c r="R6" s="65"/>
      <c r="S6" s="65"/>
      <c r="T6" s="65"/>
    </row>
    <row r="7" spans="1:20" x14ac:dyDescent="0.25">
      <c r="A7" s="65"/>
      <c r="R7" s="65"/>
      <c r="S7" s="65"/>
      <c r="T7" s="65"/>
    </row>
    <row r="8" spans="1:20" x14ac:dyDescent="0.25">
      <c r="A8" s="65"/>
      <c r="B8" s="67" t="s">
        <v>18</v>
      </c>
      <c r="D8" s="71"/>
      <c r="R8" s="65"/>
      <c r="S8" s="65"/>
      <c r="T8" s="65"/>
    </row>
    <row r="9" spans="1:20" x14ac:dyDescent="0.25">
      <c r="A9" s="65"/>
      <c r="B9" s="75" t="s">
        <v>19</v>
      </c>
      <c r="C9" s="75"/>
      <c r="F9" s="79" t="s">
        <v>151</v>
      </c>
      <c r="G9" s="79" t="s">
        <v>152</v>
      </c>
      <c r="H9" s="79" t="s">
        <v>153</v>
      </c>
      <c r="I9" s="79" t="s">
        <v>154</v>
      </c>
      <c r="J9" s="79" t="s">
        <v>155</v>
      </c>
      <c r="K9" s="79" t="s">
        <v>156</v>
      </c>
      <c r="L9" s="79" t="s">
        <v>157</v>
      </c>
      <c r="M9" s="79" t="s">
        <v>158</v>
      </c>
      <c r="N9" s="79" t="s">
        <v>159</v>
      </c>
      <c r="O9" s="79" t="s">
        <v>160</v>
      </c>
      <c r="P9" s="79" t="s">
        <v>161</v>
      </c>
      <c r="Q9" s="79" t="s">
        <v>162</v>
      </c>
      <c r="R9" s="65"/>
      <c r="S9" s="65"/>
      <c r="T9" s="65"/>
    </row>
    <row r="10" spans="1:20" x14ac:dyDescent="0.25">
      <c r="A10" s="65"/>
      <c r="B10" s="77">
        <v>1</v>
      </c>
      <c r="C10" s="78"/>
      <c r="D10" s="266"/>
      <c r="E10" s="266"/>
      <c r="F10" s="79" t="s">
        <v>22</v>
      </c>
      <c r="G10" s="76" t="s">
        <v>163</v>
      </c>
      <c r="H10" s="76" t="s">
        <v>164</v>
      </c>
      <c r="I10" s="76" t="s">
        <v>165</v>
      </c>
      <c r="J10" s="76" t="s">
        <v>166</v>
      </c>
      <c r="K10" s="76" t="s">
        <v>167</v>
      </c>
      <c r="L10" s="35" t="s">
        <v>168</v>
      </c>
      <c r="M10" s="76" t="s">
        <v>169</v>
      </c>
      <c r="N10" s="76" t="s">
        <v>170</v>
      </c>
      <c r="O10" s="399" t="s">
        <v>171</v>
      </c>
      <c r="P10" s="76"/>
      <c r="R10" s="65"/>
      <c r="S10" s="65"/>
      <c r="T10" s="65"/>
    </row>
    <row r="11" spans="1:20" x14ac:dyDescent="0.25">
      <c r="A11" s="65"/>
      <c r="B11" s="77">
        <f t="shared" ref="B11:B40" si="0">+B10+1</f>
        <v>2</v>
      </c>
      <c r="C11" s="78"/>
      <c r="D11" s="266"/>
      <c r="F11" s="99" t="s">
        <v>27</v>
      </c>
      <c r="G11" s="223" t="s">
        <v>172</v>
      </c>
      <c r="H11" s="318" t="s">
        <v>165</v>
      </c>
      <c r="I11" s="400" t="s">
        <v>173</v>
      </c>
      <c r="J11" s="318" t="s">
        <v>174</v>
      </c>
      <c r="K11" s="223" t="s">
        <v>175</v>
      </c>
      <c r="L11" s="417" t="s">
        <v>176</v>
      </c>
      <c r="M11" s="223" t="s">
        <v>177</v>
      </c>
      <c r="N11" s="318" t="s">
        <v>173</v>
      </c>
      <c r="O11" s="400" t="s">
        <v>178</v>
      </c>
      <c r="P11" s="318"/>
      <c r="Q11" s="139"/>
      <c r="R11" s="65"/>
      <c r="S11" s="65"/>
      <c r="T11" s="65"/>
    </row>
    <row r="12" spans="1:20" x14ac:dyDescent="0.25">
      <c r="A12" s="65"/>
      <c r="B12" s="77">
        <f t="shared" si="0"/>
        <v>3</v>
      </c>
      <c r="C12" s="78"/>
      <c r="D12" s="64" t="s">
        <v>30</v>
      </c>
      <c r="E12" s="114" t="s">
        <v>31</v>
      </c>
      <c r="F12" s="113"/>
      <c r="G12" s="134"/>
      <c r="H12" s="398"/>
      <c r="I12" s="409"/>
      <c r="J12" s="134"/>
      <c r="K12" s="134"/>
      <c r="L12" s="134"/>
      <c r="M12" s="134"/>
      <c r="N12" s="134"/>
      <c r="R12" s="65"/>
      <c r="S12" s="65"/>
      <c r="T12" s="65"/>
    </row>
    <row r="13" spans="1:20" ht="25.5" customHeight="1" x14ac:dyDescent="0.25">
      <c r="A13" s="65"/>
      <c r="B13" s="77">
        <f t="shared" si="0"/>
        <v>4</v>
      </c>
      <c r="C13" s="78"/>
      <c r="D13" s="266"/>
      <c r="E13" s="283"/>
      <c r="F13" s="259">
        <f>+SUM(G13:O13)</f>
        <v>0</v>
      </c>
      <c r="G13" s="135"/>
      <c r="H13" s="398"/>
      <c r="I13" s="409"/>
      <c r="J13" s="135"/>
      <c r="K13" s="284"/>
      <c r="L13" s="135"/>
      <c r="M13" s="284"/>
      <c r="N13" s="135"/>
      <c r="R13" s="65"/>
      <c r="S13" s="65"/>
      <c r="T13" s="65"/>
    </row>
    <row r="14" spans="1:20" x14ac:dyDescent="0.25">
      <c r="A14" s="65"/>
      <c r="B14" s="77">
        <f t="shared" si="0"/>
        <v>5</v>
      </c>
      <c r="C14" s="78"/>
      <c r="D14" s="266" t="s">
        <v>40</v>
      </c>
      <c r="E14" s="285"/>
      <c r="F14" s="259">
        <f>+SUM(G14:O14)</f>
        <v>-929</v>
      </c>
      <c r="G14" s="135"/>
      <c r="H14" s="398"/>
      <c r="I14" s="409"/>
      <c r="J14" s="135"/>
      <c r="K14" s="284"/>
      <c r="L14" s="135">
        <f>480758+3422-'1.0 Inc. Stmt. RB '!F14</f>
        <v>-929</v>
      </c>
      <c r="M14" s="284"/>
      <c r="N14" s="135"/>
      <c r="R14" s="65"/>
      <c r="S14" s="65"/>
      <c r="T14" s="65"/>
    </row>
    <row r="15" spans="1:20" x14ac:dyDescent="0.25">
      <c r="A15" s="65"/>
      <c r="B15" s="77">
        <f t="shared" si="0"/>
        <v>6</v>
      </c>
      <c r="C15" s="78"/>
      <c r="D15" s="266" t="s">
        <v>42</v>
      </c>
      <c r="E15" s="285"/>
      <c r="F15" s="259">
        <f>+SUM(G15:O15)</f>
        <v>-6189</v>
      </c>
      <c r="G15" s="135"/>
      <c r="H15" s="398"/>
      <c r="I15" s="409"/>
      <c r="J15" s="135"/>
      <c r="K15" s="284"/>
      <c r="L15" s="135">
        <f>468188-'1.0 Inc. Stmt. RB '!F15</f>
        <v>-6189</v>
      </c>
      <c r="M15" s="284"/>
      <c r="N15" s="135"/>
      <c r="R15" s="65"/>
      <c r="S15" s="65"/>
      <c r="T15" s="65"/>
    </row>
    <row r="16" spans="1:20" x14ac:dyDescent="0.25">
      <c r="A16" s="65"/>
      <c r="B16" s="77">
        <f t="shared" si="0"/>
        <v>7</v>
      </c>
      <c r="C16" s="78"/>
      <c r="D16" t="s">
        <v>44</v>
      </c>
      <c r="E16" s="285"/>
      <c r="F16" s="259">
        <f>+SUM(G16:O16)</f>
        <v>-732</v>
      </c>
      <c r="G16" s="135">
        <v>-732</v>
      </c>
      <c r="H16" s="398"/>
      <c r="I16" s="409"/>
      <c r="J16" s="135"/>
      <c r="K16" s="284"/>
      <c r="L16" s="135"/>
      <c r="M16" s="284"/>
      <c r="N16" s="135"/>
      <c r="R16" s="65"/>
      <c r="S16" s="65"/>
      <c r="T16" s="65"/>
    </row>
    <row r="17" spans="1:23" s="48" customFormat="1" x14ac:dyDescent="0.25">
      <c r="A17" s="65"/>
      <c r="B17" s="77">
        <f t="shared" si="0"/>
        <v>8</v>
      </c>
      <c r="C17" s="78"/>
      <c r="D17" s="67"/>
      <c r="E17" s="286" t="s">
        <v>179</v>
      </c>
      <c r="F17" s="287">
        <f>SUM(F14:F16)</f>
        <v>-7850</v>
      </c>
      <c r="G17" s="288">
        <f t="shared" ref="G17:K17" si="1">SUM(G12:G16)</f>
        <v>-732</v>
      </c>
      <c r="H17" s="401">
        <f>SUM(H12:H16)</f>
        <v>0</v>
      </c>
      <c r="I17" s="410">
        <f>SUM(I12:I16)</f>
        <v>0</v>
      </c>
      <c r="J17" s="288">
        <f t="shared" si="1"/>
        <v>0</v>
      </c>
      <c r="K17" s="288">
        <f t="shared" si="1"/>
        <v>0</v>
      </c>
      <c r="L17" s="288">
        <f>SUM(L12:L16)</f>
        <v>-7118</v>
      </c>
      <c r="M17" s="288"/>
      <c r="N17" s="288">
        <f>SUM(N12:N16)</f>
        <v>0</v>
      </c>
      <c r="O17" s="289"/>
      <c r="P17" s="289"/>
      <c r="Q17" s="289">
        <f>SUM(Q12:Q16)</f>
        <v>0</v>
      </c>
      <c r="R17" s="65"/>
      <c r="S17" s="65"/>
      <c r="T17" s="65"/>
      <c r="U17" s="67"/>
      <c r="V17" s="67"/>
      <c r="W17" s="67"/>
    </row>
    <row r="18" spans="1:23" ht="21" customHeight="1" x14ac:dyDescent="0.25">
      <c r="A18" s="65"/>
      <c r="B18" s="77">
        <f t="shared" si="0"/>
        <v>9</v>
      </c>
      <c r="C18" s="78"/>
      <c r="E18" s="64"/>
      <c r="F18" s="259"/>
      <c r="G18" s="135"/>
      <c r="H18" s="398"/>
      <c r="I18" s="409"/>
      <c r="J18" s="135"/>
      <c r="K18" s="135"/>
      <c r="L18" s="135"/>
      <c r="M18" s="135"/>
      <c r="N18" s="135"/>
      <c r="R18" s="65"/>
      <c r="S18" s="65"/>
      <c r="T18" s="65"/>
    </row>
    <row r="19" spans="1:23" x14ac:dyDescent="0.25">
      <c r="A19" s="81"/>
      <c r="B19" s="77">
        <f t="shared" si="0"/>
        <v>10</v>
      </c>
      <c r="C19" s="78"/>
      <c r="D19" s="64" t="s">
        <v>47</v>
      </c>
      <c r="F19" s="290"/>
      <c r="G19" s="135"/>
      <c r="H19" s="3"/>
      <c r="I19" s="411"/>
      <c r="J19" s="291"/>
      <c r="K19" s="291"/>
      <c r="L19" s="291"/>
      <c r="M19" s="291"/>
      <c r="N19" s="291"/>
      <c r="O19" s="278"/>
      <c r="P19" s="278"/>
      <c r="Q19" s="278"/>
      <c r="R19" s="65"/>
      <c r="S19" s="65"/>
      <c r="T19" s="65"/>
    </row>
    <row r="20" spans="1:23" x14ac:dyDescent="0.25">
      <c r="A20" s="81"/>
      <c r="B20" s="77">
        <f t="shared" si="0"/>
        <v>11</v>
      </c>
      <c r="C20" s="78"/>
      <c r="D20" s="266"/>
      <c r="E20" s="285"/>
      <c r="F20" s="259"/>
      <c r="G20" s="135"/>
      <c r="H20" s="3"/>
      <c r="I20" s="411"/>
      <c r="J20" s="291"/>
      <c r="K20" s="291"/>
      <c r="L20" s="291"/>
      <c r="M20" s="291"/>
      <c r="N20" s="291"/>
      <c r="O20" s="278"/>
      <c r="P20" s="278"/>
      <c r="Q20" s="278"/>
      <c r="R20" s="65"/>
      <c r="S20" s="65"/>
      <c r="T20" s="65"/>
    </row>
    <row r="21" spans="1:23" x14ac:dyDescent="0.25">
      <c r="A21" s="65"/>
      <c r="B21" s="77">
        <f t="shared" si="0"/>
        <v>12</v>
      </c>
      <c r="C21" s="78"/>
      <c r="D21" s="266" t="s">
        <v>48</v>
      </c>
      <c r="E21" s="285"/>
      <c r="F21" s="259">
        <f>+SUM(G21:Q21)</f>
        <v>-34916.17</v>
      </c>
      <c r="G21" s="135"/>
      <c r="H21" s="3">
        <v>-34916.17</v>
      </c>
      <c r="I21" s="411"/>
      <c r="J21" s="291"/>
      <c r="K21" s="291"/>
      <c r="L21" s="291"/>
      <c r="M21" s="291"/>
      <c r="N21" s="291"/>
      <c r="O21" s="278"/>
      <c r="P21" s="278"/>
      <c r="Q21" s="278"/>
      <c r="R21" s="65"/>
      <c r="S21" s="65"/>
      <c r="T21" s="65"/>
      <c r="V21" s="418" t="s">
        <v>152</v>
      </c>
      <c r="W21" s="418" t="s">
        <v>180</v>
      </c>
    </row>
    <row r="22" spans="1:23" x14ac:dyDescent="0.25">
      <c r="A22" s="65"/>
      <c r="B22" s="77">
        <f t="shared" si="0"/>
        <v>13</v>
      </c>
      <c r="C22" s="78"/>
      <c r="D22" s="266" t="s">
        <v>49</v>
      </c>
      <c r="E22" s="285"/>
      <c r="F22" s="259">
        <f t="shared" ref="F22:F51" si="2">+SUM(G22:Q22)</f>
        <v>23331</v>
      </c>
      <c r="G22" s="135"/>
      <c r="H22" s="3"/>
      <c r="I22" s="411">
        <v>23331</v>
      </c>
      <c r="J22" s="291"/>
      <c r="K22" s="291"/>
      <c r="L22" s="291"/>
      <c r="M22" s="291"/>
      <c r="N22" s="291"/>
      <c r="O22" s="278"/>
      <c r="P22" s="278"/>
      <c r="Q22" s="278"/>
      <c r="R22" s="65"/>
      <c r="S22" s="65"/>
      <c r="T22" s="65"/>
      <c r="V22" s="455"/>
      <c r="W22" s="455"/>
    </row>
    <row r="23" spans="1:23" x14ac:dyDescent="0.25">
      <c r="A23" s="65"/>
      <c r="B23" s="77">
        <f t="shared" si="0"/>
        <v>14</v>
      </c>
      <c r="C23" s="78"/>
      <c r="D23" s="266" t="s">
        <v>50</v>
      </c>
      <c r="E23" s="285"/>
      <c r="F23" s="259">
        <f t="shared" si="2"/>
        <v>0</v>
      </c>
      <c r="G23" s="135"/>
      <c r="H23" s="3"/>
      <c r="I23" s="411"/>
      <c r="J23" s="291"/>
      <c r="K23" s="291"/>
      <c r="L23" s="291"/>
      <c r="M23" s="291"/>
      <c r="N23" s="291"/>
      <c r="O23" s="278"/>
      <c r="P23" s="278"/>
      <c r="Q23" s="278"/>
      <c r="R23" s="65"/>
      <c r="S23" s="65"/>
      <c r="T23" s="65"/>
      <c r="V23" s="455"/>
      <c r="W23" s="455"/>
    </row>
    <row r="24" spans="1:23" x14ac:dyDescent="0.25">
      <c r="A24" s="65"/>
      <c r="B24" s="77">
        <f t="shared" si="0"/>
        <v>15</v>
      </c>
      <c r="C24" s="78"/>
      <c r="D24" s="266" t="s">
        <v>51</v>
      </c>
      <c r="E24" s="285"/>
      <c r="F24" s="259">
        <f t="shared" si="2"/>
        <v>0</v>
      </c>
      <c r="G24" s="135"/>
      <c r="H24" s="3"/>
      <c r="I24" s="411"/>
      <c r="J24" s="291"/>
      <c r="K24" s="291"/>
      <c r="L24" s="291"/>
      <c r="M24" s="291"/>
      <c r="N24" s="291"/>
      <c r="O24" s="278"/>
      <c r="P24" s="278"/>
      <c r="Q24" s="278"/>
      <c r="R24" s="65"/>
      <c r="S24" s="65"/>
      <c r="T24" s="65"/>
      <c r="V24" s="418" t="s">
        <v>155</v>
      </c>
      <c r="W24" s="418" t="s">
        <v>181</v>
      </c>
    </row>
    <row r="25" spans="1:23" s="381" customFormat="1" x14ac:dyDescent="0.25">
      <c r="A25" s="375"/>
      <c r="B25" s="376">
        <f t="shared" si="0"/>
        <v>16</v>
      </c>
      <c r="C25" s="377"/>
      <c r="D25" s="378" t="s">
        <v>182</v>
      </c>
      <c r="E25" s="379"/>
      <c r="F25" s="383">
        <f t="shared" si="2"/>
        <v>1414.2911941999992</v>
      </c>
      <c r="G25" s="380"/>
      <c r="H25" s="382"/>
      <c r="I25" s="412"/>
      <c r="J25" s="383"/>
      <c r="K25" s="383">
        <f>+'1.0 Inc. Stmt. RB '!G25</f>
        <v>1414.2911941999992</v>
      </c>
      <c r="L25" s="383"/>
      <c r="M25" s="383"/>
      <c r="N25" s="383"/>
      <c r="O25" s="382"/>
      <c r="P25" s="382"/>
      <c r="Q25" s="382"/>
      <c r="R25" s="375"/>
      <c r="S25" s="375"/>
      <c r="T25" s="375"/>
      <c r="V25" s="418" t="s">
        <v>156</v>
      </c>
      <c r="W25" s="418" t="s">
        <v>183</v>
      </c>
    </row>
    <row r="26" spans="1:23" x14ac:dyDescent="0.25">
      <c r="A26" s="65"/>
      <c r="B26" s="77">
        <f t="shared" si="0"/>
        <v>17</v>
      </c>
      <c r="C26" s="78"/>
      <c r="D26" t="s">
        <v>53</v>
      </c>
      <c r="E26" s="285"/>
      <c r="F26" s="259">
        <f t="shared" si="2"/>
        <v>0</v>
      </c>
      <c r="G26" s="135"/>
      <c r="H26" s="3"/>
      <c r="I26" s="411"/>
      <c r="J26" s="291"/>
      <c r="K26" s="291"/>
      <c r="L26" s="291"/>
      <c r="M26" s="291"/>
      <c r="N26" s="291"/>
      <c r="O26" s="278"/>
      <c r="P26" s="278"/>
      <c r="Q26" s="278"/>
      <c r="R26" s="65"/>
      <c r="S26" s="65"/>
      <c r="T26" s="65"/>
      <c r="V26" s="418" t="s">
        <v>157</v>
      </c>
      <c r="W26" s="418" t="s">
        <v>184</v>
      </c>
    </row>
    <row r="27" spans="1:23" x14ac:dyDescent="0.25">
      <c r="A27" s="65"/>
      <c r="B27" s="77">
        <f t="shared" si="0"/>
        <v>18</v>
      </c>
      <c r="C27" s="78"/>
      <c r="D27" t="s">
        <v>185</v>
      </c>
      <c r="E27" s="285"/>
      <c r="F27" s="259">
        <f t="shared" si="2"/>
        <v>0</v>
      </c>
      <c r="G27" s="135"/>
      <c r="H27" s="3"/>
      <c r="I27" s="411"/>
      <c r="J27" s="291"/>
      <c r="K27" s="291"/>
      <c r="L27" s="291"/>
      <c r="M27" s="291"/>
      <c r="N27" s="291"/>
      <c r="O27" s="278"/>
      <c r="P27" s="278"/>
      <c r="Q27" s="278"/>
      <c r="R27" s="65"/>
      <c r="S27" s="65"/>
      <c r="T27" s="65"/>
      <c r="V27" s="418" t="s">
        <v>158</v>
      </c>
      <c r="W27" s="418" t="s">
        <v>186</v>
      </c>
    </row>
    <row r="28" spans="1:23" x14ac:dyDescent="0.25">
      <c r="A28" s="65"/>
      <c r="B28" s="77">
        <f t="shared" si="0"/>
        <v>19</v>
      </c>
      <c r="C28" s="78"/>
      <c r="D28" s="266" t="s">
        <v>56</v>
      </c>
      <c r="E28" s="285"/>
      <c r="F28" s="259">
        <f t="shared" si="2"/>
        <v>0</v>
      </c>
      <c r="G28" s="135"/>
      <c r="H28" s="3"/>
      <c r="I28" s="411"/>
      <c r="J28" s="291"/>
      <c r="K28" s="291"/>
      <c r="L28" s="291"/>
      <c r="M28" s="291"/>
      <c r="N28" s="291"/>
      <c r="O28" s="278"/>
      <c r="P28" s="278"/>
      <c r="Q28" s="278"/>
      <c r="R28" s="65"/>
      <c r="S28" s="65"/>
      <c r="T28" s="65"/>
    </row>
    <row r="29" spans="1:23" ht="15" customHeight="1" x14ac:dyDescent="0.25">
      <c r="A29" s="65"/>
      <c r="B29" s="77">
        <f t="shared" si="0"/>
        <v>20</v>
      </c>
      <c r="C29" s="78"/>
      <c r="D29" s="266" t="s">
        <v>57</v>
      </c>
      <c r="E29" s="285"/>
      <c r="F29" s="259">
        <f t="shared" si="2"/>
        <v>0</v>
      </c>
      <c r="G29" s="135"/>
      <c r="H29" s="3"/>
      <c r="I29" s="411"/>
      <c r="J29" s="291"/>
      <c r="K29" s="291"/>
      <c r="L29" s="291"/>
      <c r="M29" s="291"/>
      <c r="N29" s="291"/>
      <c r="O29" s="278"/>
      <c r="P29" s="278"/>
      <c r="Q29" s="278"/>
      <c r="R29" s="65"/>
      <c r="S29" s="65"/>
      <c r="T29" s="65"/>
    </row>
    <row r="30" spans="1:23" x14ac:dyDescent="0.25">
      <c r="A30" s="65"/>
      <c r="B30" s="77">
        <f t="shared" si="0"/>
        <v>21</v>
      </c>
      <c r="C30" s="78"/>
      <c r="D30" s="266" t="s">
        <v>58</v>
      </c>
      <c r="E30" s="285"/>
      <c r="F30" s="259">
        <f t="shared" si="2"/>
        <v>0</v>
      </c>
      <c r="G30" s="135"/>
      <c r="H30" s="3"/>
      <c r="I30" s="411"/>
      <c r="J30" s="291"/>
      <c r="K30" s="291"/>
      <c r="L30" s="291"/>
      <c r="M30" s="291"/>
      <c r="N30" s="291"/>
      <c r="O30" s="278"/>
      <c r="P30" s="278"/>
      <c r="Q30" s="278"/>
      <c r="R30" s="65"/>
      <c r="S30" s="65"/>
      <c r="T30" s="65"/>
    </row>
    <row r="31" spans="1:23" x14ac:dyDescent="0.25">
      <c r="A31" s="65"/>
      <c r="B31" s="77">
        <f t="shared" si="0"/>
        <v>22</v>
      </c>
      <c r="C31" s="78"/>
      <c r="D31" s="266" t="s">
        <v>59</v>
      </c>
      <c r="E31" s="285"/>
      <c r="F31" s="259">
        <f t="shared" si="2"/>
        <v>58878.86</v>
      </c>
      <c r="G31" s="135"/>
      <c r="H31" s="3"/>
      <c r="I31" s="411"/>
      <c r="J31" s="291"/>
      <c r="K31" s="291"/>
      <c r="L31" s="291"/>
      <c r="M31" s="291"/>
      <c r="N31" s="291"/>
      <c r="O31" s="278">
        <v>58878.86</v>
      </c>
      <c r="P31" s="278"/>
      <c r="Q31" s="278"/>
      <c r="R31" s="65"/>
      <c r="S31" s="65"/>
      <c r="T31" s="65"/>
    </row>
    <row r="32" spans="1:23" x14ac:dyDescent="0.25">
      <c r="A32" s="65"/>
      <c r="B32" s="77">
        <f t="shared" si="0"/>
        <v>23</v>
      </c>
      <c r="C32" s="78"/>
      <c r="D32" s="266" t="s">
        <v>60</v>
      </c>
      <c r="E32" s="285"/>
      <c r="F32" s="259">
        <f t="shared" si="2"/>
        <v>0</v>
      </c>
      <c r="G32" s="135"/>
      <c r="H32" s="3"/>
      <c r="I32" s="411"/>
      <c r="J32" s="291"/>
      <c r="K32" s="291"/>
      <c r="L32" s="291"/>
      <c r="M32" s="291"/>
      <c r="N32" s="291"/>
      <c r="O32" s="278"/>
      <c r="P32" s="278"/>
      <c r="Q32" s="278"/>
      <c r="R32" s="65"/>
      <c r="S32" s="65"/>
      <c r="T32" s="65"/>
    </row>
    <row r="33" spans="1:21" x14ac:dyDescent="0.25">
      <c r="A33" s="65"/>
      <c r="B33" s="77">
        <f t="shared" si="0"/>
        <v>24</v>
      </c>
      <c r="C33" s="78"/>
      <c r="D33" s="266" t="s">
        <v>61</v>
      </c>
      <c r="E33" s="285"/>
      <c r="F33" s="259">
        <f t="shared" si="2"/>
        <v>0</v>
      </c>
      <c r="G33" s="135"/>
      <c r="H33" s="3"/>
      <c r="I33" s="411"/>
      <c r="J33" s="291"/>
      <c r="K33" s="291"/>
      <c r="L33" s="291"/>
      <c r="M33" s="291"/>
      <c r="N33" s="291"/>
      <c r="O33" s="278"/>
      <c r="P33" s="278"/>
      <c r="Q33" s="278"/>
      <c r="R33" s="65"/>
      <c r="S33" s="65"/>
      <c r="T33" s="65"/>
    </row>
    <row r="34" spans="1:21" x14ac:dyDescent="0.25">
      <c r="A34" s="65"/>
      <c r="B34" s="77">
        <f t="shared" si="0"/>
        <v>25</v>
      </c>
      <c r="C34" s="78"/>
      <c r="D34" s="266" t="s">
        <v>62</v>
      </c>
      <c r="E34" s="285"/>
      <c r="F34" s="259">
        <f t="shared" si="2"/>
        <v>729.97</v>
      </c>
      <c r="G34" s="135"/>
      <c r="H34" s="3"/>
      <c r="I34" s="411"/>
      <c r="J34" s="291"/>
      <c r="K34" s="291"/>
      <c r="L34" s="291"/>
      <c r="M34" s="291"/>
      <c r="N34" s="291">
        <v>729.97</v>
      </c>
      <c r="O34" s="278"/>
      <c r="P34" s="278"/>
      <c r="Q34" s="278"/>
      <c r="R34" s="65"/>
      <c r="S34" s="65"/>
      <c r="T34" s="65"/>
    </row>
    <row r="35" spans="1:21" s="381" customFormat="1" x14ac:dyDescent="0.25">
      <c r="A35" s="375"/>
      <c r="B35" s="376">
        <f t="shared" si="0"/>
        <v>26</v>
      </c>
      <c r="C35" s="377"/>
      <c r="D35" s="378" t="s">
        <v>63</v>
      </c>
      <c r="E35" s="379"/>
      <c r="F35" s="383">
        <f t="shared" si="2"/>
        <v>-31.400000000000091</v>
      </c>
      <c r="G35" s="380"/>
      <c r="H35" s="382"/>
      <c r="I35" s="412"/>
      <c r="J35" s="383">
        <f>+'1.0 Inc. Stmt. RB '!H35-'1.0 Inc. Stmt. RB '!F35</f>
        <v>-31.400000000000091</v>
      </c>
      <c r="K35" s="383"/>
      <c r="L35" s="383"/>
      <c r="M35" s="383"/>
      <c r="N35" s="383"/>
      <c r="O35" s="382"/>
      <c r="P35" s="382"/>
      <c r="Q35" s="382"/>
      <c r="R35" s="375"/>
      <c r="S35" s="375"/>
      <c r="T35" s="375"/>
    </row>
    <row r="36" spans="1:21" x14ac:dyDescent="0.25">
      <c r="A36" s="65"/>
      <c r="B36" s="77">
        <f t="shared" si="0"/>
        <v>27</v>
      </c>
      <c r="C36" s="78"/>
      <c r="D36" s="266" t="s">
        <v>64</v>
      </c>
      <c r="E36" s="285"/>
      <c r="F36" s="259">
        <f t="shared" si="2"/>
        <v>0</v>
      </c>
      <c r="G36" s="135"/>
      <c r="H36" s="3"/>
      <c r="I36" s="411"/>
      <c r="J36" s="291"/>
      <c r="K36" s="291"/>
      <c r="L36" s="291"/>
      <c r="M36" s="291"/>
      <c r="N36" s="291"/>
      <c r="O36" s="278"/>
      <c r="P36" s="278"/>
      <c r="Q36" s="278"/>
      <c r="R36" s="65"/>
      <c r="S36" s="65"/>
      <c r="T36" s="65"/>
    </row>
    <row r="37" spans="1:21" x14ac:dyDescent="0.25">
      <c r="A37" s="65"/>
      <c r="B37" s="77">
        <f t="shared" si="0"/>
        <v>28</v>
      </c>
      <c r="C37" s="78"/>
      <c r="D37" s="266" t="s">
        <v>65</v>
      </c>
      <c r="E37" s="285"/>
      <c r="F37" s="259">
        <f t="shared" si="2"/>
        <v>0</v>
      </c>
      <c r="G37" s="135"/>
      <c r="H37" s="3"/>
      <c r="I37" s="411"/>
      <c r="J37" s="291"/>
      <c r="K37" s="291"/>
      <c r="L37" s="291"/>
      <c r="M37" s="291"/>
      <c r="N37" s="291"/>
      <c r="O37" s="278"/>
      <c r="P37" s="278"/>
      <c r="Q37" s="278"/>
      <c r="R37" s="65"/>
      <c r="S37" s="65"/>
      <c r="T37" s="65"/>
    </row>
    <row r="38" spans="1:21" x14ac:dyDescent="0.25">
      <c r="A38" s="65"/>
      <c r="B38" s="77">
        <f t="shared" si="0"/>
        <v>29</v>
      </c>
      <c r="C38" s="78"/>
      <c r="D38" s="266" t="s">
        <v>66</v>
      </c>
      <c r="E38" s="285"/>
      <c r="F38" s="259">
        <f t="shared" si="2"/>
        <v>0</v>
      </c>
      <c r="G38" s="135"/>
      <c r="H38" s="3"/>
      <c r="I38" s="411"/>
      <c r="J38" s="291"/>
      <c r="K38" s="291"/>
      <c r="L38" s="291"/>
      <c r="M38" s="291"/>
      <c r="N38" s="291"/>
      <c r="O38" s="278"/>
      <c r="P38" s="278"/>
      <c r="Q38" s="278"/>
      <c r="R38" s="65"/>
      <c r="S38" s="65"/>
      <c r="T38" s="65"/>
    </row>
    <row r="39" spans="1:21" x14ac:dyDescent="0.25">
      <c r="A39" s="65"/>
      <c r="B39" s="77">
        <f t="shared" si="0"/>
        <v>30</v>
      </c>
      <c r="C39" s="78"/>
      <c r="D39" s="266" t="s">
        <v>67</v>
      </c>
      <c r="E39" s="285"/>
      <c r="F39" s="259">
        <f t="shared" si="2"/>
        <v>0</v>
      </c>
      <c r="G39" s="135"/>
      <c r="H39" s="3"/>
      <c r="I39" s="411"/>
      <c r="J39" s="291"/>
      <c r="K39" s="291"/>
      <c r="L39" s="291"/>
      <c r="M39" s="291"/>
      <c r="N39" s="291"/>
      <c r="O39" s="278"/>
      <c r="P39" s="278"/>
      <c r="Q39" s="278"/>
      <c r="R39" s="65"/>
      <c r="S39" s="65"/>
      <c r="T39" s="65"/>
    </row>
    <row r="40" spans="1:21" x14ac:dyDescent="0.25">
      <c r="A40" s="65"/>
      <c r="B40" s="77">
        <f t="shared" si="0"/>
        <v>31</v>
      </c>
      <c r="C40" s="78"/>
      <c r="D40" s="266" t="s">
        <v>68</v>
      </c>
      <c r="E40" s="285"/>
      <c r="F40" s="259">
        <f t="shared" si="2"/>
        <v>0</v>
      </c>
      <c r="G40" s="135"/>
      <c r="H40" s="3"/>
      <c r="I40" s="411"/>
      <c r="J40" s="291"/>
      <c r="K40" s="291"/>
      <c r="L40" s="291"/>
      <c r="M40" s="291"/>
      <c r="N40" s="291"/>
      <c r="O40" s="278"/>
      <c r="P40" s="278"/>
      <c r="Q40" s="278"/>
      <c r="R40" s="65"/>
      <c r="S40" s="65"/>
      <c r="T40" s="65"/>
    </row>
    <row r="41" spans="1:21" x14ac:dyDescent="0.25">
      <c r="A41" s="65"/>
      <c r="B41" s="77">
        <f t="shared" ref="B41:B74" si="3">+B40+1</f>
        <v>32</v>
      </c>
      <c r="C41" s="78"/>
      <c r="D41" s="266" t="s">
        <v>69</v>
      </c>
      <c r="E41" s="285"/>
      <c r="F41" s="259">
        <f t="shared" si="2"/>
        <v>0</v>
      </c>
      <c r="G41" s="135"/>
      <c r="H41" s="3"/>
      <c r="I41" s="411"/>
      <c r="J41" s="291"/>
      <c r="K41" s="291"/>
      <c r="L41" s="291"/>
      <c r="M41" s="291"/>
      <c r="N41" s="291"/>
      <c r="O41" s="278"/>
      <c r="P41" s="278"/>
      <c r="Q41" s="278"/>
      <c r="R41" s="65"/>
      <c r="S41" s="65"/>
      <c r="T41" s="65"/>
    </row>
    <row r="42" spans="1:21" x14ac:dyDescent="0.25">
      <c r="A42" s="65"/>
      <c r="B42" s="77">
        <f t="shared" si="3"/>
        <v>33</v>
      </c>
      <c r="C42" s="78"/>
      <c r="D42" s="266" t="s">
        <v>70</v>
      </c>
      <c r="E42" s="285"/>
      <c r="F42" s="259">
        <f t="shared" si="2"/>
        <v>0</v>
      </c>
      <c r="G42" s="135"/>
      <c r="H42" s="3"/>
      <c r="I42" s="411"/>
      <c r="J42" s="291"/>
      <c r="K42" s="291"/>
      <c r="L42" s="291"/>
      <c r="M42" s="291"/>
      <c r="N42" s="291"/>
      <c r="O42" s="278"/>
      <c r="P42" s="278"/>
      <c r="Q42" s="278"/>
      <c r="R42" s="65"/>
      <c r="S42" s="65"/>
      <c r="T42" s="65"/>
      <c r="U42" s="82"/>
    </row>
    <row r="43" spans="1:21" x14ac:dyDescent="0.25">
      <c r="A43" s="65"/>
      <c r="B43" s="77">
        <f t="shared" si="3"/>
        <v>34</v>
      </c>
      <c r="C43" s="78"/>
      <c r="D43" t="s">
        <v>187</v>
      </c>
      <c r="E43" s="285"/>
      <c r="F43" s="259">
        <f t="shared" si="2"/>
        <v>0</v>
      </c>
      <c r="G43" s="135"/>
      <c r="H43" s="3"/>
      <c r="I43" s="411"/>
      <c r="J43" s="291"/>
      <c r="K43" s="291"/>
      <c r="L43" s="291"/>
      <c r="M43" s="291"/>
      <c r="N43" s="291"/>
      <c r="O43" s="278"/>
      <c r="P43" s="278"/>
      <c r="Q43" s="278"/>
      <c r="R43" s="65"/>
      <c r="S43" s="65"/>
      <c r="T43" s="65"/>
    </row>
    <row r="44" spans="1:21" x14ac:dyDescent="0.25">
      <c r="A44" s="65"/>
      <c r="B44" s="77">
        <f t="shared" si="3"/>
        <v>35</v>
      </c>
      <c r="C44" s="78"/>
      <c r="D44" s="266" t="s">
        <v>72</v>
      </c>
      <c r="E44" s="285"/>
      <c r="F44" s="259">
        <f t="shared" si="2"/>
        <v>0</v>
      </c>
      <c r="G44" s="135"/>
      <c r="H44" s="3"/>
      <c r="I44" s="411"/>
      <c r="J44" s="291"/>
      <c r="K44" s="291"/>
      <c r="L44" s="291"/>
      <c r="M44" s="291"/>
      <c r="N44" s="291"/>
      <c r="O44" s="278"/>
      <c r="P44" s="278"/>
      <c r="Q44" s="278"/>
      <c r="R44" s="65"/>
      <c r="S44" s="65"/>
      <c r="T44" s="65"/>
    </row>
    <row r="45" spans="1:21" x14ac:dyDescent="0.25">
      <c r="A45" s="65"/>
      <c r="B45" s="77">
        <f t="shared" si="3"/>
        <v>36</v>
      </c>
      <c r="C45" s="78"/>
      <c r="D45" t="s">
        <v>73</v>
      </c>
      <c r="E45" s="285"/>
      <c r="F45" s="259">
        <f t="shared" si="2"/>
        <v>0</v>
      </c>
      <c r="G45" s="135"/>
      <c r="H45" s="3"/>
      <c r="I45" s="411"/>
      <c r="J45" s="291"/>
      <c r="K45" s="291"/>
      <c r="L45" s="291"/>
      <c r="M45" s="291"/>
      <c r="N45" s="291"/>
      <c r="O45" s="278"/>
      <c r="P45" s="278"/>
      <c r="Q45" s="278"/>
      <c r="R45" s="65"/>
      <c r="S45" s="65"/>
      <c r="T45" s="65"/>
    </row>
    <row r="46" spans="1:21" x14ac:dyDescent="0.25">
      <c r="A46" s="65"/>
      <c r="B46" s="77">
        <f t="shared" si="3"/>
        <v>37</v>
      </c>
      <c r="C46" s="78"/>
      <c r="D46" s="266" t="s">
        <v>74</v>
      </c>
      <c r="E46" s="285"/>
      <c r="F46" s="259">
        <f t="shared" si="2"/>
        <v>0</v>
      </c>
      <c r="G46" s="135"/>
      <c r="H46" s="3"/>
      <c r="I46" s="411"/>
      <c r="J46" s="291"/>
      <c r="K46" s="291"/>
      <c r="L46" s="291"/>
      <c r="M46" s="291"/>
      <c r="N46" s="291"/>
      <c r="O46" s="278"/>
      <c r="P46" s="278"/>
      <c r="Q46" s="278"/>
      <c r="R46" s="65"/>
      <c r="S46" s="65"/>
      <c r="T46" s="65"/>
    </row>
    <row r="47" spans="1:21" x14ac:dyDescent="0.25">
      <c r="A47" s="65"/>
      <c r="B47" s="77">
        <f t="shared" si="3"/>
        <v>38</v>
      </c>
      <c r="C47" s="78"/>
      <c r="D47" s="266" t="s">
        <v>75</v>
      </c>
      <c r="E47" s="285"/>
      <c r="F47" s="259">
        <f t="shared" si="2"/>
        <v>0</v>
      </c>
      <c r="G47" s="135"/>
      <c r="H47" s="3"/>
      <c r="I47" s="411"/>
      <c r="J47" s="291"/>
      <c r="K47" s="291"/>
      <c r="L47" s="291"/>
      <c r="M47" s="291"/>
      <c r="N47" s="291"/>
      <c r="O47" s="278"/>
      <c r="P47" s="278"/>
      <c r="Q47" s="278"/>
      <c r="R47" s="65"/>
      <c r="S47" s="65"/>
      <c r="T47" s="65"/>
    </row>
    <row r="48" spans="1:21" x14ac:dyDescent="0.25">
      <c r="A48" s="65"/>
      <c r="B48" s="77">
        <f t="shared" si="3"/>
        <v>39</v>
      </c>
      <c r="C48" s="78"/>
      <c r="D48" s="266" t="s">
        <v>76</v>
      </c>
      <c r="E48" s="285"/>
      <c r="F48" s="259">
        <f t="shared" si="2"/>
        <v>0</v>
      </c>
      <c r="G48" s="135"/>
      <c r="H48" s="3"/>
      <c r="I48" s="411"/>
      <c r="J48" s="291"/>
      <c r="K48" s="291"/>
      <c r="L48" s="291"/>
      <c r="M48" s="291"/>
      <c r="N48" s="291"/>
      <c r="O48" s="278"/>
      <c r="P48" s="278"/>
      <c r="Q48" s="278"/>
      <c r="R48" s="65"/>
      <c r="S48" s="65"/>
      <c r="T48" s="65"/>
    </row>
    <row r="49" spans="1:21" x14ac:dyDescent="0.25">
      <c r="A49" s="65"/>
      <c r="B49" s="77">
        <f t="shared" si="3"/>
        <v>40</v>
      </c>
      <c r="C49" s="78"/>
      <c r="D49" t="s">
        <v>77</v>
      </c>
      <c r="E49" s="285"/>
      <c r="F49" s="259">
        <f t="shared" si="2"/>
        <v>0</v>
      </c>
      <c r="G49" s="135"/>
      <c r="H49" s="3"/>
      <c r="I49" s="411"/>
      <c r="J49" s="291"/>
      <c r="K49" s="291"/>
      <c r="L49" s="291"/>
      <c r="M49" s="291"/>
      <c r="N49" s="291"/>
      <c r="O49" s="278"/>
      <c r="P49" s="278"/>
      <c r="Q49" s="278"/>
      <c r="R49" s="65"/>
      <c r="S49" s="65"/>
      <c r="T49" s="65"/>
    </row>
    <row r="50" spans="1:21" x14ac:dyDescent="0.25">
      <c r="A50" s="65"/>
      <c r="B50" s="77">
        <f t="shared" si="3"/>
        <v>41</v>
      </c>
      <c r="C50" s="78"/>
      <c r="D50" t="s">
        <v>78</v>
      </c>
      <c r="E50" s="285"/>
      <c r="F50" s="259">
        <f t="shared" si="2"/>
        <v>0</v>
      </c>
      <c r="G50" s="135"/>
      <c r="H50" s="3"/>
      <c r="I50" s="411"/>
      <c r="J50" s="291"/>
      <c r="K50" s="291"/>
      <c r="L50" s="291"/>
      <c r="M50" s="291"/>
      <c r="N50" s="291"/>
      <c r="O50" s="278"/>
      <c r="P50" s="278"/>
      <c r="Q50" s="278"/>
      <c r="R50" s="65"/>
      <c r="S50" s="65"/>
      <c r="T50" s="65"/>
    </row>
    <row r="51" spans="1:21" x14ac:dyDescent="0.25">
      <c r="A51" s="65"/>
      <c r="B51" s="77">
        <f t="shared" si="3"/>
        <v>42</v>
      </c>
      <c r="C51" s="78"/>
      <c r="D51" t="s">
        <v>79</v>
      </c>
      <c r="E51" s="285"/>
      <c r="F51" s="259">
        <f t="shared" si="2"/>
        <v>0</v>
      </c>
      <c r="G51" s="135"/>
      <c r="H51" s="3"/>
      <c r="I51" s="411"/>
      <c r="J51" s="291"/>
      <c r="K51" s="291"/>
      <c r="L51" s="291"/>
      <c r="M51" s="291"/>
      <c r="N51" s="291"/>
      <c r="O51" s="278"/>
      <c r="P51" s="278"/>
      <c r="Q51" s="278"/>
      <c r="R51" s="65"/>
      <c r="S51" s="65"/>
      <c r="T51" s="65"/>
    </row>
    <row r="52" spans="1:21" x14ac:dyDescent="0.25">
      <c r="A52" s="65"/>
      <c r="B52" s="77">
        <f t="shared" si="3"/>
        <v>43</v>
      </c>
      <c r="C52" s="78"/>
      <c r="D52" s="275" t="str">
        <f>+'1.0 Inc. Stmt. RB '!D52</f>
        <v>Total Operating Expenses</v>
      </c>
      <c r="E52" s="286" t="s">
        <v>81</v>
      </c>
      <c r="F52" s="260">
        <f>SUM(F20:F51)</f>
        <v>49406.551194200001</v>
      </c>
      <c r="G52" s="136">
        <f>SUM(G20:G51)</f>
        <v>0</v>
      </c>
      <c r="H52" s="402">
        <f>SUM(H19:H51)</f>
        <v>-34916.17</v>
      </c>
      <c r="I52" s="413">
        <f>SUM(I20:I51)</f>
        <v>23331</v>
      </c>
      <c r="J52" s="136">
        <f>SUM(J20:J51)</f>
        <v>-31.400000000000091</v>
      </c>
      <c r="K52" s="136">
        <f>SUM(K19:K51)</f>
        <v>1414.2911941999992</v>
      </c>
      <c r="L52" s="136">
        <f t="shared" ref="L52:Q52" si="4">SUM(L20:L51)</f>
        <v>0</v>
      </c>
      <c r="M52" s="136">
        <f t="shared" si="4"/>
        <v>0</v>
      </c>
      <c r="N52" s="136">
        <f t="shared" si="4"/>
        <v>729.97</v>
      </c>
      <c r="O52" s="83">
        <f t="shared" si="4"/>
        <v>58878.86</v>
      </c>
      <c r="P52" s="83">
        <f t="shared" si="4"/>
        <v>0</v>
      </c>
      <c r="Q52" s="83">
        <f t="shared" si="4"/>
        <v>0</v>
      </c>
      <c r="R52" s="65"/>
      <c r="S52" s="65"/>
      <c r="T52" s="65"/>
      <c r="U52" s="84"/>
    </row>
    <row r="53" spans="1:21" x14ac:dyDescent="0.25">
      <c r="A53" s="65"/>
      <c r="B53" s="77">
        <f t="shared" si="3"/>
        <v>44</v>
      </c>
      <c r="C53" s="78"/>
      <c r="D53" s="266"/>
      <c r="E53" s="35"/>
      <c r="F53" s="259"/>
      <c r="G53" s="135"/>
      <c r="H53" s="398"/>
      <c r="I53" s="409"/>
      <c r="J53" s="135"/>
      <c r="K53" s="135"/>
      <c r="L53" s="135"/>
      <c r="M53" s="135"/>
      <c r="N53" s="135"/>
      <c r="R53" s="65"/>
      <c r="S53" s="65"/>
      <c r="T53" s="65"/>
    </row>
    <row r="54" spans="1:21" x14ac:dyDescent="0.25">
      <c r="A54" s="65"/>
      <c r="B54" s="77">
        <f t="shared" si="3"/>
        <v>45</v>
      </c>
      <c r="C54" s="78"/>
      <c r="D54" s="266" t="str">
        <f>+'1.0 Inc. Stmt. RB '!D54</f>
        <v>Operating Income</v>
      </c>
      <c r="E54" s="35"/>
      <c r="F54" s="259"/>
      <c r="G54" s="135"/>
      <c r="H54" s="398"/>
      <c r="I54" s="409"/>
      <c r="J54" s="135"/>
      <c r="K54" s="135"/>
      <c r="L54" s="135"/>
      <c r="M54" s="135"/>
      <c r="N54" s="135"/>
      <c r="R54" s="65"/>
      <c r="S54" s="65"/>
      <c r="T54" s="65"/>
    </row>
    <row r="55" spans="1:21" x14ac:dyDescent="0.25">
      <c r="A55" s="65"/>
      <c r="B55" s="77">
        <f t="shared" si="3"/>
        <v>46</v>
      </c>
      <c r="C55" s="78"/>
      <c r="D55" s="266" t="str">
        <f>+'1.0 Inc. Stmt. RB '!D55</f>
        <v xml:space="preserve"> before interest and taxes</v>
      </c>
      <c r="E55" s="286" t="s">
        <v>188</v>
      </c>
      <c r="F55" s="260">
        <f>+F17-F52</f>
        <v>-57256.551194200001</v>
      </c>
      <c r="G55" s="136">
        <f>+G17-G52</f>
        <v>-732</v>
      </c>
      <c r="H55" s="402">
        <f>+H17-H52</f>
        <v>34916.17</v>
      </c>
      <c r="I55" s="413">
        <f>+I17-I52</f>
        <v>-23331</v>
      </c>
      <c r="J55" s="136">
        <f t="shared" ref="J55:O55" si="5">+J17-J52</f>
        <v>31.400000000000091</v>
      </c>
      <c r="K55" s="136">
        <f t="shared" si="5"/>
        <v>-1414.2911941999992</v>
      </c>
      <c r="L55" s="136">
        <f t="shared" si="5"/>
        <v>-7118</v>
      </c>
      <c r="M55" s="136">
        <f t="shared" si="5"/>
        <v>0</v>
      </c>
      <c r="N55" s="136">
        <f>+N17-N52</f>
        <v>-729.97</v>
      </c>
      <c r="O55" s="83">
        <f t="shared" si="5"/>
        <v>-58878.86</v>
      </c>
      <c r="P55" s="83">
        <f>+P17-P52</f>
        <v>0</v>
      </c>
      <c r="Q55" s="83">
        <f>+Q17-Q52</f>
        <v>0</v>
      </c>
      <c r="R55" s="65"/>
      <c r="S55" s="65"/>
      <c r="T55" s="65"/>
    </row>
    <row r="56" spans="1:21" x14ac:dyDescent="0.25">
      <c r="A56" s="65"/>
      <c r="B56" s="77">
        <f t="shared" si="3"/>
        <v>47</v>
      </c>
      <c r="C56" s="78"/>
      <c r="E56" s="285"/>
      <c r="F56" s="290"/>
      <c r="G56" s="135"/>
      <c r="H56" s="398"/>
      <c r="I56" s="409"/>
      <c r="J56" s="135"/>
      <c r="K56" s="135"/>
      <c r="L56" s="135"/>
      <c r="M56" s="135"/>
      <c r="N56" s="135"/>
      <c r="R56" s="65"/>
      <c r="S56" s="65"/>
      <c r="T56" s="65"/>
    </row>
    <row r="57" spans="1:21" x14ac:dyDescent="0.25">
      <c r="A57" s="65"/>
      <c r="B57" s="77">
        <f t="shared" si="3"/>
        <v>48</v>
      </c>
      <c r="C57" s="78"/>
      <c r="D57" s="266" t="s">
        <v>91</v>
      </c>
      <c r="E57" s="292" t="s">
        <v>189</v>
      </c>
      <c r="F57" s="259">
        <f>+SUM(G57:O57)</f>
        <v>-12023.875750781999</v>
      </c>
      <c r="G57" s="291">
        <f>+G55*0.21</f>
        <v>-153.72</v>
      </c>
      <c r="H57" s="3">
        <f>+H55*0.21</f>
        <v>7332.3956999999991</v>
      </c>
      <c r="I57" s="411">
        <f>+I55*0.21</f>
        <v>-4899.51</v>
      </c>
      <c r="J57" s="291">
        <f t="shared" ref="J57:P57" si="6">+J55*0.21</f>
        <v>6.594000000000019</v>
      </c>
      <c r="K57" s="291">
        <f t="shared" si="6"/>
        <v>-297.0011507819998</v>
      </c>
      <c r="L57" s="291">
        <f t="shared" si="6"/>
        <v>-1494.78</v>
      </c>
      <c r="M57" s="291">
        <f t="shared" si="6"/>
        <v>0</v>
      </c>
      <c r="N57" s="291">
        <f>+N55*0.21</f>
        <v>-153.2937</v>
      </c>
      <c r="O57" s="278">
        <f t="shared" si="6"/>
        <v>-12364.560599999999</v>
      </c>
      <c r="P57" s="278">
        <f t="shared" si="6"/>
        <v>0</v>
      </c>
      <c r="Q57" s="278">
        <f t="shared" ref="Q57" si="7">+Q55*0.21</f>
        <v>0</v>
      </c>
      <c r="R57" s="65"/>
      <c r="S57" s="65"/>
      <c r="T57" s="65"/>
    </row>
    <row r="58" spans="1:21" ht="20.25" customHeight="1" x14ac:dyDescent="0.25">
      <c r="A58" s="65"/>
      <c r="B58" s="77">
        <f t="shared" si="3"/>
        <v>49</v>
      </c>
      <c r="C58" s="78"/>
      <c r="D58" s="266" t="str">
        <f>+'1.0 Inc. Stmt. RB '!D58</f>
        <v>Net Operating Income</v>
      </c>
      <c r="E58" s="293" t="s">
        <v>190</v>
      </c>
      <c r="F58" s="261">
        <f t="shared" ref="F58:P58" si="8">+F55-F57</f>
        <v>-45232.675443418004</v>
      </c>
      <c r="G58" s="137">
        <f t="shared" si="8"/>
        <v>-578.28</v>
      </c>
      <c r="H58" s="403">
        <f>+H55-H57</f>
        <v>27583.774299999997</v>
      </c>
      <c r="I58" s="414">
        <f>+I55-I57</f>
        <v>-18431.489999999998</v>
      </c>
      <c r="J58" s="137">
        <f t="shared" si="8"/>
        <v>24.806000000000072</v>
      </c>
      <c r="K58" s="137">
        <f t="shared" si="8"/>
        <v>-1117.2900434179994</v>
      </c>
      <c r="L58" s="137">
        <f t="shared" si="8"/>
        <v>-5623.22</v>
      </c>
      <c r="M58" s="137">
        <f t="shared" si="8"/>
        <v>0</v>
      </c>
      <c r="N58" s="137">
        <f>+N55-N57</f>
        <v>-576.67630000000008</v>
      </c>
      <c r="O58" s="85">
        <f t="shared" si="8"/>
        <v>-46514.299400000004</v>
      </c>
      <c r="P58" s="85">
        <f t="shared" si="8"/>
        <v>0</v>
      </c>
      <c r="Q58" s="85">
        <f t="shared" ref="Q58" si="9">+Q55-Q57</f>
        <v>0</v>
      </c>
      <c r="R58" s="65"/>
      <c r="S58" s="65"/>
      <c r="T58" s="65"/>
    </row>
    <row r="59" spans="1:21" x14ac:dyDescent="0.25">
      <c r="A59" s="65"/>
      <c r="B59" s="77">
        <f t="shared" si="3"/>
        <v>50</v>
      </c>
      <c r="C59" s="78"/>
      <c r="D59" s="266"/>
      <c r="E59" s="294"/>
      <c r="F59" s="259"/>
      <c r="G59" s="135"/>
      <c r="H59" s="398"/>
      <c r="I59" s="409"/>
      <c r="J59" s="135"/>
      <c r="K59" s="135"/>
      <c r="L59" s="135"/>
      <c r="M59" s="135"/>
      <c r="N59" s="135"/>
      <c r="R59" s="65"/>
      <c r="S59" s="65"/>
      <c r="T59" s="65"/>
    </row>
    <row r="60" spans="1:21" x14ac:dyDescent="0.25">
      <c r="A60" s="65"/>
      <c r="B60" s="77">
        <f t="shared" si="3"/>
        <v>51</v>
      </c>
      <c r="C60" s="78"/>
      <c r="D60" s="266" t="str">
        <f>+'1.0 Inc. Stmt. RB '!D60</f>
        <v>Rate Base</v>
      </c>
      <c r="E60" s="61"/>
      <c r="F60" s="259"/>
      <c r="G60" s="135"/>
      <c r="H60" s="398"/>
      <c r="I60" s="409"/>
      <c r="J60" s="135"/>
      <c r="K60" s="135"/>
      <c r="L60" s="135"/>
      <c r="M60" s="135"/>
      <c r="N60" s="135"/>
      <c r="R60" s="65"/>
      <c r="S60" s="65"/>
      <c r="T60" s="65"/>
    </row>
    <row r="61" spans="1:21" x14ac:dyDescent="0.25">
      <c r="A61" s="65"/>
      <c r="B61" s="77">
        <f t="shared" si="3"/>
        <v>52</v>
      </c>
      <c r="C61" s="78"/>
      <c r="D61" s="266"/>
      <c r="F61" s="259"/>
      <c r="G61" s="135"/>
      <c r="H61" s="398"/>
      <c r="I61" s="409"/>
      <c r="J61" s="135"/>
      <c r="K61" s="135"/>
      <c r="L61" s="135"/>
      <c r="M61" s="135"/>
      <c r="N61" s="135"/>
      <c r="R61" s="65"/>
      <c r="S61" s="65"/>
      <c r="T61" s="65"/>
    </row>
    <row r="62" spans="1:21" x14ac:dyDescent="0.25">
      <c r="A62" s="65"/>
      <c r="B62" s="77">
        <f t="shared" si="3"/>
        <v>53</v>
      </c>
      <c r="D62" s="266" t="str">
        <f>+'1.0 Inc. Stmt. RB '!D62</f>
        <v>Plant in Service</v>
      </c>
      <c r="E62" s="35" t="s">
        <v>99</v>
      </c>
      <c r="F62" s="259">
        <f>+SUM(G62:O62)</f>
        <v>0</v>
      </c>
      <c r="G62" s="135"/>
      <c r="H62" s="398"/>
      <c r="I62" s="409"/>
      <c r="J62" s="135"/>
      <c r="K62" s="135"/>
      <c r="L62" s="135"/>
      <c r="M62" s="135"/>
      <c r="N62" s="135"/>
      <c r="R62" s="65"/>
      <c r="S62" s="65"/>
      <c r="T62" s="65"/>
    </row>
    <row r="63" spans="1:21" x14ac:dyDescent="0.25">
      <c r="A63" s="65"/>
      <c r="B63" s="77">
        <f t="shared" si="3"/>
        <v>54</v>
      </c>
      <c r="D63" s="266" t="str">
        <f>+'1.0 Inc. Stmt. RB '!D63</f>
        <v>Acc. Depreciation</v>
      </c>
      <c r="E63" s="35" t="s">
        <v>99</v>
      </c>
      <c r="F63" s="259">
        <f>+SUM(G63:O63)</f>
        <v>0</v>
      </c>
      <c r="G63" s="135"/>
      <c r="H63" s="398"/>
      <c r="I63" s="409"/>
      <c r="J63" s="135"/>
      <c r="K63" s="135"/>
      <c r="L63" s="135"/>
      <c r="M63" s="135"/>
      <c r="N63" s="135"/>
      <c r="R63" s="65"/>
      <c r="S63" s="65"/>
      <c r="T63" s="65"/>
    </row>
    <row r="64" spans="1:21" x14ac:dyDescent="0.25">
      <c r="A64" s="65"/>
      <c r="B64" s="77">
        <f t="shared" si="3"/>
        <v>55</v>
      </c>
      <c r="D64" s="266" t="str">
        <f>+'1.0 Inc. Stmt. RB '!D64</f>
        <v>Net Plant in Service</v>
      </c>
      <c r="E64" s="271" t="s">
        <v>102</v>
      </c>
      <c r="F64" s="260">
        <f>+F62+F63</f>
        <v>0</v>
      </c>
      <c r="G64" s="295"/>
      <c r="H64" s="402">
        <f>+H62+H63</f>
        <v>0</v>
      </c>
      <c r="I64" s="413">
        <f>+I62+I63</f>
        <v>0</v>
      </c>
      <c r="J64" s="136">
        <f t="shared" ref="J64:P64" si="10">+J62+J63</f>
        <v>0</v>
      </c>
      <c r="K64" s="136">
        <f t="shared" si="10"/>
        <v>0</v>
      </c>
      <c r="L64" s="136">
        <f t="shared" si="10"/>
        <v>0</v>
      </c>
      <c r="M64" s="136">
        <f t="shared" si="10"/>
        <v>0</v>
      </c>
      <c r="N64" s="136">
        <f>+N62+N63</f>
        <v>0</v>
      </c>
      <c r="O64" s="83">
        <f t="shared" si="10"/>
        <v>0</v>
      </c>
      <c r="P64" s="83">
        <f t="shared" si="10"/>
        <v>0</v>
      </c>
      <c r="Q64" s="83">
        <f t="shared" ref="Q64" si="11">+Q62+Q63</f>
        <v>0</v>
      </c>
      <c r="R64" s="65"/>
      <c r="S64" s="65"/>
      <c r="T64" s="65"/>
    </row>
    <row r="65" spans="1:20" x14ac:dyDescent="0.25">
      <c r="A65" s="65"/>
      <c r="B65" s="77">
        <f t="shared" si="3"/>
        <v>56</v>
      </c>
      <c r="D65" s="266"/>
      <c r="E65" s="76"/>
      <c r="F65" s="259"/>
      <c r="G65" s="296"/>
      <c r="H65" s="398"/>
      <c r="I65" s="409"/>
      <c r="J65" s="135"/>
      <c r="K65" s="135"/>
      <c r="L65" s="135"/>
      <c r="M65" s="135"/>
      <c r="N65" s="135"/>
      <c r="R65" s="65"/>
      <c r="S65" s="65"/>
      <c r="T65" s="65"/>
    </row>
    <row r="66" spans="1:20" x14ac:dyDescent="0.25">
      <c r="A66" s="65"/>
      <c r="B66" s="77">
        <f t="shared" si="3"/>
        <v>57</v>
      </c>
      <c r="D66" s="266" t="str">
        <f>+'1.0 Inc. Stmt. RB '!D66</f>
        <v>Net CIAC</v>
      </c>
      <c r="E66" s="35" t="s">
        <v>104</v>
      </c>
      <c r="F66" s="259">
        <f>+SUM(G66:O66)</f>
        <v>0</v>
      </c>
      <c r="G66" s="135"/>
      <c r="H66" s="398"/>
      <c r="I66" s="409"/>
      <c r="J66" s="135"/>
      <c r="K66" s="135"/>
      <c r="L66" s="135"/>
      <c r="M66" s="135"/>
      <c r="N66" s="135"/>
      <c r="R66" s="65"/>
      <c r="S66" s="65"/>
      <c r="T66" s="65"/>
    </row>
    <row r="67" spans="1:20" x14ac:dyDescent="0.25">
      <c r="A67" s="65"/>
      <c r="B67" s="77">
        <f t="shared" si="3"/>
        <v>58</v>
      </c>
      <c r="D67" s="266" t="str">
        <f>+'1.0 Inc. Stmt. RB '!D67</f>
        <v>Net Other Deductions</v>
      </c>
      <c r="E67" s="35" t="s">
        <v>191</v>
      </c>
      <c r="F67" s="259">
        <f>+SUM(G67:O67)</f>
        <v>0</v>
      </c>
      <c r="G67" s="135"/>
      <c r="H67" s="398"/>
      <c r="I67" s="409"/>
      <c r="J67" s="135"/>
      <c r="K67" s="135"/>
      <c r="L67" s="135"/>
      <c r="M67" s="135"/>
      <c r="N67" s="135"/>
      <c r="R67" s="65"/>
      <c r="S67" s="65"/>
      <c r="T67" s="65"/>
    </row>
    <row r="68" spans="1:20" x14ac:dyDescent="0.25">
      <c r="A68" s="65"/>
      <c r="B68" s="77">
        <f t="shared" si="3"/>
        <v>59</v>
      </c>
      <c r="D68" s="266" t="str">
        <f>+'1.0 Inc. Stmt. RB '!D68</f>
        <v>Working Capital</v>
      </c>
      <c r="E68" s="35" t="s">
        <v>107</v>
      </c>
      <c r="F68" s="259">
        <f>+SUM(G68:O68)</f>
        <v>34915.975211635712</v>
      </c>
      <c r="G68" s="135"/>
      <c r="H68" s="398"/>
      <c r="I68" s="409"/>
      <c r="J68" s="135"/>
      <c r="K68" s="135"/>
      <c r="L68" s="135"/>
      <c r="M68" s="135">
        <f>+'2.3 Working Cap'!K20</f>
        <v>34915.975211635712</v>
      </c>
      <c r="N68" s="135"/>
      <c r="R68" s="65"/>
      <c r="S68" s="65"/>
      <c r="T68" s="65"/>
    </row>
    <row r="69" spans="1:20" x14ac:dyDescent="0.25">
      <c r="A69" s="65"/>
      <c r="B69" s="77">
        <f t="shared" si="3"/>
        <v>60</v>
      </c>
      <c r="D69" s="266" t="str">
        <f>+'1.0 Inc. Stmt. RB '!D69</f>
        <v>Rate Base</v>
      </c>
      <c r="E69" s="271" t="s">
        <v>192</v>
      </c>
      <c r="F69" s="260">
        <f>+F64+F66+F67+F68</f>
        <v>34915.975211635712</v>
      </c>
      <c r="G69" s="136">
        <f t="shared" ref="G69:P69" si="12">+G64+G66+G67+G68</f>
        <v>0</v>
      </c>
      <c r="H69" s="260">
        <f>+H64+H66+H67+H68</f>
        <v>0</v>
      </c>
      <c r="I69" s="415">
        <f>+I64+I66+I67+I68</f>
        <v>0</v>
      </c>
      <c r="J69" s="136">
        <f t="shared" si="12"/>
        <v>0</v>
      </c>
      <c r="K69" s="136">
        <f t="shared" si="12"/>
        <v>0</v>
      </c>
      <c r="L69" s="136">
        <f t="shared" si="12"/>
        <v>0</v>
      </c>
      <c r="M69" s="136">
        <f t="shared" si="12"/>
        <v>34915.975211635712</v>
      </c>
      <c r="N69" s="136">
        <f>+N64+N66+N67+N68</f>
        <v>0</v>
      </c>
      <c r="O69" s="136">
        <f t="shared" si="12"/>
        <v>0</v>
      </c>
      <c r="P69" s="136">
        <f t="shared" si="12"/>
        <v>0</v>
      </c>
      <c r="Q69" s="136">
        <f t="shared" ref="Q69" si="13">+Q64+Q66+Q67+Q68</f>
        <v>0</v>
      </c>
      <c r="R69" s="65"/>
      <c r="S69" s="65"/>
      <c r="T69" s="65"/>
    </row>
    <row r="70" spans="1:20" x14ac:dyDescent="0.25">
      <c r="A70" s="65"/>
      <c r="B70" s="77">
        <f t="shared" si="3"/>
        <v>61</v>
      </c>
      <c r="D70" s="266"/>
      <c r="F70" s="113"/>
      <c r="G70" s="135"/>
      <c r="H70" s="398"/>
      <c r="I70" s="409"/>
      <c r="J70" s="135"/>
      <c r="K70" s="135"/>
      <c r="L70" s="135"/>
      <c r="M70" s="135"/>
      <c r="N70" s="135"/>
      <c r="R70" s="65"/>
      <c r="S70" s="65"/>
      <c r="T70" s="65"/>
    </row>
    <row r="71" spans="1:20" x14ac:dyDescent="0.25">
      <c r="A71" s="65"/>
      <c r="B71" s="77">
        <f t="shared" si="3"/>
        <v>62</v>
      </c>
      <c r="D71" s="266"/>
      <c r="E71" s="35"/>
      <c r="F71" s="262"/>
      <c r="G71" s="135"/>
      <c r="H71" s="398"/>
      <c r="I71" s="409"/>
      <c r="J71" s="135"/>
      <c r="K71" s="135"/>
      <c r="L71" s="135"/>
      <c r="M71" s="135"/>
      <c r="N71" s="135"/>
      <c r="R71" s="65"/>
      <c r="S71" s="65"/>
      <c r="T71" s="65"/>
    </row>
    <row r="72" spans="1:20" x14ac:dyDescent="0.25">
      <c r="A72" s="65"/>
      <c r="B72" s="77">
        <f t="shared" si="3"/>
        <v>63</v>
      </c>
      <c r="D72" s="266"/>
      <c r="F72" s="259"/>
      <c r="G72" s="135"/>
      <c r="H72" s="398"/>
      <c r="I72" s="409"/>
      <c r="J72" s="135"/>
      <c r="K72" s="135"/>
      <c r="L72" s="135"/>
      <c r="M72" s="135"/>
      <c r="N72" s="135"/>
      <c r="R72" s="65"/>
      <c r="S72" s="65"/>
      <c r="T72" s="65"/>
    </row>
    <row r="73" spans="1:20" x14ac:dyDescent="0.25">
      <c r="A73" s="65"/>
      <c r="B73" s="77">
        <f t="shared" si="3"/>
        <v>64</v>
      </c>
      <c r="D73" s="266"/>
      <c r="F73" s="263"/>
      <c r="G73" s="135"/>
      <c r="H73" s="398"/>
      <c r="I73" s="409"/>
      <c r="J73" s="135"/>
      <c r="K73" s="135"/>
      <c r="L73" s="135"/>
      <c r="M73" s="135"/>
      <c r="N73" s="135"/>
      <c r="R73" s="65"/>
      <c r="S73" s="65"/>
      <c r="T73" s="65"/>
    </row>
    <row r="74" spans="1:20" x14ac:dyDescent="0.25">
      <c r="A74" s="65"/>
      <c r="B74" s="77">
        <f t="shared" si="3"/>
        <v>65</v>
      </c>
      <c r="C74" s="91"/>
      <c r="D74" s="92"/>
      <c r="E74" s="92"/>
      <c r="F74" s="264"/>
      <c r="G74" s="265"/>
      <c r="H74" s="408"/>
      <c r="I74" s="416"/>
      <c r="J74" s="265"/>
      <c r="K74" s="265"/>
      <c r="L74" s="265"/>
      <c r="M74" s="265"/>
      <c r="N74" s="265"/>
      <c r="O74" s="93"/>
      <c r="P74" s="93"/>
      <c r="Q74" s="93"/>
      <c r="R74" s="65"/>
      <c r="S74" s="65"/>
      <c r="T74" s="65"/>
    </row>
    <row r="75" spans="1:20" x14ac:dyDescent="0.2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</row>
    <row r="76" spans="1:20" x14ac:dyDescent="0.2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94"/>
      <c r="P76" s="65"/>
      <c r="Q76" s="65"/>
      <c r="R76" s="65"/>
      <c r="S76" s="65"/>
      <c r="T76" s="65"/>
    </row>
    <row r="77" spans="1:20" x14ac:dyDescent="0.2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97"/>
      <c r="Q77" s="97"/>
      <c r="R77" s="65"/>
      <c r="S77" s="65"/>
      <c r="T77" s="65"/>
    </row>
    <row r="78" spans="1:20" x14ac:dyDescent="0.25">
      <c r="A78" s="65"/>
      <c r="B78" s="65"/>
      <c r="C78" s="65"/>
      <c r="D78" s="95"/>
      <c r="E78" s="95"/>
      <c r="F78" s="96"/>
      <c r="G78" s="65"/>
      <c r="H78" s="96"/>
      <c r="I78" s="65"/>
      <c r="J78" s="96"/>
      <c r="K78" s="65"/>
      <c r="L78" s="96"/>
      <c r="M78" s="96"/>
      <c r="N78" s="65"/>
      <c r="O78" s="96"/>
      <c r="P78" s="96"/>
      <c r="Q78" s="96"/>
      <c r="R78" s="65"/>
      <c r="S78" s="65"/>
      <c r="T78" s="65"/>
    </row>
    <row r="79" spans="1:20" x14ac:dyDescent="0.25">
      <c r="A79" s="65"/>
      <c r="B79" s="65"/>
      <c r="C79" s="65"/>
      <c r="D79" s="95"/>
      <c r="E79" s="95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65"/>
      <c r="S79" s="65"/>
      <c r="T79" s="65"/>
    </row>
  </sheetData>
  <mergeCells count="2">
    <mergeCell ref="V22:W22"/>
    <mergeCell ref="V23:W23"/>
  </mergeCells>
  <phoneticPr fontId="0" type="noConversion"/>
  <printOptions horizontalCentered="1" gridLinesSet="0"/>
  <pageMargins left="0.25" right="0.25" top="0.42" bottom="0.42" header="0.25" footer="0.2"/>
  <pageSetup scale="60" orientation="portrait" r:id="rId1"/>
  <headerFooter alignWithMargins="0">
    <oddFooter>&amp;L&amp;8&amp;T  &amp;D&amp;R&amp;8&amp;F 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V81"/>
  <sheetViews>
    <sheetView showGridLines="0" zoomScale="75" zoomScaleNormal="75" workbookViewId="0"/>
  </sheetViews>
  <sheetFormatPr defaultColWidth="9" defaultRowHeight="15.75" x14ac:dyDescent="0.25"/>
  <cols>
    <col min="1" max="1" width="5.625" style="67" customWidth="1"/>
    <col min="2" max="2" width="4.125" style="67" customWidth="1"/>
    <col min="3" max="3" width="2" style="67" customWidth="1"/>
    <col min="4" max="4" width="24.25" style="67" customWidth="1"/>
    <col min="5" max="5" width="16.125" style="67" customWidth="1"/>
    <col min="6" max="6" width="14.125" style="67" customWidth="1"/>
    <col min="7" max="7" width="13.25" style="67" customWidth="1"/>
    <col min="8" max="8" width="13.625" style="67" customWidth="1"/>
    <col min="9" max="9" width="14.375" style="67" customWidth="1"/>
    <col min="10" max="10" width="16.75" style="67" customWidth="1"/>
    <col min="11" max="11" width="12.125" style="67" customWidth="1"/>
    <col min="12" max="12" width="15.25" style="67" customWidth="1"/>
    <col min="13" max="13" width="14.25" style="67" customWidth="1"/>
    <col min="14" max="14" width="9.25" style="67" customWidth="1"/>
    <col min="15" max="15" width="13" style="67" customWidth="1"/>
    <col min="16" max="18" width="12.5" style="67" customWidth="1"/>
    <col min="19" max="19" width="17.75" style="67" customWidth="1"/>
    <col min="20" max="20" width="13.625" style="67" customWidth="1"/>
    <col min="21" max="22" width="12" style="67" customWidth="1"/>
    <col min="23" max="16384" width="9" style="67"/>
  </cols>
  <sheetData>
    <row r="1" spans="1:21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397"/>
      <c r="S1" s="65"/>
      <c r="T1" s="65"/>
      <c r="U1" s="65"/>
    </row>
    <row r="2" spans="1:21" x14ac:dyDescent="0.25">
      <c r="A2" s="65"/>
      <c r="B2" s="68" t="s">
        <v>193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397"/>
      <c r="S2" s="65"/>
      <c r="T2" s="65"/>
      <c r="U2" s="65"/>
    </row>
    <row r="3" spans="1:21" x14ac:dyDescent="0.25">
      <c r="A3" s="65"/>
      <c r="B3" s="219" t="str">
        <f>+cover!B8</f>
        <v>Summit View Water Works LLC</v>
      </c>
      <c r="C3" s="60"/>
      <c r="D3" s="60"/>
      <c r="E3" s="60"/>
      <c r="K3" s="69"/>
      <c r="R3" s="398"/>
      <c r="S3" s="65"/>
      <c r="T3" s="65"/>
      <c r="U3" s="65"/>
    </row>
    <row r="4" spans="1:21" x14ac:dyDescent="0.25">
      <c r="A4" s="65"/>
      <c r="B4" s="219" t="str">
        <f>+cover!B12</f>
        <v>Test Year Ended December 31, 2023</v>
      </c>
      <c r="C4" s="60"/>
      <c r="D4" s="60"/>
      <c r="E4" s="60"/>
      <c r="R4" s="398"/>
      <c r="S4" s="65"/>
      <c r="T4" s="65"/>
      <c r="U4" s="65"/>
    </row>
    <row r="5" spans="1:21" ht="20.25" x14ac:dyDescent="0.3">
      <c r="A5" s="65"/>
      <c r="B5" s="70" t="s">
        <v>6</v>
      </c>
      <c r="G5" s="188" t="s">
        <v>194</v>
      </c>
      <c r="I5" s="71"/>
      <c r="R5" s="398"/>
      <c r="S5" s="65"/>
      <c r="T5" s="65"/>
      <c r="U5" s="65"/>
    </row>
    <row r="6" spans="1:21" x14ac:dyDescent="0.25">
      <c r="A6" s="65"/>
      <c r="B6" s="171" t="s">
        <v>195</v>
      </c>
      <c r="R6" s="398"/>
      <c r="S6" s="65"/>
      <c r="T6" s="65"/>
      <c r="U6" s="65"/>
    </row>
    <row r="7" spans="1:21" x14ac:dyDescent="0.25">
      <c r="A7" s="65"/>
      <c r="B7" s="45"/>
      <c r="R7" s="398"/>
      <c r="S7" s="65"/>
      <c r="T7" s="65"/>
      <c r="U7" s="65"/>
    </row>
    <row r="8" spans="1:21" x14ac:dyDescent="0.25">
      <c r="A8" s="65"/>
      <c r="B8" s="67" t="s">
        <v>18</v>
      </c>
      <c r="D8" s="71"/>
      <c r="R8" s="398"/>
      <c r="S8" s="65"/>
      <c r="T8" s="65"/>
      <c r="U8" s="65"/>
    </row>
    <row r="9" spans="1:21" x14ac:dyDescent="0.25">
      <c r="A9" s="65"/>
      <c r="B9" s="75" t="s">
        <v>19</v>
      </c>
      <c r="C9" s="75"/>
      <c r="F9" s="79" t="s">
        <v>151</v>
      </c>
      <c r="G9" s="79" t="s">
        <v>196</v>
      </c>
      <c r="H9" s="79" t="s">
        <v>197</v>
      </c>
      <c r="I9" s="79" t="s">
        <v>198</v>
      </c>
      <c r="J9" s="79" t="s">
        <v>199</v>
      </c>
      <c r="K9" s="79" t="s">
        <v>200</v>
      </c>
      <c r="L9" s="79" t="s">
        <v>201</v>
      </c>
      <c r="M9" s="79" t="s">
        <v>202</v>
      </c>
      <c r="N9" s="79" t="s">
        <v>203</v>
      </c>
      <c r="O9" s="79" t="s">
        <v>204</v>
      </c>
      <c r="P9" s="79" t="s">
        <v>205</v>
      </c>
      <c r="Q9" s="79" t="s">
        <v>206</v>
      </c>
      <c r="R9" s="79" t="s">
        <v>207</v>
      </c>
      <c r="S9" s="65"/>
      <c r="T9" s="65"/>
      <c r="U9" s="65"/>
    </row>
    <row r="10" spans="1:21" x14ac:dyDescent="0.25">
      <c r="A10" s="65"/>
      <c r="B10" s="77">
        <v>1</v>
      </c>
      <c r="C10" s="78"/>
      <c r="D10" s="266"/>
      <c r="E10" s="266"/>
      <c r="F10" s="79" t="s">
        <v>24</v>
      </c>
      <c r="G10" s="76" t="s">
        <v>208</v>
      </c>
      <c r="H10" s="76" t="s">
        <v>208</v>
      </c>
      <c r="I10" s="76" t="s">
        <v>49</v>
      </c>
      <c r="J10" s="76" t="s">
        <v>49</v>
      </c>
      <c r="K10" s="76" t="s">
        <v>165</v>
      </c>
      <c r="L10" s="76" t="s">
        <v>70</v>
      </c>
      <c r="M10" s="76" t="s">
        <v>209</v>
      </c>
      <c r="N10" s="76" t="s">
        <v>210</v>
      </c>
      <c r="O10" s="76"/>
      <c r="P10" s="76" t="s">
        <v>211</v>
      </c>
      <c r="Q10" s="399"/>
      <c r="R10" s="399"/>
      <c r="S10" s="65"/>
      <c r="T10" s="65"/>
      <c r="U10" s="65"/>
    </row>
    <row r="11" spans="1:21" x14ac:dyDescent="0.25">
      <c r="A11" s="65"/>
      <c r="B11" s="77">
        <f t="shared" ref="B11:B42" si="0">+B10+1</f>
        <v>2</v>
      </c>
      <c r="C11" s="78"/>
      <c r="D11" s="266"/>
      <c r="F11" s="99" t="s">
        <v>27</v>
      </c>
      <c r="G11" s="223" t="s">
        <v>212</v>
      </c>
      <c r="H11" s="318" t="s">
        <v>213</v>
      </c>
      <c r="I11" s="223" t="s">
        <v>214</v>
      </c>
      <c r="J11" s="318" t="s">
        <v>213</v>
      </c>
      <c r="K11" s="318" t="s">
        <v>50</v>
      </c>
      <c r="L11" s="318" t="s">
        <v>215</v>
      </c>
      <c r="M11" s="223" t="s">
        <v>106</v>
      </c>
      <c r="N11" s="318" t="s">
        <v>216</v>
      </c>
      <c r="O11" s="318" t="s">
        <v>217</v>
      </c>
      <c r="P11" s="318" t="s">
        <v>173</v>
      </c>
      <c r="Q11" s="400" t="s">
        <v>218</v>
      </c>
      <c r="R11" s="400"/>
      <c r="S11" s="65"/>
      <c r="T11" s="65"/>
      <c r="U11" s="65"/>
    </row>
    <row r="12" spans="1:21" x14ac:dyDescent="0.25">
      <c r="A12" s="65"/>
      <c r="B12" s="77">
        <f t="shared" si="0"/>
        <v>3</v>
      </c>
      <c r="C12" s="78"/>
      <c r="D12" s="64" t="s">
        <v>30</v>
      </c>
      <c r="E12" s="114" t="s">
        <v>31</v>
      </c>
      <c r="F12" s="134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36"/>
      <c r="R12" s="398"/>
      <c r="S12" s="65"/>
      <c r="T12" s="65"/>
      <c r="U12" s="65"/>
    </row>
    <row r="13" spans="1:21" ht="25.5" customHeight="1" x14ac:dyDescent="0.25">
      <c r="A13" s="65"/>
      <c r="B13" s="77">
        <f t="shared" si="0"/>
        <v>4</v>
      </c>
      <c r="C13" s="78"/>
      <c r="D13" s="266" t="s">
        <v>219</v>
      </c>
      <c r="E13" s="283"/>
      <c r="F13" s="135">
        <f>+SUM(G13:R13)</f>
        <v>0</v>
      </c>
      <c r="G13" s="420"/>
      <c r="H13" s="420"/>
      <c r="I13" s="420"/>
      <c r="J13" s="420"/>
      <c r="K13" s="433"/>
      <c r="L13" s="420"/>
      <c r="M13" s="420"/>
      <c r="N13" s="420"/>
      <c r="O13" s="420"/>
      <c r="P13" s="420"/>
      <c r="Q13" s="436"/>
      <c r="R13" s="398"/>
      <c r="S13" s="65"/>
      <c r="T13" s="65"/>
      <c r="U13" s="65"/>
    </row>
    <row r="14" spans="1:21" x14ac:dyDescent="0.25">
      <c r="A14" s="65"/>
      <c r="B14" s="77">
        <f t="shared" si="0"/>
        <v>5</v>
      </c>
      <c r="C14" s="78"/>
      <c r="D14" s="266" t="s">
        <v>220</v>
      </c>
      <c r="E14" s="285"/>
      <c r="F14" s="135">
        <f>+SUM(G14:R14)</f>
        <v>0</v>
      </c>
      <c r="G14" s="420"/>
      <c r="H14" s="420"/>
      <c r="I14" s="420"/>
      <c r="J14" s="420"/>
      <c r="K14" s="433"/>
      <c r="L14" s="420"/>
      <c r="M14" s="420"/>
      <c r="N14" s="420"/>
      <c r="O14" s="420"/>
      <c r="P14" s="420"/>
      <c r="Q14" s="436"/>
      <c r="R14" s="398"/>
      <c r="S14" s="65"/>
      <c r="T14" s="65"/>
      <c r="U14" s="65"/>
    </row>
    <row r="15" spans="1:21" x14ac:dyDescent="0.25">
      <c r="A15" s="65"/>
      <c r="B15" s="77">
        <f t="shared" si="0"/>
        <v>6</v>
      </c>
      <c r="C15" s="78"/>
      <c r="D15" s="266" t="s">
        <v>221</v>
      </c>
      <c r="E15" s="285"/>
      <c r="F15" s="135">
        <f>+SUM(G15:R15)</f>
        <v>0</v>
      </c>
      <c r="G15" s="420"/>
      <c r="H15" s="420"/>
      <c r="I15" s="420"/>
      <c r="J15" s="420"/>
      <c r="K15" s="433"/>
      <c r="L15" s="420"/>
      <c r="M15" s="420"/>
      <c r="N15" s="420"/>
      <c r="O15" s="420"/>
      <c r="P15" s="420"/>
      <c r="Q15" s="436"/>
      <c r="R15" s="398"/>
      <c r="S15" s="65"/>
      <c r="T15" s="65"/>
      <c r="U15" s="65"/>
    </row>
    <row r="16" spans="1:21" x14ac:dyDescent="0.25">
      <c r="A16" s="65"/>
      <c r="B16" s="77">
        <f t="shared" si="0"/>
        <v>7</v>
      </c>
      <c r="C16" s="78"/>
      <c r="D16" s="266" t="s">
        <v>222</v>
      </c>
      <c r="E16" s="285"/>
      <c r="F16" s="135">
        <f>+SUM(G16:R16)</f>
        <v>0</v>
      </c>
      <c r="G16" s="420"/>
      <c r="H16" s="420"/>
      <c r="I16" s="420"/>
      <c r="J16" s="420"/>
      <c r="K16" s="433"/>
      <c r="L16" s="420"/>
      <c r="M16" s="420"/>
      <c r="N16" s="420"/>
      <c r="O16" s="420"/>
      <c r="P16" s="420"/>
      <c r="Q16" s="436"/>
      <c r="R16" s="398"/>
      <c r="S16" s="65"/>
      <c r="T16" s="65"/>
      <c r="U16" s="65"/>
    </row>
    <row r="17" spans="1:22" x14ac:dyDescent="0.25">
      <c r="A17" s="65"/>
      <c r="B17" s="77">
        <f t="shared" si="0"/>
        <v>8</v>
      </c>
      <c r="C17" s="78"/>
      <c r="D17" s="266"/>
      <c r="E17" s="285"/>
      <c r="F17" s="135">
        <f>+SUM(G17:R17)</f>
        <v>0</v>
      </c>
      <c r="G17" s="420"/>
      <c r="H17" s="420"/>
      <c r="I17" s="420"/>
      <c r="J17" s="420"/>
      <c r="K17" s="433"/>
      <c r="L17" s="420"/>
      <c r="M17" s="420"/>
      <c r="N17" s="420"/>
      <c r="O17" s="420"/>
      <c r="P17" s="420"/>
      <c r="Q17" s="436"/>
      <c r="R17" s="398"/>
      <c r="S17" s="65"/>
      <c r="T17" s="65"/>
      <c r="U17" s="65"/>
    </row>
    <row r="18" spans="1:22" x14ac:dyDescent="0.25">
      <c r="A18" s="65"/>
      <c r="B18" s="77">
        <f t="shared" si="0"/>
        <v>9</v>
      </c>
      <c r="C18" s="78"/>
      <c r="D18" s="266"/>
      <c r="E18" s="285"/>
      <c r="F18" s="135"/>
      <c r="G18" s="421"/>
      <c r="H18" s="420"/>
      <c r="I18" s="420"/>
      <c r="J18" s="420"/>
      <c r="K18" s="420"/>
      <c r="L18" s="420"/>
      <c r="M18" s="420"/>
      <c r="N18" s="420"/>
      <c r="O18" s="420"/>
      <c r="P18" s="420"/>
      <c r="Q18" s="436"/>
      <c r="R18" s="398"/>
      <c r="S18" s="65"/>
      <c r="T18" s="65"/>
      <c r="U18" s="65"/>
    </row>
    <row r="19" spans="1:22" s="48" customFormat="1" x14ac:dyDescent="0.25">
      <c r="A19" s="65"/>
      <c r="B19" s="77">
        <f t="shared" si="0"/>
        <v>10</v>
      </c>
      <c r="C19" s="78"/>
      <c r="D19" s="275"/>
      <c r="E19" s="286" t="s">
        <v>179</v>
      </c>
      <c r="F19" s="288">
        <f>SUM(F14:F18)</f>
        <v>0</v>
      </c>
      <c r="G19" s="422">
        <f>SUM(G12:G18)</f>
        <v>0</v>
      </c>
      <c r="H19" s="422">
        <f>SUM(H12:H18)</f>
        <v>0</v>
      </c>
      <c r="I19" s="422">
        <f>SUM(I12:I17)</f>
        <v>0</v>
      </c>
      <c r="J19" s="422">
        <f>SUM(J12:J18)</f>
        <v>0</v>
      </c>
      <c r="K19" s="422">
        <f>SUM(K12:K17)</f>
        <v>0</v>
      </c>
      <c r="L19" s="422">
        <f>SUM(L12:L18)</f>
        <v>0</v>
      </c>
      <c r="M19" s="422"/>
      <c r="N19" s="434">
        <f>SUM(N12:N17)</f>
        <v>0</v>
      </c>
      <c r="O19" s="434">
        <f>SUM(O12:O18)</f>
        <v>0</v>
      </c>
      <c r="P19" s="434">
        <f>SUM(P12:P18)</f>
        <v>0</v>
      </c>
      <c r="Q19" s="437">
        <f>SUM(Q12:Q18)</f>
        <v>0</v>
      </c>
      <c r="R19" s="401">
        <f>SUM(R12:R18)</f>
        <v>0</v>
      </c>
      <c r="S19" s="65"/>
      <c r="T19" s="65"/>
      <c r="U19" s="65"/>
      <c r="V19" s="67"/>
    </row>
    <row r="20" spans="1:22" ht="21" customHeight="1" x14ac:dyDescent="0.25">
      <c r="A20" s="65"/>
      <c r="B20" s="77">
        <f t="shared" si="0"/>
        <v>11</v>
      </c>
      <c r="C20" s="78"/>
      <c r="E20" s="64"/>
      <c r="F20" s="135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36"/>
      <c r="R20" s="398"/>
      <c r="S20" s="65"/>
      <c r="T20" s="65"/>
      <c r="U20" s="65"/>
    </row>
    <row r="21" spans="1:22" x14ac:dyDescent="0.25">
      <c r="A21" s="81"/>
      <c r="B21" s="77">
        <f t="shared" si="0"/>
        <v>12</v>
      </c>
      <c r="C21" s="78"/>
      <c r="D21" s="64" t="s">
        <v>47</v>
      </c>
      <c r="F21" s="291"/>
      <c r="G21" s="420"/>
      <c r="H21" s="425"/>
      <c r="I21" s="425"/>
      <c r="J21" s="425"/>
      <c r="K21" s="425"/>
      <c r="L21" s="425"/>
      <c r="M21" s="425"/>
      <c r="N21" s="425"/>
      <c r="O21" s="425"/>
      <c r="P21" s="425"/>
      <c r="Q21" s="438"/>
      <c r="R21" s="3"/>
      <c r="S21" s="65"/>
      <c r="T21" s="65"/>
      <c r="U21" s="65"/>
    </row>
    <row r="22" spans="1:22" x14ac:dyDescent="0.25">
      <c r="A22" s="81"/>
      <c r="B22" s="77">
        <f t="shared" si="0"/>
        <v>13</v>
      </c>
      <c r="C22" s="78"/>
      <c r="D22" s="266"/>
      <c r="E22" s="285"/>
      <c r="F22" s="135"/>
      <c r="G22" s="420"/>
      <c r="H22" s="425"/>
      <c r="I22" s="425"/>
      <c r="J22" s="425"/>
      <c r="K22" s="425"/>
      <c r="L22" s="425"/>
      <c r="M22" s="425"/>
      <c r="N22" s="425"/>
      <c r="O22" s="425"/>
      <c r="P22" s="425"/>
      <c r="Q22" s="438"/>
      <c r="R22" s="3"/>
      <c r="S22" s="65"/>
      <c r="T22" s="65"/>
      <c r="U22" s="65"/>
    </row>
    <row r="23" spans="1:22" x14ac:dyDescent="0.25">
      <c r="A23" s="65"/>
      <c r="B23" s="77">
        <f t="shared" si="0"/>
        <v>14</v>
      </c>
      <c r="C23" s="78"/>
      <c r="D23" s="266" t="str">
        <f>+'1.0 Inc. Stmt. RB '!D21</f>
        <v xml:space="preserve">Salary &amp; Wages </v>
      </c>
      <c r="E23" s="285"/>
      <c r="F23" s="135">
        <f t="shared" ref="F23:F53" si="1">+SUM(G23:R23)</f>
        <v>104116.55</v>
      </c>
      <c r="G23" s="420">
        <v>92605.27</v>
      </c>
      <c r="H23" s="425">
        <v>11511.28</v>
      </c>
      <c r="I23" s="425"/>
      <c r="J23" s="425"/>
      <c r="K23" s="425"/>
      <c r="L23" s="425"/>
      <c r="M23" s="425"/>
      <c r="N23" s="425"/>
      <c r="O23" s="425"/>
      <c r="P23" s="425"/>
      <c r="Q23" s="438"/>
      <c r="R23" s="3"/>
      <c r="S23" s="65"/>
      <c r="T23" s="65"/>
      <c r="U23" s="65"/>
    </row>
    <row r="24" spans="1:22" x14ac:dyDescent="0.25">
      <c r="A24" s="65"/>
      <c r="B24" s="77">
        <f t="shared" si="0"/>
        <v>15</v>
      </c>
      <c r="C24" s="78"/>
      <c r="D24" s="266" t="s">
        <v>49</v>
      </c>
      <c r="E24" s="285"/>
      <c r="F24" s="135">
        <f t="shared" si="1"/>
        <v>8613.76</v>
      </c>
      <c r="G24" s="420"/>
      <c r="H24" s="425"/>
      <c r="I24" s="425">
        <v>7505.08</v>
      </c>
      <c r="J24" s="425">
        <v>1108.68</v>
      </c>
      <c r="K24" s="425"/>
      <c r="L24" s="425"/>
      <c r="M24" s="425"/>
      <c r="N24" s="425"/>
      <c r="O24" s="425"/>
      <c r="P24" s="425"/>
      <c r="Q24" s="438"/>
      <c r="R24" s="3"/>
      <c r="S24" s="65"/>
      <c r="T24" s="65"/>
      <c r="U24" s="65"/>
    </row>
    <row r="25" spans="1:22" x14ac:dyDescent="0.25">
      <c r="A25" s="65"/>
      <c r="B25" s="77">
        <f t="shared" si="0"/>
        <v>16</v>
      </c>
      <c r="C25" s="78"/>
      <c r="D25" s="266" t="s">
        <v>50</v>
      </c>
      <c r="E25" s="285"/>
      <c r="F25" s="135">
        <f t="shared" si="1"/>
        <v>-11081.85</v>
      </c>
      <c r="G25" s="420"/>
      <c r="H25" s="425"/>
      <c r="I25" s="425"/>
      <c r="J25" s="425"/>
      <c r="K25" s="425">
        <v>-11081.85</v>
      </c>
      <c r="L25" s="425"/>
      <c r="M25" s="425"/>
      <c r="N25" s="425"/>
      <c r="O25" s="425"/>
      <c r="P25" s="425"/>
      <c r="Q25" s="438"/>
      <c r="R25" s="3"/>
      <c r="S25" s="65"/>
      <c r="T25" s="65"/>
      <c r="U25" s="65"/>
    </row>
    <row r="26" spans="1:22" x14ac:dyDescent="0.25">
      <c r="A26" s="65"/>
      <c r="B26" s="77">
        <f t="shared" si="0"/>
        <v>17</v>
      </c>
      <c r="C26" s="78"/>
      <c r="D26" s="266" t="str">
        <f>+'1.0 Inc. Stmt. RB '!D24</f>
        <v>Bank Service Charges</v>
      </c>
      <c r="E26" s="285"/>
      <c r="F26" s="135">
        <f t="shared" si="1"/>
        <v>0</v>
      </c>
      <c r="G26" s="420"/>
      <c r="H26" s="425"/>
      <c r="I26" s="425"/>
      <c r="J26" s="425"/>
      <c r="K26" s="425"/>
      <c r="L26" s="425"/>
      <c r="M26" s="425"/>
      <c r="N26" s="425"/>
      <c r="O26" s="425"/>
      <c r="P26" s="425"/>
      <c r="Q26" s="438"/>
      <c r="R26" s="3"/>
      <c r="S26" s="65"/>
      <c r="T26" s="65"/>
      <c r="U26" s="65"/>
    </row>
    <row r="27" spans="1:22" s="381" customFormat="1" x14ac:dyDescent="0.25">
      <c r="A27" s="375"/>
      <c r="B27" s="376">
        <f t="shared" si="0"/>
        <v>18</v>
      </c>
      <c r="C27" s="377"/>
      <c r="D27" s="378" t="str">
        <f>+'1.0 Inc. Stmt. RB '!D25</f>
        <v>Public Utility Taxes</v>
      </c>
      <c r="E27" s="379"/>
      <c r="F27" s="407">
        <f t="shared" si="1"/>
        <v>0</v>
      </c>
      <c r="G27" s="423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382"/>
      <c r="S27" s="375"/>
      <c r="T27" s="375"/>
      <c r="U27" s="375"/>
    </row>
    <row r="28" spans="1:22" x14ac:dyDescent="0.25">
      <c r="A28" s="65"/>
      <c r="B28" s="77">
        <f t="shared" si="0"/>
        <v>19</v>
      </c>
      <c r="C28" s="78"/>
      <c r="D28" s="266" t="str">
        <f>+'1.0 Inc. Stmt. RB '!D26</f>
        <v>Copier Lease (Minolta)</v>
      </c>
      <c r="E28" s="285"/>
      <c r="F28" s="135">
        <f t="shared" si="1"/>
        <v>0</v>
      </c>
      <c r="G28" s="420"/>
      <c r="H28" s="425"/>
      <c r="I28" s="425"/>
      <c r="J28" s="425"/>
      <c r="K28" s="425"/>
      <c r="L28" s="425"/>
      <c r="M28" s="425"/>
      <c r="N28" s="425"/>
      <c r="O28" s="425"/>
      <c r="P28" s="425"/>
      <c r="Q28" s="438"/>
      <c r="R28" s="3"/>
      <c r="S28" s="65"/>
      <c r="T28" s="65"/>
      <c r="U28" s="65"/>
    </row>
    <row r="29" spans="1:22" x14ac:dyDescent="0.25">
      <c r="A29" s="65"/>
      <c r="B29" s="77">
        <f t="shared" si="0"/>
        <v>20</v>
      </c>
      <c r="C29" s="78"/>
      <c r="D29" s="266" t="str">
        <f>+'1.0 Inc. Stmt. RB '!D27</f>
        <v>Repairs</v>
      </c>
      <c r="E29" s="285"/>
      <c r="F29" s="135">
        <f t="shared" si="1"/>
        <v>0</v>
      </c>
      <c r="G29" s="420"/>
      <c r="H29" s="425"/>
      <c r="I29" s="425"/>
      <c r="J29" s="425"/>
      <c r="K29" s="425"/>
      <c r="L29" s="425"/>
      <c r="M29" s="425"/>
      <c r="N29" s="425"/>
      <c r="O29" s="425"/>
      <c r="P29" s="425"/>
      <c r="Q29" s="438"/>
      <c r="R29" s="3"/>
      <c r="S29" s="65"/>
      <c r="T29" s="65"/>
      <c r="U29" s="65"/>
    </row>
    <row r="30" spans="1:22" x14ac:dyDescent="0.25">
      <c r="A30" s="65"/>
      <c r="B30" s="77">
        <f t="shared" si="0"/>
        <v>21</v>
      </c>
      <c r="C30" s="78"/>
      <c r="D30" s="266" t="str">
        <f>+'1.0 Inc. Stmt. RB '!D28</f>
        <v>Insurance</v>
      </c>
      <c r="E30" s="285"/>
      <c r="F30" s="135">
        <f t="shared" si="1"/>
        <v>0</v>
      </c>
      <c r="G30" s="420"/>
      <c r="H30" s="425"/>
      <c r="I30" s="425"/>
      <c r="J30" s="425"/>
      <c r="K30" s="425"/>
      <c r="L30" s="425"/>
      <c r="M30" s="425"/>
      <c r="N30" s="425"/>
      <c r="O30" s="425"/>
      <c r="P30" s="425"/>
      <c r="Q30" s="438"/>
      <c r="R30" s="3"/>
      <c r="S30" s="65"/>
      <c r="T30" s="65"/>
      <c r="U30" s="65"/>
    </row>
    <row r="31" spans="1:22" ht="15" customHeight="1" x14ac:dyDescent="0.25">
      <c r="A31" s="65"/>
      <c r="B31" s="77">
        <f t="shared" si="0"/>
        <v>22</v>
      </c>
      <c r="C31" s="78"/>
      <c r="D31" s="266" t="str">
        <f>+'1.0 Inc. Stmt. RB '!D29</f>
        <v>License and Permits</v>
      </c>
      <c r="E31" s="285"/>
      <c r="F31" s="135">
        <f t="shared" si="1"/>
        <v>0</v>
      </c>
      <c r="G31" s="420"/>
      <c r="H31" s="425"/>
      <c r="I31" s="425"/>
      <c r="J31" s="425"/>
      <c r="K31" s="425"/>
      <c r="L31" s="425"/>
      <c r="M31" s="425"/>
      <c r="N31" s="425"/>
      <c r="O31" s="425"/>
      <c r="P31" s="425"/>
      <c r="Q31" s="438"/>
      <c r="R31" s="3"/>
      <c r="S31" s="65"/>
      <c r="T31" s="65"/>
      <c r="U31" s="65"/>
    </row>
    <row r="32" spans="1:22" x14ac:dyDescent="0.25">
      <c r="A32" s="65"/>
      <c r="B32" s="77">
        <f t="shared" si="0"/>
        <v>23</v>
      </c>
      <c r="C32" s="78"/>
      <c r="D32" s="266" t="str">
        <f>+'1.0 Inc. Stmt. RB '!D30</f>
        <v>Vegetation Management / Landscaping</v>
      </c>
      <c r="E32" s="285"/>
      <c r="F32" s="135">
        <f t="shared" si="1"/>
        <v>0</v>
      </c>
      <c r="G32" s="420"/>
      <c r="H32" s="425"/>
      <c r="I32" s="425"/>
      <c r="J32" s="425"/>
      <c r="K32" s="425"/>
      <c r="L32" s="425"/>
      <c r="M32" s="425"/>
      <c r="N32" s="425"/>
      <c r="O32" s="425"/>
      <c r="P32" s="425"/>
      <c r="Q32" s="438"/>
      <c r="R32" s="3"/>
      <c r="S32" s="65"/>
      <c r="T32" s="65"/>
      <c r="U32" s="65"/>
    </row>
    <row r="33" spans="1:22" x14ac:dyDescent="0.25">
      <c r="A33" s="65"/>
      <c r="B33" s="77">
        <f t="shared" si="0"/>
        <v>24</v>
      </c>
      <c r="C33" s="78"/>
      <c r="D33" s="266" t="str">
        <f>+'1.0 Inc. Stmt. RB '!D31</f>
        <v>Depreciation Expense</v>
      </c>
      <c r="E33" s="285"/>
      <c r="F33" s="135">
        <f t="shared" si="1"/>
        <v>1654</v>
      </c>
      <c r="G33" s="420"/>
      <c r="H33" s="425"/>
      <c r="I33" s="425"/>
      <c r="J33" s="425"/>
      <c r="K33" s="425"/>
      <c r="L33" s="425"/>
      <c r="M33" s="425"/>
      <c r="N33" s="425"/>
      <c r="O33" s="425"/>
      <c r="P33" s="425"/>
      <c r="Q33" s="438">
        <v>1654</v>
      </c>
      <c r="R33" s="3"/>
      <c r="S33" s="65"/>
      <c r="T33" s="65"/>
      <c r="U33" s="65"/>
    </row>
    <row r="34" spans="1:22" x14ac:dyDescent="0.25">
      <c r="A34" s="65"/>
      <c r="B34" s="77">
        <f t="shared" si="0"/>
        <v>25</v>
      </c>
      <c r="C34" s="78"/>
      <c r="D34" s="266" t="str">
        <f>+'1.0 Inc. Stmt. RB '!D32</f>
        <v>Amort of CIAC</v>
      </c>
      <c r="E34" s="285"/>
      <c r="F34" s="135">
        <f t="shared" si="1"/>
        <v>0</v>
      </c>
      <c r="G34" s="420"/>
      <c r="H34" s="425"/>
      <c r="I34" s="425"/>
      <c r="J34" s="425"/>
      <c r="K34" s="425"/>
      <c r="L34" s="425"/>
      <c r="M34" s="425"/>
      <c r="N34" s="425"/>
      <c r="O34" s="425"/>
      <c r="P34" s="425"/>
      <c r="Q34" s="438"/>
      <c r="R34" s="3"/>
      <c r="S34" s="65"/>
      <c r="T34" s="65"/>
      <c r="U34" s="65"/>
    </row>
    <row r="35" spans="1:22" x14ac:dyDescent="0.25">
      <c r="A35" s="65"/>
      <c r="B35" s="77">
        <f t="shared" si="0"/>
        <v>26</v>
      </c>
      <c r="C35" s="78"/>
      <c r="D35" s="266" t="str">
        <f>+'1.0 Inc. Stmt. RB '!D33</f>
        <v>Office Supplies</v>
      </c>
      <c r="E35" s="285"/>
      <c r="F35" s="135">
        <f t="shared" si="1"/>
        <v>0</v>
      </c>
      <c r="G35" s="420"/>
      <c r="H35" s="425"/>
      <c r="I35" s="425"/>
      <c r="J35" s="425"/>
      <c r="K35" s="425"/>
      <c r="L35" s="425"/>
      <c r="M35" s="425"/>
      <c r="N35" s="425"/>
      <c r="O35" s="425"/>
      <c r="P35" s="425"/>
      <c r="Q35" s="438"/>
      <c r="R35" s="3"/>
      <c r="S35" s="65"/>
      <c r="T35" s="65"/>
      <c r="U35" s="65"/>
    </row>
    <row r="36" spans="1:22" x14ac:dyDescent="0.25">
      <c r="A36" s="65"/>
      <c r="B36" s="77">
        <f t="shared" si="0"/>
        <v>27</v>
      </c>
      <c r="C36" s="78"/>
      <c r="D36" s="266" t="str">
        <f>+'1.0 Inc. Stmt. RB '!D34</f>
        <v>Property Tax</v>
      </c>
      <c r="E36" s="285"/>
      <c r="F36" s="135">
        <f t="shared" si="1"/>
        <v>757</v>
      </c>
      <c r="G36" s="420"/>
      <c r="H36" s="425"/>
      <c r="I36" s="425"/>
      <c r="J36" s="425"/>
      <c r="K36" s="425"/>
      <c r="L36" s="425"/>
      <c r="M36" s="425"/>
      <c r="N36" s="425"/>
      <c r="O36" s="425"/>
      <c r="P36" s="425">
        <v>757</v>
      </c>
      <c r="Q36" s="438"/>
      <c r="R36" s="3"/>
      <c r="S36" s="65"/>
      <c r="T36" s="65"/>
      <c r="U36" s="65"/>
    </row>
    <row r="37" spans="1:22" s="381" customFormat="1" x14ac:dyDescent="0.25">
      <c r="A37" s="375"/>
      <c r="B37" s="376">
        <f t="shared" si="0"/>
        <v>28</v>
      </c>
      <c r="C37" s="377"/>
      <c r="D37" s="378" t="str">
        <f>+'1.0 Inc. Stmt. RB '!D35</f>
        <v>WUTC Regulatory Fee</v>
      </c>
      <c r="E37" s="379"/>
      <c r="F37" s="407">
        <f t="shared" si="1"/>
        <v>0</v>
      </c>
      <c r="G37" s="423"/>
      <c r="H37" s="430"/>
      <c r="I37" s="430"/>
      <c r="J37" s="430"/>
      <c r="K37" s="430"/>
      <c r="L37" s="430"/>
      <c r="M37" s="430"/>
      <c r="N37" s="430"/>
      <c r="O37" s="430"/>
      <c r="P37" s="430"/>
      <c r="Q37" s="430"/>
      <c r="R37" s="382"/>
      <c r="S37" s="375"/>
      <c r="T37" s="375"/>
      <c r="U37" s="375"/>
    </row>
    <row r="38" spans="1:22" x14ac:dyDescent="0.25">
      <c r="A38" s="65"/>
      <c r="B38" s="77">
        <f t="shared" si="0"/>
        <v>29</v>
      </c>
      <c r="C38" s="78"/>
      <c r="D38" s="266" t="str">
        <f>+'1.0 Inc. Stmt. RB '!D36</f>
        <v xml:space="preserve">Postage </v>
      </c>
      <c r="E38" s="285"/>
      <c r="F38" s="135">
        <f t="shared" si="1"/>
        <v>636.73739999999998</v>
      </c>
      <c r="G38" s="420"/>
      <c r="H38" s="425"/>
      <c r="I38" s="425"/>
      <c r="J38" s="425"/>
      <c r="K38" s="425"/>
      <c r="L38" s="425"/>
      <c r="M38" s="425"/>
      <c r="N38" s="425"/>
      <c r="O38" s="425">
        <f>'1.0 Inc. Stmt. RB '!F36*0.078</f>
        <v>636.73739999999998</v>
      </c>
      <c r="P38" s="425"/>
      <c r="Q38" s="438"/>
      <c r="R38" s="3"/>
      <c r="S38" s="65"/>
      <c r="T38" s="65"/>
      <c r="U38" s="65"/>
    </row>
    <row r="39" spans="1:22" x14ac:dyDescent="0.25">
      <c r="A39" s="65"/>
      <c r="B39" s="77">
        <f t="shared" si="0"/>
        <v>30</v>
      </c>
      <c r="C39" s="78"/>
      <c r="D39" s="266" t="str">
        <f>+'1.0 Inc. Stmt. RB '!D37</f>
        <v>IT Support</v>
      </c>
      <c r="E39" s="285"/>
      <c r="F39" s="135">
        <f t="shared" si="1"/>
        <v>0</v>
      </c>
      <c r="G39" s="420"/>
      <c r="H39" s="425"/>
      <c r="I39" s="425"/>
      <c r="J39" s="425"/>
      <c r="K39" s="425"/>
      <c r="L39" s="425"/>
      <c r="M39" s="425"/>
      <c r="N39" s="425"/>
      <c r="O39" s="425"/>
      <c r="P39" s="425"/>
      <c r="Q39" s="438"/>
      <c r="R39" s="3"/>
      <c r="S39" s="65"/>
      <c r="T39" s="65"/>
      <c r="U39" s="65"/>
    </row>
    <row r="40" spans="1:22" x14ac:dyDescent="0.25">
      <c r="A40" s="65"/>
      <c r="B40" s="77">
        <f t="shared" si="0"/>
        <v>31</v>
      </c>
      <c r="C40" s="78"/>
      <c r="D40" s="266" t="str">
        <f>+'1.0 Inc. Stmt. RB '!D38</f>
        <v>Legal</v>
      </c>
      <c r="E40" s="285"/>
      <c r="F40" s="135">
        <f t="shared" si="1"/>
        <v>0</v>
      </c>
      <c r="G40" s="420"/>
      <c r="H40" s="425"/>
      <c r="I40" s="425"/>
      <c r="J40" s="425"/>
      <c r="K40" s="425"/>
      <c r="L40" s="425"/>
      <c r="M40" s="425"/>
      <c r="N40" s="425"/>
      <c r="O40" s="425"/>
      <c r="P40" s="425"/>
      <c r="Q40" s="438"/>
      <c r="R40" s="3"/>
      <c r="S40" s="65"/>
      <c r="T40" s="65"/>
      <c r="U40" s="65"/>
    </row>
    <row r="41" spans="1:22" x14ac:dyDescent="0.25">
      <c r="A41" s="65"/>
      <c r="B41" s="77">
        <f t="shared" si="0"/>
        <v>32</v>
      </c>
      <c r="C41" s="78"/>
      <c r="D41" s="266" t="str">
        <f>+'1.0 Inc. Stmt. RB '!D39</f>
        <v>Engineering</v>
      </c>
      <c r="E41" s="285"/>
      <c r="F41" s="135">
        <f t="shared" si="1"/>
        <v>0</v>
      </c>
      <c r="G41" s="420"/>
      <c r="H41" s="425"/>
      <c r="I41" s="425"/>
      <c r="J41" s="425"/>
      <c r="K41" s="425"/>
      <c r="L41" s="425"/>
      <c r="M41" s="425"/>
      <c r="N41" s="425"/>
      <c r="O41" s="425"/>
      <c r="P41" s="425"/>
      <c r="Q41" s="438"/>
      <c r="R41" s="3"/>
      <c r="S41" s="65"/>
      <c r="T41" s="65"/>
      <c r="U41" s="65"/>
    </row>
    <row r="42" spans="1:22" x14ac:dyDescent="0.25">
      <c r="A42" s="65"/>
      <c r="B42" s="77">
        <f t="shared" si="0"/>
        <v>33</v>
      </c>
      <c r="C42" s="78"/>
      <c r="D42" s="266" t="str">
        <f>+'1.0 Inc. Stmt. RB '!D40</f>
        <v>Accounting</v>
      </c>
      <c r="E42" s="285"/>
      <c r="F42" s="135">
        <f t="shared" si="1"/>
        <v>0</v>
      </c>
      <c r="G42" s="420"/>
      <c r="H42" s="425"/>
      <c r="I42" s="425"/>
      <c r="J42" s="425"/>
      <c r="K42" s="425"/>
      <c r="L42" s="425"/>
      <c r="M42" s="425"/>
      <c r="N42" s="425"/>
      <c r="O42" s="425"/>
      <c r="P42" s="425"/>
      <c r="Q42" s="438"/>
      <c r="R42" s="3"/>
      <c r="S42" s="65"/>
      <c r="T42" s="65"/>
      <c r="U42" s="65"/>
    </row>
    <row r="43" spans="1:22" x14ac:dyDescent="0.25">
      <c r="A43" s="65"/>
      <c r="B43" s="77">
        <f t="shared" ref="B43:B76" si="2">+B42+1</f>
        <v>34</v>
      </c>
      <c r="C43" s="78"/>
      <c r="D43" s="266" t="str">
        <f>+'1.0 Inc. Stmt. RB '!D41</f>
        <v>Garbage Service</v>
      </c>
      <c r="E43" s="285"/>
      <c r="F43" s="135">
        <f t="shared" si="1"/>
        <v>0</v>
      </c>
      <c r="G43" s="420"/>
      <c r="H43" s="425"/>
      <c r="I43" s="425"/>
      <c r="J43" s="425"/>
      <c r="K43" s="425"/>
      <c r="L43" s="425"/>
      <c r="M43" s="425"/>
      <c r="N43" s="425"/>
      <c r="O43" s="425"/>
      <c r="P43" s="425"/>
      <c r="Q43" s="438"/>
      <c r="R43" s="3"/>
      <c r="S43" s="65"/>
      <c r="T43" s="65"/>
      <c r="U43" s="65"/>
    </row>
    <row r="44" spans="1:22" x14ac:dyDescent="0.25">
      <c r="A44" s="65"/>
      <c r="B44" s="77">
        <f t="shared" si="2"/>
        <v>35</v>
      </c>
      <c r="C44" s="78"/>
      <c r="D44" s="266" t="str">
        <f>+'1.0 Inc. Stmt. RB '!D42</f>
        <v>Rent</v>
      </c>
      <c r="E44" s="285"/>
      <c r="F44" s="135">
        <f t="shared" si="1"/>
        <v>46800</v>
      </c>
      <c r="G44" s="420"/>
      <c r="H44" s="425"/>
      <c r="I44" s="425"/>
      <c r="J44" s="425"/>
      <c r="K44" s="425"/>
      <c r="L44" s="425">
        <f>3900*12</f>
        <v>46800</v>
      </c>
      <c r="M44" s="425"/>
      <c r="N44" s="425"/>
      <c r="O44" s="425"/>
      <c r="P44" s="425"/>
      <c r="Q44" s="438"/>
      <c r="R44" s="3"/>
      <c r="S44" s="65"/>
      <c r="T44" s="65"/>
      <c r="U44" s="65"/>
      <c r="V44" s="82"/>
    </row>
    <row r="45" spans="1:22" x14ac:dyDescent="0.25">
      <c r="A45" s="65"/>
      <c r="B45" s="77">
        <f t="shared" si="2"/>
        <v>36</v>
      </c>
      <c r="C45" s="78"/>
      <c r="D45" s="266" t="str">
        <f>+'1.0 Inc. Stmt. RB '!D43</f>
        <v xml:space="preserve">Pond and General Maint </v>
      </c>
      <c r="E45" s="285"/>
      <c r="F45" s="135">
        <f t="shared" si="1"/>
        <v>0</v>
      </c>
      <c r="G45" s="420"/>
      <c r="H45" s="425"/>
      <c r="I45" s="425"/>
      <c r="J45" s="425"/>
      <c r="K45" s="425"/>
      <c r="L45" s="425"/>
      <c r="M45" s="425"/>
      <c r="N45" s="425"/>
      <c r="O45" s="425"/>
      <c r="P45" s="425"/>
      <c r="Q45" s="438"/>
      <c r="R45" s="3"/>
      <c r="S45" s="65"/>
      <c r="T45" s="65"/>
      <c r="U45" s="65"/>
    </row>
    <row r="46" spans="1:22" x14ac:dyDescent="0.25">
      <c r="A46" s="65"/>
      <c r="B46" s="77">
        <f t="shared" si="2"/>
        <v>37</v>
      </c>
      <c r="C46" s="78"/>
      <c r="D46" s="266" t="str">
        <f>+'1.0 Inc. Stmt. RB '!D44</f>
        <v>Rate Case Expense</v>
      </c>
      <c r="E46" s="285"/>
      <c r="F46" s="135">
        <f t="shared" si="1"/>
        <v>25462</v>
      </c>
      <c r="G46" s="420"/>
      <c r="H46" s="425"/>
      <c r="I46" s="425"/>
      <c r="J46" s="425"/>
      <c r="K46" s="425"/>
      <c r="L46" s="425"/>
      <c r="M46" s="425"/>
      <c r="N46" s="425">
        <v>25462</v>
      </c>
      <c r="O46" s="425"/>
      <c r="P46" s="425"/>
      <c r="Q46" s="438"/>
      <c r="R46" s="3"/>
      <c r="S46" s="65"/>
      <c r="T46" s="65"/>
      <c r="U46" s="65"/>
    </row>
    <row r="47" spans="1:22" x14ac:dyDescent="0.25">
      <c r="A47" s="65"/>
      <c r="B47" s="77">
        <f t="shared" si="2"/>
        <v>38</v>
      </c>
      <c r="C47" s="78"/>
      <c r="D47" s="266" t="s">
        <v>223</v>
      </c>
      <c r="E47" s="285"/>
      <c r="F47" s="135">
        <f t="shared" si="1"/>
        <v>0</v>
      </c>
      <c r="G47" s="420"/>
      <c r="H47" s="425"/>
      <c r="I47" s="425"/>
      <c r="J47" s="425"/>
      <c r="K47" s="425"/>
      <c r="L47" s="425"/>
      <c r="M47" s="425"/>
      <c r="N47" s="425"/>
      <c r="O47" s="425"/>
      <c r="P47" s="425"/>
      <c r="Q47" s="438"/>
      <c r="R47" s="3"/>
      <c r="S47" s="65"/>
      <c r="T47" s="65"/>
      <c r="U47" s="65"/>
    </row>
    <row r="48" spans="1:22" x14ac:dyDescent="0.25">
      <c r="A48" s="65"/>
      <c r="B48" s="77">
        <f t="shared" si="2"/>
        <v>39</v>
      </c>
      <c r="C48" s="78"/>
      <c r="D48" s="266" t="str">
        <f>+'1.0 Inc. Stmt. RB '!D46</f>
        <v>Dues and Fees</v>
      </c>
      <c r="E48" s="285"/>
      <c r="F48" s="135">
        <f t="shared" si="1"/>
        <v>0</v>
      </c>
      <c r="G48" s="420"/>
      <c r="H48" s="425"/>
      <c r="I48" s="425"/>
      <c r="J48" s="425"/>
      <c r="K48" s="425"/>
      <c r="L48" s="425"/>
      <c r="M48" s="425"/>
      <c r="N48" s="425"/>
      <c r="O48" s="425"/>
      <c r="P48" s="425"/>
      <c r="Q48" s="438"/>
      <c r="R48" s="3"/>
      <c r="S48" s="65"/>
      <c r="T48" s="65"/>
      <c r="U48" s="65"/>
    </row>
    <row r="49" spans="1:22" x14ac:dyDescent="0.25">
      <c r="A49" s="65"/>
      <c r="B49" s="77">
        <f t="shared" si="2"/>
        <v>40</v>
      </c>
      <c r="C49" s="78"/>
      <c r="D49" s="266" t="str">
        <f>+'1.0 Inc. Stmt. RB '!D47</f>
        <v xml:space="preserve">Fuel </v>
      </c>
      <c r="E49" s="285"/>
      <c r="F49" s="135">
        <f t="shared" si="1"/>
        <v>0</v>
      </c>
      <c r="G49" s="420"/>
      <c r="H49" s="425"/>
      <c r="I49" s="425"/>
      <c r="J49" s="425"/>
      <c r="K49" s="425"/>
      <c r="L49" s="425"/>
      <c r="M49" s="425"/>
      <c r="N49" s="425"/>
      <c r="O49" s="425"/>
      <c r="P49" s="425"/>
      <c r="Q49" s="438"/>
      <c r="R49" s="3"/>
      <c r="S49" s="65"/>
      <c r="T49" s="65"/>
      <c r="U49" s="65"/>
    </row>
    <row r="50" spans="1:22" x14ac:dyDescent="0.25">
      <c r="A50" s="65"/>
      <c r="B50" s="77">
        <f t="shared" si="2"/>
        <v>41</v>
      </c>
      <c r="C50" s="78"/>
      <c r="D50" s="266" t="str">
        <f>+'1.0 Inc. Stmt. RB '!D48</f>
        <v>Other Professional Services</v>
      </c>
      <c r="E50" s="285"/>
      <c r="F50" s="135">
        <f t="shared" si="1"/>
        <v>0</v>
      </c>
      <c r="G50" s="420"/>
      <c r="H50" s="425"/>
      <c r="I50" s="425"/>
      <c r="J50" s="425"/>
      <c r="K50" s="425"/>
      <c r="L50" s="425"/>
      <c r="M50" s="425"/>
      <c r="N50" s="425"/>
      <c r="O50" s="425"/>
      <c r="P50" s="425"/>
      <c r="Q50" s="438"/>
      <c r="R50" s="3"/>
      <c r="S50" s="65"/>
      <c r="T50" s="65"/>
      <c r="U50" s="65"/>
    </row>
    <row r="51" spans="1:22" x14ac:dyDescent="0.25">
      <c r="A51" s="65"/>
      <c r="B51" s="77">
        <f t="shared" si="2"/>
        <v>42</v>
      </c>
      <c r="C51" s="78"/>
      <c r="D51" s="266" t="str">
        <f>+'1.0 Inc. Stmt. RB '!D49</f>
        <v xml:space="preserve">Utility / Power </v>
      </c>
      <c r="E51" s="285"/>
      <c r="F51" s="135">
        <f t="shared" si="1"/>
        <v>0</v>
      </c>
      <c r="G51" s="420"/>
      <c r="H51" s="425"/>
      <c r="I51" s="425"/>
      <c r="J51" s="425"/>
      <c r="K51" s="425"/>
      <c r="L51" s="425"/>
      <c r="M51" s="425"/>
      <c r="N51" s="425"/>
      <c r="O51" s="425"/>
      <c r="P51" s="425"/>
      <c r="Q51" s="438"/>
      <c r="R51" s="3"/>
      <c r="S51" s="65"/>
      <c r="T51" s="65"/>
      <c r="U51" s="65"/>
    </row>
    <row r="52" spans="1:22" x14ac:dyDescent="0.25">
      <c r="A52" s="65"/>
      <c r="B52" s="77">
        <f t="shared" si="2"/>
        <v>43</v>
      </c>
      <c r="C52" s="78"/>
      <c r="D52" s="266" t="str">
        <f>+'1.0 Inc. Stmt. RB '!D50</f>
        <v xml:space="preserve">Office Utilities &amp; Internet </v>
      </c>
      <c r="E52" s="285"/>
      <c r="F52" s="135">
        <f t="shared" si="1"/>
        <v>0</v>
      </c>
      <c r="G52" s="420"/>
      <c r="H52" s="425"/>
      <c r="I52" s="425"/>
      <c r="J52" s="425"/>
      <c r="K52" s="425"/>
      <c r="L52" s="425"/>
      <c r="M52" s="425"/>
      <c r="N52" s="425"/>
      <c r="O52" s="425"/>
      <c r="P52" s="425"/>
      <c r="Q52" s="438"/>
      <c r="R52" s="3"/>
      <c r="S52" s="65"/>
      <c r="T52" s="65"/>
      <c r="U52" s="65"/>
    </row>
    <row r="53" spans="1:22" x14ac:dyDescent="0.25">
      <c r="A53" s="65"/>
      <c r="B53" s="77">
        <f t="shared" si="2"/>
        <v>44</v>
      </c>
      <c r="C53" s="78"/>
      <c r="D53" s="266" t="str">
        <f>+'1.0 Inc. Stmt. RB '!D51</f>
        <v>Water Testing</v>
      </c>
      <c r="E53" s="285"/>
      <c r="F53" s="135">
        <f t="shared" si="1"/>
        <v>0</v>
      </c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36"/>
      <c r="R53" s="398"/>
      <c r="S53" s="65"/>
      <c r="T53" s="65"/>
      <c r="U53" s="65"/>
    </row>
    <row r="54" spans="1:22" x14ac:dyDescent="0.25">
      <c r="A54" s="65"/>
      <c r="B54" s="77">
        <f t="shared" si="2"/>
        <v>45</v>
      </c>
      <c r="C54" s="78"/>
      <c r="D54" s="266" t="str">
        <f>+'1.0 Inc. Stmt. RB '!D52</f>
        <v>Total Operating Expenses</v>
      </c>
      <c r="E54" s="286" t="s">
        <v>224</v>
      </c>
      <c r="F54" s="136">
        <f>SUM(F22:F53)</f>
        <v>176958.1974</v>
      </c>
      <c r="G54" s="424">
        <f>SUM(G22:G53)</f>
        <v>92605.27</v>
      </c>
      <c r="H54" s="424">
        <f>SUM(H22:H53)</f>
        <v>11511.28</v>
      </c>
      <c r="I54" s="424">
        <f>SUM(I22:I53)</f>
        <v>7505.08</v>
      </c>
      <c r="J54" s="424">
        <f>SUM(J22:J53)</f>
        <v>1108.68</v>
      </c>
      <c r="K54" s="424">
        <f>SUM(K21:K53)</f>
        <v>-11081.85</v>
      </c>
      <c r="L54" s="424">
        <f>SUM(L22:L53)</f>
        <v>46800</v>
      </c>
      <c r="M54" s="424"/>
      <c r="N54" s="424">
        <f>SUM(N21:N53)</f>
        <v>25462</v>
      </c>
      <c r="O54" s="424">
        <f>SUM(O22:O53)</f>
        <v>636.73739999999998</v>
      </c>
      <c r="P54" s="424">
        <f>SUM(P22:P53)</f>
        <v>757</v>
      </c>
      <c r="Q54" s="439">
        <f>SUM(Q22:Q53)</f>
        <v>1654</v>
      </c>
      <c r="R54" s="402">
        <f>SUM(R22:R53)</f>
        <v>0</v>
      </c>
      <c r="S54" s="65"/>
      <c r="T54" s="65"/>
      <c r="U54" s="65"/>
      <c r="V54" s="84"/>
    </row>
    <row r="55" spans="1:22" x14ac:dyDescent="0.25">
      <c r="A55" s="65"/>
      <c r="B55" s="77">
        <f t="shared" si="2"/>
        <v>46</v>
      </c>
      <c r="C55" s="78"/>
      <c r="D55" s="266"/>
      <c r="E55" s="35"/>
      <c r="F55" s="135"/>
      <c r="G55" s="420"/>
      <c r="H55" s="420"/>
      <c r="I55" s="420"/>
      <c r="J55" s="420"/>
      <c r="K55" s="420"/>
      <c r="L55" s="420"/>
      <c r="M55" s="420"/>
      <c r="N55" s="420"/>
      <c r="O55" s="420"/>
      <c r="P55" s="420"/>
      <c r="Q55" s="436"/>
      <c r="R55" s="398"/>
      <c r="S55" s="65"/>
      <c r="T55" s="65"/>
      <c r="U55" s="65"/>
    </row>
    <row r="56" spans="1:22" x14ac:dyDescent="0.25">
      <c r="A56" s="65"/>
      <c r="B56" s="77">
        <f t="shared" si="2"/>
        <v>47</v>
      </c>
      <c r="C56" s="78"/>
      <c r="D56" s="266" t="str">
        <f>+'1.0 Inc. Stmt. RB '!D54</f>
        <v>Operating Income</v>
      </c>
      <c r="E56" s="35"/>
      <c r="F56" s="135"/>
      <c r="G56" s="420"/>
      <c r="H56" s="420"/>
      <c r="I56" s="420"/>
      <c r="J56" s="420"/>
      <c r="K56" s="420"/>
      <c r="L56" s="420"/>
      <c r="M56" s="420"/>
      <c r="N56" s="420"/>
      <c r="O56" s="420"/>
      <c r="P56" s="420"/>
      <c r="Q56" s="436"/>
      <c r="R56" s="398"/>
      <c r="S56" s="65"/>
      <c r="T56" s="65"/>
      <c r="U56" s="65"/>
    </row>
    <row r="57" spans="1:22" x14ac:dyDescent="0.25">
      <c r="A57" s="65"/>
      <c r="B57" s="77">
        <f t="shared" si="2"/>
        <v>48</v>
      </c>
      <c r="C57" s="78"/>
      <c r="D57" s="266" t="str">
        <f>+'1.0 Inc. Stmt. RB '!D55</f>
        <v xml:space="preserve"> before interest and taxes</v>
      </c>
      <c r="E57" s="286" t="s">
        <v>188</v>
      </c>
      <c r="F57" s="136">
        <f>+F19-F54</f>
        <v>-176958.1974</v>
      </c>
      <c r="G57" s="424">
        <f>+G19-G54</f>
        <v>-92605.27</v>
      </c>
      <c r="H57" s="424">
        <f>+H19-H54</f>
        <v>-11511.28</v>
      </c>
      <c r="I57" s="424"/>
      <c r="J57" s="424">
        <f>+J19-J54</f>
        <v>-1108.68</v>
      </c>
      <c r="K57" s="424"/>
      <c r="L57" s="424">
        <f t="shared" ref="L57:R57" si="3">+L19-L54</f>
        <v>-46800</v>
      </c>
      <c r="M57" s="424">
        <f t="shared" si="3"/>
        <v>0</v>
      </c>
      <c r="N57" s="424">
        <f t="shared" si="3"/>
        <v>-25462</v>
      </c>
      <c r="O57" s="424">
        <f t="shared" si="3"/>
        <v>-636.73739999999998</v>
      </c>
      <c r="P57" s="424">
        <f t="shared" si="3"/>
        <v>-757</v>
      </c>
      <c r="Q57" s="439">
        <f t="shared" ref="Q57" si="4">+Q19-Q54</f>
        <v>-1654</v>
      </c>
      <c r="R57" s="402">
        <f t="shared" si="3"/>
        <v>0</v>
      </c>
      <c r="S57" s="65"/>
      <c r="T57" s="65"/>
      <c r="U57" s="65"/>
    </row>
    <row r="58" spans="1:22" x14ac:dyDescent="0.25">
      <c r="A58" s="65"/>
      <c r="B58" s="77">
        <f t="shared" si="2"/>
        <v>49</v>
      </c>
      <c r="C58" s="78"/>
      <c r="E58" s="285"/>
      <c r="F58" s="291"/>
      <c r="G58" s="420"/>
      <c r="H58" s="420"/>
      <c r="I58" s="420"/>
      <c r="J58" s="420"/>
      <c r="K58" s="420"/>
      <c r="L58" s="420"/>
      <c r="M58" s="420"/>
      <c r="N58" s="420"/>
      <c r="O58" s="420"/>
      <c r="P58" s="420"/>
      <c r="Q58" s="436"/>
      <c r="R58" s="398"/>
      <c r="S58" s="65"/>
      <c r="T58" s="65"/>
      <c r="U58" s="65"/>
    </row>
    <row r="59" spans="1:22" x14ac:dyDescent="0.25">
      <c r="A59" s="65"/>
      <c r="B59" s="77">
        <f t="shared" si="2"/>
        <v>50</v>
      </c>
      <c r="C59" s="78"/>
      <c r="D59" s="266" t="s">
        <v>91</v>
      </c>
      <c r="E59" s="292" t="s">
        <v>225</v>
      </c>
      <c r="F59" s="135">
        <f>+SUM(G59:O59)</f>
        <v>-17958.926454</v>
      </c>
      <c r="G59" s="425"/>
      <c r="H59" s="425">
        <f>+H57*'5.1 Income Taxes'!$N$27</f>
        <v>-2417.3688000000002</v>
      </c>
      <c r="I59" s="425">
        <f>+I57*'5.1 Income Taxes'!$N$27</f>
        <v>0</v>
      </c>
      <c r="J59" s="425">
        <f>+J57*'5.1 Income Taxes'!$N$27</f>
        <v>-232.8228</v>
      </c>
      <c r="K59" s="425">
        <f>+K57*'5.1 Income Taxes'!$N$27</f>
        <v>0</v>
      </c>
      <c r="L59" s="425">
        <f>+L57*'5.1 Income Taxes'!$N$27</f>
        <v>-9828</v>
      </c>
      <c r="M59" s="425">
        <f>+M57*'5.1 Income Taxes'!$N$27</f>
        <v>0</v>
      </c>
      <c r="N59" s="425">
        <f>+N57*'5.1 Income Taxes'!$N$27</f>
        <v>-5347.0199999999995</v>
      </c>
      <c r="O59" s="425">
        <f>+O57*'5.1 Income Taxes'!$N$27</f>
        <v>-133.714854</v>
      </c>
      <c r="P59" s="425">
        <f>+P57*'5.1 Income Taxes'!$N$27</f>
        <v>-158.97</v>
      </c>
      <c r="Q59" s="438">
        <f>+Q57*'5.1 Income Taxes'!$N$27</f>
        <v>-347.34</v>
      </c>
      <c r="R59" s="3">
        <f>+R57*'5.1 Income Taxes'!$N$27</f>
        <v>0</v>
      </c>
      <c r="S59" s="65"/>
      <c r="T59" s="65"/>
      <c r="U59" s="65"/>
    </row>
    <row r="60" spans="1:22" ht="20.25" customHeight="1" thickBot="1" x14ac:dyDescent="0.3">
      <c r="A60" s="65"/>
      <c r="B60" s="77">
        <f t="shared" si="2"/>
        <v>51</v>
      </c>
      <c r="C60" s="78"/>
      <c r="D60" s="266" t="str">
        <f>+'1.0 Inc. Stmt. RB '!D58</f>
        <v>Net Operating Income</v>
      </c>
      <c r="E60" s="293" t="s">
        <v>190</v>
      </c>
      <c r="F60" s="137">
        <f t="shared" ref="F60:P60" si="5">+F57-F59</f>
        <v>-158999.270946</v>
      </c>
      <c r="G60" s="426">
        <f t="shared" si="5"/>
        <v>-92605.27</v>
      </c>
      <c r="H60" s="426">
        <f t="shared" si="5"/>
        <v>-9093.9112000000005</v>
      </c>
      <c r="I60" s="426">
        <f t="shared" si="5"/>
        <v>0</v>
      </c>
      <c r="J60" s="426">
        <f t="shared" si="5"/>
        <v>-875.85720000000003</v>
      </c>
      <c r="K60" s="426">
        <f t="shared" si="5"/>
        <v>0</v>
      </c>
      <c r="L60" s="426">
        <f t="shared" si="5"/>
        <v>-36972</v>
      </c>
      <c r="M60" s="426">
        <f t="shared" si="5"/>
        <v>0</v>
      </c>
      <c r="N60" s="426">
        <f t="shared" si="5"/>
        <v>-20114.98</v>
      </c>
      <c r="O60" s="426">
        <f t="shared" si="5"/>
        <v>-503.02254599999998</v>
      </c>
      <c r="P60" s="426">
        <f t="shared" si="5"/>
        <v>-598.03</v>
      </c>
      <c r="Q60" s="440">
        <f>+Q57-Q59</f>
        <v>-1306.6600000000001</v>
      </c>
      <c r="R60" s="403">
        <f>+R57-R59</f>
        <v>0</v>
      </c>
      <c r="S60" s="65"/>
      <c r="T60" s="65"/>
      <c r="U60" s="65"/>
    </row>
    <row r="61" spans="1:22" ht="16.5" thickTop="1" x14ac:dyDescent="0.25">
      <c r="A61" s="65"/>
      <c r="B61" s="77">
        <f t="shared" si="2"/>
        <v>52</v>
      </c>
      <c r="C61" s="78"/>
      <c r="D61" s="266"/>
      <c r="E61" s="294"/>
      <c r="F61" s="135"/>
      <c r="G61" s="420"/>
      <c r="H61" s="420"/>
      <c r="I61" s="420"/>
      <c r="J61" s="420"/>
      <c r="K61" s="420"/>
      <c r="L61" s="420"/>
      <c r="M61" s="420"/>
      <c r="N61" s="420"/>
      <c r="O61" s="420"/>
      <c r="P61" s="420"/>
      <c r="Q61" s="436"/>
      <c r="R61" s="398"/>
      <c r="S61" s="65"/>
      <c r="T61" s="65"/>
      <c r="U61" s="65"/>
    </row>
    <row r="62" spans="1:22" x14ac:dyDescent="0.25">
      <c r="A62" s="65"/>
      <c r="B62" s="77">
        <f t="shared" si="2"/>
        <v>53</v>
      </c>
      <c r="C62" s="78"/>
      <c r="D62" s="266" t="str">
        <f>+'1.0 Inc. Stmt. RB '!D60</f>
        <v>Rate Base</v>
      </c>
      <c r="E62" s="61"/>
      <c r="F62" s="135"/>
      <c r="G62" s="420"/>
      <c r="H62" s="420"/>
      <c r="I62" s="420"/>
      <c r="J62" s="420"/>
      <c r="K62" s="420"/>
      <c r="L62" s="420"/>
      <c r="M62" s="420"/>
      <c r="N62" s="420"/>
      <c r="O62" s="420"/>
      <c r="P62" s="420"/>
      <c r="Q62" s="436"/>
      <c r="R62" s="398"/>
      <c r="S62" s="65"/>
      <c r="T62" s="65"/>
      <c r="U62" s="65"/>
    </row>
    <row r="63" spans="1:22" x14ac:dyDescent="0.25">
      <c r="A63" s="65"/>
      <c r="B63" s="77">
        <f t="shared" si="2"/>
        <v>54</v>
      </c>
      <c r="C63" s="78"/>
      <c r="D63" s="266"/>
      <c r="F63" s="135"/>
      <c r="G63" s="420"/>
      <c r="H63" s="420"/>
      <c r="I63" s="420"/>
      <c r="J63" s="420"/>
      <c r="K63" s="420"/>
      <c r="L63" s="420"/>
      <c r="M63" s="420"/>
      <c r="N63" s="420"/>
      <c r="O63" s="420"/>
      <c r="P63" s="420"/>
      <c r="Q63" s="436"/>
      <c r="R63" s="398"/>
      <c r="S63" s="65"/>
      <c r="T63" s="65"/>
      <c r="U63" s="65"/>
    </row>
    <row r="64" spans="1:22" x14ac:dyDescent="0.25">
      <c r="A64" s="65"/>
      <c r="B64" s="77">
        <f t="shared" si="2"/>
        <v>55</v>
      </c>
      <c r="D64" s="266" t="str">
        <f>+'1.0 Inc. Stmt. RB '!D62</f>
        <v>Plant in Service</v>
      </c>
      <c r="E64" s="35" t="s">
        <v>99</v>
      </c>
      <c r="F64" s="135">
        <f>+SUM(G64:O64)</f>
        <v>0</v>
      </c>
      <c r="G64" s="420"/>
      <c r="H64" s="420"/>
      <c r="I64" s="420"/>
      <c r="J64" s="420"/>
      <c r="K64" s="420"/>
      <c r="L64" s="420"/>
      <c r="M64" s="420"/>
      <c r="N64" s="420"/>
      <c r="O64" s="420"/>
      <c r="P64" s="420"/>
      <c r="Q64" s="436"/>
      <c r="R64" s="398">
        <v>25103</v>
      </c>
      <c r="S64" s="65"/>
      <c r="T64" s="65"/>
      <c r="U64" s="65"/>
    </row>
    <row r="65" spans="1:21" x14ac:dyDescent="0.25">
      <c r="A65" s="65"/>
      <c r="B65" s="77">
        <f t="shared" si="2"/>
        <v>56</v>
      </c>
      <c r="D65" s="266" t="str">
        <f>+'1.0 Inc. Stmt. RB '!D63</f>
        <v>Acc. Depreciation</v>
      </c>
      <c r="E65" s="35" t="s">
        <v>99</v>
      </c>
      <c r="F65" s="135">
        <f>+SUM(G65:O65)</f>
        <v>0</v>
      </c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36"/>
      <c r="R65" s="398">
        <v>-1255</v>
      </c>
      <c r="S65" s="65"/>
      <c r="T65" s="65"/>
      <c r="U65" s="65"/>
    </row>
    <row r="66" spans="1:21" x14ac:dyDescent="0.25">
      <c r="A66" s="65"/>
      <c r="B66" s="77">
        <f t="shared" si="2"/>
        <v>57</v>
      </c>
      <c r="D66" s="266" t="str">
        <f>+'1.0 Inc. Stmt. RB '!D64</f>
        <v>Net Plant in Service</v>
      </c>
      <c r="E66" s="271" t="s">
        <v>102</v>
      </c>
      <c r="F66" s="136">
        <f>+F64+F65</f>
        <v>0</v>
      </c>
      <c r="G66" s="427"/>
      <c r="H66" s="424">
        <f t="shared" ref="H66:P66" si="6">+H64+H65</f>
        <v>0</v>
      </c>
      <c r="I66" s="424">
        <f t="shared" si="6"/>
        <v>0</v>
      </c>
      <c r="J66" s="424">
        <f t="shared" si="6"/>
        <v>0</v>
      </c>
      <c r="K66" s="424">
        <f t="shared" si="6"/>
        <v>0</v>
      </c>
      <c r="L66" s="424">
        <f t="shared" si="6"/>
        <v>0</v>
      </c>
      <c r="M66" s="424">
        <f t="shared" si="6"/>
        <v>0</v>
      </c>
      <c r="N66" s="424">
        <f t="shared" si="6"/>
        <v>0</v>
      </c>
      <c r="O66" s="424">
        <f t="shared" si="6"/>
        <v>0</v>
      </c>
      <c r="P66" s="424">
        <f t="shared" si="6"/>
        <v>0</v>
      </c>
      <c r="Q66" s="439">
        <f>+Q64+Q65</f>
        <v>0</v>
      </c>
      <c r="R66" s="402">
        <f>+R64+R65</f>
        <v>23848</v>
      </c>
      <c r="S66" s="65"/>
      <c r="T66" s="65"/>
      <c r="U66" s="65"/>
    </row>
    <row r="67" spans="1:21" x14ac:dyDescent="0.25">
      <c r="A67" s="65"/>
      <c r="B67" s="77">
        <f t="shared" si="2"/>
        <v>58</v>
      </c>
      <c r="D67" s="266"/>
      <c r="E67" s="76"/>
      <c r="F67" s="135"/>
      <c r="G67" s="428"/>
      <c r="H67" s="420"/>
      <c r="I67" s="420"/>
      <c r="J67" s="420"/>
      <c r="K67" s="420"/>
      <c r="L67" s="420"/>
      <c r="M67" s="420"/>
      <c r="N67" s="420"/>
      <c r="O67" s="420"/>
      <c r="P67" s="420"/>
      <c r="Q67" s="436"/>
      <c r="R67" s="398"/>
      <c r="S67" s="65"/>
      <c r="T67" s="65"/>
      <c r="U67" s="65"/>
    </row>
    <row r="68" spans="1:21" x14ac:dyDescent="0.25">
      <c r="A68" s="65"/>
      <c r="B68" s="77">
        <f t="shared" si="2"/>
        <v>59</v>
      </c>
      <c r="D68" s="266" t="str">
        <f>+'1.0 Inc. Stmt. RB '!D66</f>
        <v>Net CIAC</v>
      </c>
      <c r="E68" s="35" t="s">
        <v>104</v>
      </c>
      <c r="F68" s="135">
        <f>+SUM(G68:O68)</f>
        <v>0</v>
      </c>
      <c r="G68" s="420"/>
      <c r="H68" s="420"/>
      <c r="I68" s="420"/>
      <c r="J68" s="420"/>
      <c r="K68" s="420"/>
      <c r="L68" s="420"/>
      <c r="M68" s="420"/>
      <c r="N68" s="420"/>
      <c r="O68" s="420"/>
      <c r="P68" s="420"/>
      <c r="Q68" s="436"/>
      <c r="R68" s="398"/>
      <c r="S68" s="65"/>
      <c r="T68" s="65"/>
      <c r="U68" s="65"/>
    </row>
    <row r="69" spans="1:21" x14ac:dyDescent="0.25">
      <c r="A69" s="65"/>
      <c r="B69" s="77">
        <f t="shared" si="2"/>
        <v>60</v>
      </c>
      <c r="D69" s="266" t="str">
        <f>+'1.0 Inc. Stmt. RB '!D67</f>
        <v>Net Other Deductions</v>
      </c>
      <c r="E69" s="35" t="s">
        <v>191</v>
      </c>
      <c r="F69" s="135">
        <f>+SUM(G69:O69)</f>
        <v>0</v>
      </c>
      <c r="G69" s="420"/>
      <c r="H69" s="420"/>
      <c r="I69" s="420"/>
      <c r="J69" s="420"/>
      <c r="K69" s="420"/>
      <c r="L69" s="420"/>
      <c r="M69" s="420"/>
      <c r="N69" s="420"/>
      <c r="O69" s="420"/>
      <c r="P69" s="420"/>
      <c r="Q69" s="436"/>
      <c r="R69" s="398"/>
      <c r="S69" s="65"/>
      <c r="T69" s="65"/>
      <c r="U69" s="65"/>
    </row>
    <row r="70" spans="1:21" x14ac:dyDescent="0.25">
      <c r="A70" s="65"/>
      <c r="B70" s="77">
        <f t="shared" si="2"/>
        <v>61</v>
      </c>
      <c r="D70" s="266" t="str">
        <f>+'1.0 Inc. Stmt. RB '!D68</f>
        <v>Working Capital</v>
      </c>
      <c r="E70" s="35" t="s">
        <v>107</v>
      </c>
      <c r="F70" s="135">
        <f>+SUM(G70:O70)</f>
        <v>9584.0484042857279</v>
      </c>
      <c r="G70" s="420"/>
      <c r="H70" s="420"/>
      <c r="I70" s="420"/>
      <c r="J70" s="420"/>
      <c r="K70" s="420"/>
      <c r="L70" s="420"/>
      <c r="M70" s="420">
        <f>+'2.3 Working Cap'!M20-'2.3 Working Cap'!K20</f>
        <v>9584.0484042857279</v>
      </c>
      <c r="N70" s="420"/>
      <c r="O70" s="420"/>
      <c r="P70" s="420"/>
      <c r="Q70" s="436"/>
      <c r="R70" s="398"/>
      <c r="S70" s="65"/>
      <c r="T70" s="65"/>
      <c r="U70" s="65"/>
    </row>
    <row r="71" spans="1:21" x14ac:dyDescent="0.25">
      <c r="A71" s="65"/>
      <c r="B71" s="77">
        <f t="shared" si="2"/>
        <v>62</v>
      </c>
      <c r="D71" s="266" t="str">
        <f>+'1.0 Inc. Stmt. RB '!D69</f>
        <v>Rate Base</v>
      </c>
      <c r="E71" s="271" t="s">
        <v>192</v>
      </c>
      <c r="F71" s="136">
        <f t="shared" ref="F71:P71" si="7">+F66+F68+F69+F70</f>
        <v>9584.0484042857279</v>
      </c>
      <c r="G71" s="429">
        <f t="shared" si="7"/>
        <v>0</v>
      </c>
      <c r="H71" s="424">
        <f t="shared" si="7"/>
        <v>0</v>
      </c>
      <c r="I71" s="424">
        <f t="shared" si="7"/>
        <v>0</v>
      </c>
      <c r="J71" s="424">
        <f t="shared" si="7"/>
        <v>0</v>
      </c>
      <c r="K71" s="424">
        <f t="shared" si="7"/>
        <v>0</v>
      </c>
      <c r="L71" s="424">
        <f t="shared" si="7"/>
        <v>0</v>
      </c>
      <c r="M71" s="424">
        <f t="shared" si="7"/>
        <v>9584.0484042857279</v>
      </c>
      <c r="N71" s="424">
        <f t="shared" si="7"/>
        <v>0</v>
      </c>
      <c r="O71" s="424">
        <f t="shared" si="7"/>
        <v>0</v>
      </c>
      <c r="P71" s="424">
        <f t="shared" si="7"/>
        <v>0</v>
      </c>
      <c r="Q71" s="439">
        <f>+Q66+Q68+Q69+Q70</f>
        <v>0</v>
      </c>
      <c r="R71" s="435">
        <f>+R66+R68+R69+R70</f>
        <v>23848</v>
      </c>
      <c r="S71" s="65"/>
      <c r="T71" s="65"/>
      <c r="U71" s="65"/>
    </row>
    <row r="72" spans="1:21" x14ac:dyDescent="0.25">
      <c r="A72" s="65"/>
      <c r="B72" s="77">
        <f t="shared" si="2"/>
        <v>63</v>
      </c>
      <c r="D72" s="266"/>
      <c r="F72" s="134"/>
      <c r="G72" s="420"/>
      <c r="H72" s="420"/>
      <c r="I72" s="420"/>
      <c r="J72" s="420"/>
      <c r="K72" s="420"/>
      <c r="L72" s="420"/>
      <c r="M72" s="420"/>
      <c r="N72" s="420"/>
      <c r="O72" s="420"/>
      <c r="P72" s="420"/>
      <c r="Q72" s="436"/>
      <c r="R72" s="398"/>
      <c r="S72" s="65"/>
      <c r="T72" s="65"/>
      <c r="U72" s="65"/>
    </row>
    <row r="73" spans="1:21" x14ac:dyDescent="0.25">
      <c r="A73" s="65"/>
      <c r="B73" s="77">
        <f t="shared" si="2"/>
        <v>64</v>
      </c>
      <c r="D73" s="266"/>
      <c r="E73" s="35"/>
      <c r="F73" s="138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36"/>
      <c r="R73" s="398"/>
      <c r="S73" s="65"/>
      <c r="T73" s="65"/>
      <c r="U73" s="65"/>
    </row>
    <row r="74" spans="1:21" x14ac:dyDescent="0.25">
      <c r="A74" s="65"/>
      <c r="B74" s="77">
        <f t="shared" si="2"/>
        <v>65</v>
      </c>
      <c r="D74" s="266"/>
      <c r="F74" s="135"/>
      <c r="G74" s="420"/>
      <c r="H74" s="420"/>
      <c r="I74" s="420"/>
      <c r="J74" s="420"/>
      <c r="K74" s="420"/>
      <c r="L74" s="420"/>
      <c r="M74" s="420"/>
      <c r="N74" s="420"/>
      <c r="O74" s="420"/>
      <c r="P74" s="420"/>
      <c r="Q74" s="436"/>
      <c r="R74" s="398"/>
      <c r="S74" s="65"/>
      <c r="T74" s="65"/>
      <c r="U74" s="65"/>
    </row>
    <row r="75" spans="1:21" ht="16.5" thickBot="1" x14ac:dyDescent="0.3">
      <c r="A75" s="65"/>
      <c r="B75" s="77">
        <f t="shared" si="2"/>
        <v>66</v>
      </c>
      <c r="D75" s="266"/>
      <c r="F75" s="139"/>
      <c r="G75" s="420"/>
      <c r="H75" s="420"/>
      <c r="I75" s="431"/>
      <c r="J75" s="420"/>
      <c r="K75" s="420"/>
      <c r="L75" s="420"/>
      <c r="M75" s="420"/>
      <c r="N75" s="420"/>
      <c r="O75" s="420"/>
      <c r="P75" s="420"/>
      <c r="Q75" s="436"/>
      <c r="R75" s="398"/>
      <c r="S75" s="65"/>
      <c r="T75" s="65"/>
      <c r="U75" s="65"/>
    </row>
    <row r="76" spans="1:21" ht="16.5" thickBot="1" x14ac:dyDescent="0.3">
      <c r="A76" s="65"/>
      <c r="B76" s="77">
        <f t="shared" si="2"/>
        <v>67</v>
      </c>
      <c r="C76" s="91"/>
      <c r="D76" s="92"/>
      <c r="E76" s="92"/>
      <c r="F76" s="133"/>
      <c r="G76" s="92"/>
      <c r="H76" s="93"/>
      <c r="I76" s="432"/>
      <c r="J76" s="432"/>
      <c r="K76" s="432"/>
      <c r="L76" s="432"/>
      <c r="M76" s="432"/>
      <c r="N76" s="432"/>
      <c r="O76" s="432"/>
      <c r="P76" s="432"/>
      <c r="Q76" s="441"/>
      <c r="R76" s="404"/>
      <c r="S76" s="65"/>
      <c r="T76" s="65"/>
      <c r="U76" s="65"/>
    </row>
    <row r="77" spans="1:21" x14ac:dyDescent="0.25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397"/>
      <c r="S77" s="65"/>
      <c r="T77" s="65"/>
      <c r="U77" s="65"/>
    </row>
    <row r="78" spans="1:21" x14ac:dyDescent="0.25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94"/>
      <c r="P78" s="65"/>
      <c r="Q78" s="65"/>
      <c r="R78" s="397"/>
      <c r="S78" s="65"/>
      <c r="T78" s="65"/>
      <c r="U78" s="65"/>
    </row>
    <row r="79" spans="1:21" x14ac:dyDescent="0.25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97"/>
      <c r="Q79" s="97"/>
      <c r="R79" s="406"/>
      <c r="S79" s="65"/>
      <c r="T79" s="65"/>
      <c r="U79" s="65"/>
    </row>
    <row r="80" spans="1:21" x14ac:dyDescent="0.25">
      <c r="A80" s="65"/>
      <c r="B80" s="65"/>
      <c r="C80" s="65"/>
      <c r="D80" s="95"/>
      <c r="E80" s="95"/>
      <c r="F80" s="96"/>
      <c r="G80" s="65"/>
      <c r="H80" s="96"/>
      <c r="I80" s="65"/>
      <c r="J80" s="96"/>
      <c r="K80" s="65"/>
      <c r="L80" s="96"/>
      <c r="M80" s="96"/>
      <c r="N80" s="65"/>
      <c r="O80" s="96"/>
      <c r="P80" s="96"/>
      <c r="Q80" s="96"/>
      <c r="R80" s="405"/>
      <c r="S80" s="65"/>
      <c r="T80" s="65"/>
      <c r="U80" s="65"/>
    </row>
    <row r="81" spans="1:21" x14ac:dyDescent="0.25">
      <c r="A81" s="65"/>
      <c r="B81" s="65"/>
      <c r="C81" s="65"/>
      <c r="D81" s="95"/>
      <c r="E81" s="95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405"/>
      <c r="S81" s="65"/>
      <c r="T81" s="65"/>
      <c r="U81" s="65"/>
    </row>
  </sheetData>
  <phoneticPr fontId="0" type="noConversion"/>
  <printOptions horizontalCentered="1" gridLinesSet="0"/>
  <pageMargins left="0.25" right="0.25" top="0.42" bottom="0.42" header="0.25" footer="0.2"/>
  <pageSetup scale="60" orientation="portrait" r:id="rId1"/>
  <headerFooter alignWithMargins="0">
    <oddFooter>&amp;L&amp;8&amp;T  &amp;D&amp;R&amp;8&amp;F &amp;A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53"/>
  <sheetViews>
    <sheetView showGridLines="0" zoomScaleNormal="100" workbookViewId="0"/>
  </sheetViews>
  <sheetFormatPr defaultRowHeight="15.75" x14ac:dyDescent="0.25"/>
  <cols>
    <col min="1" max="1" width="6.625" customWidth="1"/>
    <col min="2" max="2" width="5.125" style="11" customWidth="1"/>
    <col min="3" max="3" width="3.25" customWidth="1"/>
    <col min="4" max="4" width="6.75" customWidth="1"/>
    <col min="5" max="5" width="21" customWidth="1"/>
    <col min="6" max="6" width="6.375" customWidth="1"/>
    <col min="7" max="7" width="13" customWidth="1"/>
    <col min="8" max="8" width="3.25" customWidth="1"/>
    <col min="9" max="9" width="13.75" customWidth="1"/>
    <col min="10" max="10" width="6" customWidth="1"/>
    <col min="11" max="11" width="13.25" customWidth="1"/>
    <col min="12" max="12" width="18.125" customWidth="1"/>
    <col min="13" max="13" width="14" customWidth="1"/>
    <col min="14" max="14" width="16.875" customWidth="1"/>
    <col min="15" max="15" width="18.625" customWidth="1"/>
  </cols>
  <sheetData>
    <row r="1" spans="1:15" x14ac:dyDescent="0.25">
      <c r="A1" s="1"/>
      <c r="B1" s="3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37"/>
      <c r="C2" s="6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219" t="str">
        <f>+cover!B8</f>
        <v>Summit View Water Works LLC</v>
      </c>
      <c r="L3" s="332" t="s">
        <v>6</v>
      </c>
      <c r="M3" s="1"/>
      <c r="N3" s="1"/>
      <c r="O3" s="1"/>
    </row>
    <row r="4" spans="1:15" x14ac:dyDescent="0.25">
      <c r="A4" s="1"/>
      <c r="B4" s="219" t="str">
        <f>+Test_Yr</f>
        <v>Test Year Ended December 31, 2023</v>
      </c>
      <c r="K4" s="32"/>
      <c r="M4" s="1"/>
      <c r="N4" s="1"/>
      <c r="O4" s="1"/>
    </row>
    <row r="5" spans="1:15" x14ac:dyDescent="0.25">
      <c r="A5" s="1"/>
      <c r="B5" s="45" t="s">
        <v>226</v>
      </c>
      <c r="M5" s="1"/>
      <c r="N5" s="1"/>
      <c r="O5" s="1"/>
    </row>
    <row r="6" spans="1:15" ht="20.25" x14ac:dyDescent="0.3">
      <c r="A6" s="1"/>
      <c r="G6" s="189" t="s">
        <v>227</v>
      </c>
      <c r="H6" s="189"/>
      <c r="M6" s="1"/>
      <c r="N6" s="1"/>
      <c r="O6" s="1"/>
    </row>
    <row r="7" spans="1:15" x14ac:dyDescent="0.25">
      <c r="A7" s="1"/>
      <c r="G7" s="3"/>
      <c r="H7" s="3"/>
      <c r="M7" s="1"/>
      <c r="N7" s="1"/>
      <c r="O7" s="1"/>
    </row>
    <row r="8" spans="1:15" x14ac:dyDescent="0.25">
      <c r="A8" s="1"/>
      <c r="B8" s="35" t="s">
        <v>18</v>
      </c>
      <c r="C8" s="5"/>
      <c r="G8" s="3"/>
      <c r="H8" s="3"/>
      <c r="M8" s="1"/>
      <c r="N8" s="1"/>
      <c r="O8" s="1"/>
    </row>
    <row r="9" spans="1:15" x14ac:dyDescent="0.25">
      <c r="A9" s="1"/>
      <c r="B9" s="118" t="s">
        <v>19</v>
      </c>
      <c r="C9" s="6"/>
      <c r="M9" s="1"/>
      <c r="N9" s="1"/>
      <c r="O9" s="1"/>
    </row>
    <row r="10" spans="1:15" x14ac:dyDescent="0.25">
      <c r="A10" s="1"/>
      <c r="B10" s="119">
        <v>1</v>
      </c>
      <c r="C10" s="35"/>
      <c r="E10" s="115" t="s">
        <v>9</v>
      </c>
      <c r="F10" s="115"/>
      <c r="G10" s="115" t="s">
        <v>10</v>
      </c>
      <c r="H10" s="115"/>
      <c r="I10" s="115" t="s">
        <v>11</v>
      </c>
      <c r="J10" s="226"/>
      <c r="K10" s="115" t="s">
        <v>12</v>
      </c>
      <c r="L10" s="115" t="s">
        <v>13</v>
      </c>
      <c r="M10" s="1"/>
      <c r="N10" s="1"/>
      <c r="O10" s="1"/>
    </row>
    <row r="11" spans="1:15" x14ac:dyDescent="0.25">
      <c r="A11" s="1"/>
      <c r="B11" s="119">
        <f>+B10+1</f>
        <v>2</v>
      </c>
      <c r="C11" s="35"/>
      <c r="E11" s="53"/>
      <c r="F11" s="53"/>
      <c r="G11" s="125" t="s">
        <v>97</v>
      </c>
      <c r="H11" s="125"/>
      <c r="I11" s="125" t="s">
        <v>151</v>
      </c>
      <c r="J11" s="225"/>
      <c r="K11" s="125" t="s">
        <v>24</v>
      </c>
      <c r="M11" s="1"/>
      <c r="N11" s="1"/>
      <c r="O11" s="1"/>
    </row>
    <row r="12" spans="1:15" x14ac:dyDescent="0.25">
      <c r="A12" s="1"/>
      <c r="B12" s="119">
        <f t="shared" ref="B12:B42" si="0">+B11+1</f>
        <v>3</v>
      </c>
      <c r="C12" s="35"/>
      <c r="E12" s="120" t="s">
        <v>228</v>
      </c>
      <c r="F12" s="120"/>
      <c r="G12" s="126" t="s">
        <v>21</v>
      </c>
      <c r="H12" s="126"/>
      <c r="I12" s="126" t="s">
        <v>27</v>
      </c>
      <c r="J12" s="224"/>
      <c r="K12" s="126" t="s">
        <v>229</v>
      </c>
      <c r="L12" s="126" t="s">
        <v>31</v>
      </c>
      <c r="M12" s="1"/>
      <c r="N12" s="1"/>
      <c r="O12" s="1"/>
    </row>
    <row r="13" spans="1:15" x14ac:dyDescent="0.25">
      <c r="A13" s="1"/>
      <c r="B13" s="119">
        <f t="shared" si="0"/>
        <v>4</v>
      </c>
      <c r="C13" s="35"/>
      <c r="G13" s="46"/>
      <c r="H13" s="46"/>
      <c r="I13" s="46"/>
      <c r="J13" s="46"/>
      <c r="K13" s="46"/>
      <c r="M13" s="1"/>
      <c r="N13" s="1"/>
      <c r="O13" s="1"/>
    </row>
    <row r="14" spans="1:15" x14ac:dyDescent="0.25">
      <c r="A14" s="1"/>
      <c r="B14" s="119">
        <f t="shared" si="0"/>
        <v>5</v>
      </c>
      <c r="C14" s="35"/>
      <c r="D14" s="50"/>
      <c r="E14" s="171" t="s">
        <v>98</v>
      </c>
      <c r="F14" s="171"/>
      <c r="G14" s="154">
        <f>+'3.1 Plant'!F41</f>
        <v>5418839</v>
      </c>
      <c r="H14" s="154"/>
      <c r="I14" s="46">
        <f>+'1.3 Pro Forma Adj'!R64</f>
        <v>25103</v>
      </c>
      <c r="J14" s="46" t="s">
        <v>207</v>
      </c>
      <c r="K14" s="46">
        <f>+I14+G14</f>
        <v>5443942</v>
      </c>
      <c r="L14" s="297" t="s">
        <v>230</v>
      </c>
      <c r="M14" s="1"/>
      <c r="N14" s="1"/>
      <c r="O14" s="1"/>
    </row>
    <row r="15" spans="1:15" x14ac:dyDescent="0.25">
      <c r="A15" s="1"/>
      <c r="B15" s="119">
        <f t="shared" si="0"/>
        <v>6</v>
      </c>
      <c r="C15" s="35"/>
      <c r="D15" s="51"/>
      <c r="E15" s="171" t="s">
        <v>231</v>
      </c>
      <c r="F15" s="171"/>
      <c r="G15" s="154">
        <f>-'3.1 Plant'!G41</f>
        <v>-1314110</v>
      </c>
      <c r="H15" s="154"/>
      <c r="I15" s="117">
        <f>+'1.3 Pro Forma Adj'!R65</f>
        <v>-1255</v>
      </c>
      <c r="J15" s="46" t="s">
        <v>232</v>
      </c>
      <c r="K15" s="46">
        <f>+I15+G15</f>
        <v>-1315365</v>
      </c>
      <c r="L15" s="297" t="s">
        <v>233</v>
      </c>
      <c r="M15" s="1"/>
      <c r="N15" s="1"/>
      <c r="O15" s="1"/>
    </row>
    <row r="16" spans="1:15" x14ac:dyDescent="0.25">
      <c r="A16" s="1"/>
      <c r="B16" s="119">
        <f t="shared" si="0"/>
        <v>7</v>
      </c>
      <c r="C16" s="35"/>
      <c r="D16" s="52"/>
      <c r="E16" s="171" t="s">
        <v>101</v>
      </c>
      <c r="F16" s="171"/>
      <c r="G16" s="47">
        <f>+G14+G15</f>
        <v>4104729</v>
      </c>
      <c r="H16" s="154"/>
      <c r="I16" s="47">
        <f>SUM(I14:I15)</f>
        <v>23848</v>
      </c>
      <c r="J16" s="46"/>
      <c r="K16" s="47">
        <f>+K14+K15</f>
        <v>4128577</v>
      </c>
      <c r="L16" s="298" t="s">
        <v>234</v>
      </c>
      <c r="M16" s="1"/>
      <c r="N16" s="1"/>
      <c r="O16" s="1"/>
    </row>
    <row r="17" spans="1:15" x14ac:dyDescent="0.25">
      <c r="A17" s="1"/>
      <c r="B17" s="119">
        <f t="shared" si="0"/>
        <v>8</v>
      </c>
      <c r="C17" s="35"/>
      <c r="D17" s="52"/>
      <c r="E17" s="171"/>
      <c r="F17" s="171"/>
      <c r="G17" s="46"/>
      <c r="H17" s="154"/>
      <c r="I17" s="46"/>
      <c r="J17" s="46"/>
      <c r="K17" s="46"/>
      <c r="L17" s="299"/>
      <c r="M17" s="1"/>
      <c r="N17" s="1"/>
      <c r="O17" s="1"/>
    </row>
    <row r="18" spans="1:15" x14ac:dyDescent="0.25">
      <c r="A18" s="1"/>
      <c r="B18" s="119">
        <f t="shared" si="0"/>
        <v>9</v>
      </c>
      <c r="C18" s="35"/>
      <c r="D18" s="52"/>
      <c r="E18" s="173" t="s">
        <v>235</v>
      </c>
      <c r="F18" s="173"/>
      <c r="G18" s="46"/>
      <c r="H18" s="154"/>
      <c r="I18" s="46"/>
      <c r="J18" s="46"/>
      <c r="K18" s="46"/>
      <c r="L18" s="299"/>
      <c r="M18" s="1"/>
      <c r="N18" s="1"/>
      <c r="O18" s="1"/>
    </row>
    <row r="19" spans="1:15" x14ac:dyDescent="0.25">
      <c r="A19" s="1"/>
      <c r="B19" s="119">
        <f t="shared" si="0"/>
        <v>10</v>
      </c>
      <c r="C19" s="35"/>
      <c r="D19" s="50"/>
      <c r="E19" s="171" t="s">
        <v>236</v>
      </c>
      <c r="F19" s="171"/>
      <c r="G19" s="154">
        <f>+'2.2 CIAC'!E28</f>
        <v>1256550.46</v>
      </c>
      <c r="H19" s="154"/>
      <c r="I19" s="46"/>
      <c r="J19" s="46"/>
      <c r="K19" s="46">
        <f>+I19+G19</f>
        <v>1256550.46</v>
      </c>
      <c r="L19" s="297" t="s">
        <v>237</v>
      </c>
      <c r="M19" s="1"/>
      <c r="N19" s="1"/>
      <c r="O19" s="1"/>
    </row>
    <row r="20" spans="1:15" x14ac:dyDescent="0.25">
      <c r="A20" s="1"/>
      <c r="B20" s="119">
        <f t="shared" si="0"/>
        <v>11</v>
      </c>
      <c r="C20" s="35"/>
      <c r="D20" s="51"/>
      <c r="E20" s="171" t="s">
        <v>238</v>
      </c>
      <c r="F20" s="171"/>
      <c r="G20" s="154">
        <f>-'2.2 CIAC'!F28</f>
        <v>-471667.41841666197</v>
      </c>
      <c r="H20" s="154"/>
      <c r="I20" s="117"/>
      <c r="J20" s="46"/>
      <c r="K20" s="46">
        <f>+I20+G20</f>
        <v>-471667.41841666197</v>
      </c>
      <c r="L20" s="297" t="s">
        <v>239</v>
      </c>
      <c r="M20" s="1"/>
      <c r="N20" s="1"/>
      <c r="O20" s="1"/>
    </row>
    <row r="21" spans="1:15" x14ac:dyDescent="0.25">
      <c r="A21" s="1"/>
      <c r="B21" s="119">
        <f t="shared" si="0"/>
        <v>12</v>
      </c>
      <c r="C21" s="35"/>
      <c r="D21" s="52"/>
      <c r="E21" s="171" t="s">
        <v>103</v>
      </c>
      <c r="F21" s="171"/>
      <c r="G21" s="116">
        <f>+G19+G20</f>
        <v>784883.04158333805</v>
      </c>
      <c r="H21" s="154"/>
      <c r="I21" s="46">
        <f>SUM(I19:I20)</f>
        <v>0</v>
      </c>
      <c r="J21" s="46"/>
      <c r="K21" s="116">
        <f>+K19+K20</f>
        <v>784883.04158333805</v>
      </c>
      <c r="L21" s="297" t="s">
        <v>240</v>
      </c>
      <c r="M21" s="1"/>
      <c r="N21" s="1"/>
      <c r="O21" s="1"/>
    </row>
    <row r="22" spans="1:15" x14ac:dyDescent="0.25">
      <c r="A22" s="1"/>
      <c r="B22" s="119">
        <f t="shared" si="0"/>
        <v>13</v>
      </c>
      <c r="C22" s="35"/>
      <c r="D22" s="52"/>
      <c r="E22" s="171"/>
      <c r="F22" s="171"/>
      <c r="G22" s="46"/>
      <c r="H22" s="154"/>
      <c r="I22" s="46"/>
      <c r="J22" s="46"/>
      <c r="K22" s="46"/>
      <c r="L22" s="297"/>
      <c r="M22" s="1"/>
      <c r="N22" s="1"/>
      <c r="O22" s="1"/>
    </row>
    <row r="23" spans="1:15" x14ac:dyDescent="0.25">
      <c r="A23" s="1"/>
      <c r="B23" s="119">
        <f t="shared" si="0"/>
        <v>14</v>
      </c>
      <c r="C23" s="35"/>
      <c r="D23" s="52"/>
      <c r="E23" s="174" t="s">
        <v>241</v>
      </c>
      <c r="F23" s="174"/>
      <c r="G23" s="46"/>
      <c r="H23" s="154"/>
      <c r="I23" s="46"/>
      <c r="J23" s="46"/>
      <c r="K23" s="46"/>
      <c r="L23" s="297"/>
      <c r="M23" s="1"/>
      <c r="N23" s="1"/>
      <c r="O23" s="1"/>
    </row>
    <row r="24" spans="1:15" x14ac:dyDescent="0.25">
      <c r="A24" s="1"/>
      <c r="B24" s="119">
        <f t="shared" si="0"/>
        <v>15</v>
      </c>
      <c r="C24" s="35"/>
      <c r="D24" s="52"/>
      <c r="E24" s="171" t="s">
        <v>242</v>
      </c>
      <c r="F24" s="171"/>
      <c r="G24" s="46">
        <v>0</v>
      </c>
      <c r="H24" s="154"/>
      <c r="I24" s="46"/>
      <c r="J24" s="46"/>
      <c r="K24" s="46">
        <f>+I24+G24</f>
        <v>0</v>
      </c>
      <c r="L24" s="297" t="s">
        <v>243</v>
      </c>
      <c r="M24" s="1"/>
      <c r="N24" s="1"/>
      <c r="O24" s="1"/>
    </row>
    <row r="25" spans="1:15" x14ac:dyDescent="0.25">
      <c r="A25" s="1"/>
      <c r="B25" s="119">
        <f t="shared" si="0"/>
        <v>16</v>
      </c>
      <c r="C25" s="35"/>
      <c r="D25" s="52"/>
      <c r="E25" s="171" t="s">
        <v>244</v>
      </c>
      <c r="F25" s="171"/>
      <c r="G25" s="117">
        <v>0</v>
      </c>
      <c r="H25" s="154"/>
      <c r="I25" s="117"/>
      <c r="J25" s="46"/>
      <c r="K25" s="46">
        <f>+I25+G25</f>
        <v>0</v>
      </c>
      <c r="L25" s="297" t="s">
        <v>243</v>
      </c>
      <c r="M25" s="1"/>
      <c r="N25" s="1"/>
      <c r="O25" s="1"/>
    </row>
    <row r="26" spans="1:15" x14ac:dyDescent="0.25">
      <c r="A26" s="1"/>
      <c r="B26" s="119">
        <f t="shared" si="0"/>
        <v>17</v>
      </c>
      <c r="C26" s="35"/>
      <c r="D26" s="52"/>
      <c r="E26" s="171" t="s">
        <v>245</v>
      </c>
      <c r="F26" s="171"/>
      <c r="G26" s="46">
        <f>+G24+G25</f>
        <v>0</v>
      </c>
      <c r="H26" s="154"/>
      <c r="I26" s="46">
        <f>SUM(I24:I25)</f>
        <v>0</v>
      </c>
      <c r="J26" s="46"/>
      <c r="K26" s="116">
        <f>+K24+K25</f>
        <v>0</v>
      </c>
      <c r="L26" s="297" t="s">
        <v>246</v>
      </c>
      <c r="M26" s="1"/>
      <c r="N26" s="1"/>
      <c r="O26" s="1"/>
    </row>
    <row r="27" spans="1:15" x14ac:dyDescent="0.25">
      <c r="A27" s="1"/>
      <c r="B27" s="119">
        <f t="shared" si="0"/>
        <v>18</v>
      </c>
      <c r="C27" s="35"/>
      <c r="D27" s="52"/>
      <c r="E27" s="171"/>
      <c r="F27" s="171"/>
      <c r="G27" s="46"/>
      <c r="H27" s="154"/>
      <c r="I27" s="46"/>
      <c r="J27" s="46"/>
      <c r="K27" s="46"/>
      <c r="L27" s="297"/>
      <c r="M27" s="1"/>
      <c r="N27" s="1"/>
      <c r="O27" s="1"/>
    </row>
    <row r="28" spans="1:15" x14ac:dyDescent="0.25">
      <c r="A28" s="1"/>
      <c r="B28" s="119">
        <f t="shared" si="0"/>
        <v>19</v>
      </c>
      <c r="C28" s="35"/>
      <c r="D28" s="52"/>
      <c r="E28" s="172" t="s">
        <v>247</v>
      </c>
      <c r="F28" s="172"/>
      <c r="G28" s="117">
        <f>+G16-G21-G26</f>
        <v>3319845.9584166622</v>
      </c>
      <c r="H28" s="154"/>
      <c r="I28" s="117">
        <f>+I16+I21+I26</f>
        <v>23848</v>
      </c>
      <c r="J28" s="46"/>
      <c r="K28" s="117">
        <f>+K16-K21-K26</f>
        <v>3343693.9584166622</v>
      </c>
      <c r="L28" s="156" t="s">
        <v>248</v>
      </c>
      <c r="M28" s="1"/>
      <c r="N28" s="1"/>
      <c r="O28" s="1"/>
    </row>
    <row r="29" spans="1:15" ht="27.75" customHeight="1" x14ac:dyDescent="0.25">
      <c r="A29" s="1"/>
      <c r="B29" s="119">
        <f t="shared" si="0"/>
        <v>20</v>
      </c>
      <c r="C29" s="35"/>
      <c r="D29" s="52"/>
      <c r="E29" s="172" t="s">
        <v>106</v>
      </c>
      <c r="F29" s="172"/>
      <c r="G29" s="155">
        <v>0</v>
      </c>
      <c r="H29" s="154"/>
      <c r="I29" s="46">
        <f>+'2.3 Working Cap'!M20</f>
        <v>44500.02361592144</v>
      </c>
      <c r="J29" s="46"/>
      <c r="K29" s="47">
        <f>+I29+G29</f>
        <v>44500.02361592144</v>
      </c>
      <c r="L29" s="298" t="s">
        <v>249</v>
      </c>
      <c r="M29" s="1"/>
      <c r="N29" s="1"/>
      <c r="O29" s="1"/>
    </row>
    <row r="30" spans="1:15" ht="25.5" customHeight="1" thickBot="1" x14ac:dyDescent="0.3">
      <c r="A30" s="1"/>
      <c r="B30" s="119">
        <f t="shared" si="0"/>
        <v>21</v>
      </c>
      <c r="C30" s="35"/>
      <c r="D30" s="51"/>
      <c r="E30" s="172" t="s">
        <v>97</v>
      </c>
      <c r="F30" s="172"/>
      <c r="G30" s="49">
        <f>+G28+G29</f>
        <v>3319845.9584166622</v>
      </c>
      <c r="H30" s="154"/>
      <c r="I30" s="49">
        <f>+I16-I21+I29</f>
        <v>68348.02361592144</v>
      </c>
      <c r="J30" s="46"/>
      <c r="K30" s="49">
        <f>+K28+K29</f>
        <v>3388193.9820325836</v>
      </c>
      <c r="L30" s="298" t="s">
        <v>250</v>
      </c>
      <c r="M30" s="1"/>
      <c r="N30" s="1"/>
      <c r="O30" s="1"/>
    </row>
    <row r="31" spans="1:15" ht="16.5" thickTop="1" x14ac:dyDescent="0.25">
      <c r="A31" s="1"/>
      <c r="B31" s="119">
        <f t="shared" si="0"/>
        <v>22</v>
      </c>
      <c r="C31" s="35"/>
      <c r="H31" s="154"/>
      <c r="J31" s="46"/>
      <c r="M31" s="1"/>
      <c r="N31" s="1"/>
      <c r="O31" s="1"/>
    </row>
    <row r="32" spans="1:15" x14ac:dyDescent="0.25">
      <c r="A32" s="1"/>
      <c r="B32" s="119">
        <f t="shared" si="0"/>
        <v>23</v>
      </c>
      <c r="C32" s="35"/>
      <c r="D32" s="266"/>
      <c r="E32" s="266"/>
      <c r="F32" s="266"/>
      <c r="G32" s="195"/>
      <c r="H32" s="154"/>
      <c r="J32" s="46"/>
      <c r="M32" s="1"/>
      <c r="N32" s="1"/>
      <c r="O32" s="1"/>
    </row>
    <row r="33" spans="1:17" x14ac:dyDescent="0.25">
      <c r="A33" s="1"/>
      <c r="B33" s="119">
        <f t="shared" si="0"/>
        <v>24</v>
      </c>
      <c r="C33" s="35"/>
      <c r="D33" s="266"/>
      <c r="E33" s="266"/>
      <c r="F33" s="266"/>
      <c r="G33" s="195"/>
      <c r="H33" s="154"/>
      <c r="M33" s="1"/>
      <c r="N33" s="1"/>
      <c r="O33" s="1"/>
    </row>
    <row r="34" spans="1:17" x14ac:dyDescent="0.25">
      <c r="A34" s="1"/>
      <c r="B34" s="119">
        <f t="shared" si="0"/>
        <v>25</v>
      </c>
      <c r="C34" s="35"/>
      <c r="D34" s="266"/>
      <c r="E34" s="266"/>
      <c r="F34" s="266"/>
      <c r="J34" s="266"/>
      <c r="K34" s="266"/>
      <c r="L34" s="266"/>
      <c r="M34" s="1"/>
      <c r="N34" s="1"/>
      <c r="O34" s="1"/>
    </row>
    <row r="35" spans="1:17" x14ac:dyDescent="0.25">
      <c r="A35" s="1"/>
      <c r="B35" s="119">
        <f t="shared" si="0"/>
        <v>26</v>
      </c>
      <c r="C35" s="35"/>
      <c r="D35" s="266"/>
      <c r="E35" s="266"/>
      <c r="F35" s="266"/>
      <c r="M35" s="1"/>
      <c r="N35" s="1"/>
      <c r="O35" s="1"/>
    </row>
    <row r="36" spans="1:17" x14ac:dyDescent="0.25">
      <c r="A36" s="1"/>
      <c r="B36" s="119">
        <f t="shared" si="0"/>
        <v>27</v>
      </c>
      <c r="C36" s="35"/>
      <c r="D36" s="266"/>
      <c r="E36" s="266"/>
      <c r="F36" s="266"/>
      <c r="M36" s="1"/>
      <c r="N36" s="1"/>
      <c r="O36" s="1"/>
    </row>
    <row r="37" spans="1:17" x14ac:dyDescent="0.25">
      <c r="A37" s="1"/>
      <c r="B37" s="119">
        <f t="shared" si="0"/>
        <v>28</v>
      </c>
      <c r="C37" s="35"/>
      <c r="D37" s="266"/>
      <c r="E37" s="266"/>
      <c r="F37" s="266"/>
      <c r="M37" s="1"/>
      <c r="N37" s="1"/>
      <c r="O37" s="1"/>
    </row>
    <row r="38" spans="1:17" x14ac:dyDescent="0.25">
      <c r="A38" s="1"/>
      <c r="B38" s="119">
        <f t="shared" si="0"/>
        <v>29</v>
      </c>
      <c r="C38" s="35"/>
      <c r="D38" s="266"/>
      <c r="E38" s="266"/>
      <c r="F38" s="266"/>
      <c r="M38" s="1"/>
      <c r="N38" s="1"/>
      <c r="O38" s="1"/>
    </row>
    <row r="39" spans="1:17" x14ac:dyDescent="0.25">
      <c r="A39" s="1"/>
      <c r="B39" s="119">
        <f t="shared" si="0"/>
        <v>30</v>
      </c>
      <c r="C39" s="35"/>
      <c r="M39" s="1"/>
      <c r="N39" s="1"/>
      <c r="O39" s="1"/>
    </row>
    <row r="40" spans="1:17" x14ac:dyDescent="0.25">
      <c r="A40" s="1"/>
      <c r="B40" s="119">
        <f t="shared" si="0"/>
        <v>31</v>
      </c>
      <c r="C40" s="35"/>
      <c r="M40" s="1"/>
      <c r="N40" s="1"/>
      <c r="O40" s="1"/>
    </row>
    <row r="41" spans="1:17" x14ac:dyDescent="0.25">
      <c r="A41" s="1"/>
      <c r="B41" s="119">
        <f t="shared" si="0"/>
        <v>32</v>
      </c>
      <c r="C41" s="35"/>
      <c r="I41" s="32"/>
      <c r="M41" s="1"/>
      <c r="N41" s="1"/>
      <c r="O41" s="1"/>
    </row>
    <row r="42" spans="1:17" x14ac:dyDescent="0.25">
      <c r="A42" s="1"/>
      <c r="B42" s="119">
        <f t="shared" si="0"/>
        <v>33</v>
      </c>
      <c r="C42" s="35"/>
      <c r="M42" s="1"/>
      <c r="N42" s="1"/>
      <c r="O42" s="1"/>
    </row>
    <row r="43" spans="1:17" x14ac:dyDescent="0.25">
      <c r="A43" s="1"/>
      <c r="B43" s="3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7" x14ac:dyDescent="0.25">
      <c r="A44" s="1"/>
      <c r="B44" s="3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Q44">
        <f>+R44-O44</f>
        <v>0</v>
      </c>
    </row>
    <row r="45" spans="1:17" x14ac:dyDescent="0.25">
      <c r="A45" s="1"/>
      <c r="B45" s="3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7" x14ac:dyDescent="0.25">
      <c r="A46" s="1"/>
      <c r="B46" s="3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7" x14ac:dyDescent="0.25">
      <c r="A47" s="1"/>
      <c r="B47" s="3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7" x14ac:dyDescent="0.25">
      <c r="A48" s="1"/>
      <c r="B48" s="3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3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3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3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3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3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</sheetData>
  <phoneticPr fontId="0" type="noConversion"/>
  <printOptions gridLinesSet="0"/>
  <pageMargins left="0.28999999999999998" right="0.17" top="1" bottom="1" header="0.5" footer="0.5"/>
  <pageSetup orientation="portrait" r:id="rId1"/>
  <headerFooter alignWithMargins="0">
    <oddFooter>&amp;L&amp;8&amp;T  &amp;D&amp;R&amp;8&amp;F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R64"/>
  <sheetViews>
    <sheetView showGridLines="0" zoomScale="110" zoomScaleNormal="110" workbookViewId="0"/>
  </sheetViews>
  <sheetFormatPr defaultRowHeight="15.75" x14ac:dyDescent="0.25"/>
  <cols>
    <col min="2" max="2" width="5.5" customWidth="1"/>
    <col min="3" max="3" width="7.125" customWidth="1"/>
    <col min="4" max="4" width="15.5" customWidth="1"/>
    <col min="5" max="5" width="10.625" customWidth="1"/>
    <col min="6" max="6" width="9.625" customWidth="1"/>
    <col min="7" max="7" width="12.625" customWidth="1"/>
    <col min="8" max="8" width="14" customWidth="1"/>
    <col min="9" max="10" width="9.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221" t="str">
        <f>+cover!B8</f>
        <v>Summit View Water Works LLC</v>
      </c>
      <c r="F3" s="32"/>
      <c r="H3" s="332" t="s">
        <v>6</v>
      </c>
      <c r="J3" s="1"/>
      <c r="K3" s="1"/>
    </row>
    <row r="4" spans="1:11" x14ac:dyDescent="0.25">
      <c r="A4" s="1"/>
      <c r="B4" s="222" t="str">
        <f>+Test_Yr</f>
        <v>Test Year Ended December 31, 2023</v>
      </c>
      <c r="J4" s="1"/>
      <c r="K4" s="1"/>
    </row>
    <row r="5" spans="1:11" x14ac:dyDescent="0.25">
      <c r="A5" s="1"/>
      <c r="B5" s="8" t="s">
        <v>251</v>
      </c>
      <c r="J5" s="1"/>
      <c r="K5" s="1"/>
    </row>
    <row r="6" spans="1:11" x14ac:dyDescent="0.25">
      <c r="A6" s="1"/>
      <c r="B6" s="8"/>
      <c r="J6" s="1"/>
      <c r="K6" s="1"/>
    </row>
    <row r="7" spans="1:11" x14ac:dyDescent="0.25">
      <c r="A7" s="1"/>
      <c r="B7" s="8"/>
      <c r="D7" s="457" t="s">
        <v>252</v>
      </c>
      <c r="E7" s="457"/>
      <c r="F7" s="457"/>
      <c r="G7" s="457"/>
      <c r="J7" s="1"/>
      <c r="K7" s="1"/>
    </row>
    <row r="8" spans="1:11" x14ac:dyDescent="0.25">
      <c r="A8" s="1"/>
      <c r="D8" s="456" t="s">
        <v>253</v>
      </c>
      <c r="E8" s="456"/>
      <c r="F8" s="456"/>
      <c r="G8" s="456"/>
      <c r="J8" s="1"/>
      <c r="K8" s="1"/>
    </row>
    <row r="9" spans="1:11" x14ac:dyDescent="0.25">
      <c r="A9" s="1"/>
      <c r="J9" s="1"/>
      <c r="K9" s="1"/>
    </row>
    <row r="10" spans="1:11" x14ac:dyDescent="0.25">
      <c r="A10" s="1"/>
      <c r="B10" s="5" t="s">
        <v>18</v>
      </c>
      <c r="D10" s="204" t="s">
        <v>9</v>
      </c>
      <c r="E10" s="204" t="s">
        <v>10</v>
      </c>
      <c r="F10" s="204" t="s">
        <v>11</v>
      </c>
      <c r="G10" s="204" t="s">
        <v>12</v>
      </c>
      <c r="H10" s="204" t="s">
        <v>13</v>
      </c>
      <c r="J10" s="1"/>
      <c r="K10" s="1"/>
    </row>
    <row r="11" spans="1:11" ht="12.6" customHeight="1" x14ac:dyDescent="0.25">
      <c r="A11" s="1"/>
      <c r="B11" s="6" t="s">
        <v>19</v>
      </c>
      <c r="D11" s="199"/>
      <c r="H11" s="40" t="s">
        <v>254</v>
      </c>
      <c r="J11" s="1"/>
      <c r="K11" s="1"/>
    </row>
    <row r="12" spans="1:11" ht="12.6" customHeight="1" x14ac:dyDescent="0.25">
      <c r="A12" s="1"/>
      <c r="B12" s="7">
        <v>1</v>
      </c>
      <c r="C12" s="4"/>
      <c r="D12" s="200" t="s">
        <v>255</v>
      </c>
      <c r="E12" s="170" t="s">
        <v>256</v>
      </c>
      <c r="F12" s="170" t="s">
        <v>257</v>
      </c>
      <c r="G12" s="170" t="s">
        <v>103</v>
      </c>
      <c r="H12" s="168" t="s">
        <v>258</v>
      </c>
      <c r="J12" s="1"/>
      <c r="K12" s="1"/>
    </row>
    <row r="13" spans="1:11" x14ac:dyDescent="0.25">
      <c r="A13" s="1"/>
      <c r="B13" s="7">
        <f>+B12+1</f>
        <v>2</v>
      </c>
      <c r="D13" s="202">
        <v>2009</v>
      </c>
      <c r="E13" s="195">
        <v>40500</v>
      </c>
      <c r="F13" s="341">
        <v>29531.249999999847</v>
      </c>
      <c r="G13" s="195">
        <f>+E13-F13</f>
        <v>10968.750000000153</v>
      </c>
      <c r="H13" s="341">
        <v>2025</v>
      </c>
      <c r="J13" s="1"/>
      <c r="K13" s="1"/>
    </row>
    <row r="14" spans="1:11" x14ac:dyDescent="0.25">
      <c r="A14" s="1"/>
      <c r="B14" s="7">
        <f t="shared" ref="B14:B57" si="0">+B13+1</f>
        <v>3</v>
      </c>
      <c r="D14" s="202">
        <v>2010</v>
      </c>
      <c r="E14" s="195">
        <v>36000</v>
      </c>
      <c r="F14" s="341">
        <v>24449.999999999862</v>
      </c>
      <c r="G14" s="195">
        <f>+E14-F14</f>
        <v>11550.000000000138</v>
      </c>
      <c r="H14" s="341">
        <v>1800</v>
      </c>
      <c r="J14" s="1"/>
      <c r="K14" s="1"/>
    </row>
    <row r="15" spans="1:11" x14ac:dyDescent="0.25">
      <c r="A15" s="1"/>
      <c r="B15" s="7">
        <f t="shared" si="0"/>
        <v>4</v>
      </c>
      <c r="D15" s="202">
        <v>2011</v>
      </c>
      <c r="E15" s="195">
        <v>1500</v>
      </c>
      <c r="F15" s="341">
        <v>943.74999999999432</v>
      </c>
      <c r="G15" s="195">
        <f t="shared" ref="G15:G27" si="1">+E15-F15</f>
        <v>556.25000000000568</v>
      </c>
      <c r="H15" s="341">
        <v>75</v>
      </c>
      <c r="J15" s="1"/>
      <c r="K15" s="1"/>
    </row>
    <row r="16" spans="1:11" x14ac:dyDescent="0.25">
      <c r="A16" s="1"/>
      <c r="B16" s="7">
        <f t="shared" si="0"/>
        <v>5</v>
      </c>
      <c r="D16" s="202">
        <v>2012</v>
      </c>
      <c r="E16" s="195">
        <v>35030</v>
      </c>
      <c r="F16" s="341">
        <v>20288.208333333201</v>
      </c>
      <c r="G16" s="195">
        <f t="shared" si="1"/>
        <v>14741.791666666799</v>
      </c>
      <c r="H16" s="341">
        <v>1751.5</v>
      </c>
      <c r="J16" s="1"/>
      <c r="K16" s="1"/>
    </row>
    <row r="17" spans="1:11" x14ac:dyDescent="0.25">
      <c r="A17" s="1"/>
      <c r="B17" s="7">
        <f t="shared" si="0"/>
        <v>6</v>
      </c>
      <c r="D17" s="202">
        <v>2013</v>
      </c>
      <c r="E17" s="341">
        <v>59246</v>
      </c>
      <c r="F17" s="341">
        <v>31351.008333333106</v>
      </c>
      <c r="G17" s="195">
        <f t="shared" si="1"/>
        <v>27894.991666666894</v>
      </c>
      <c r="H17" s="341">
        <v>2962.3</v>
      </c>
      <c r="J17" s="1"/>
      <c r="K17" s="1"/>
    </row>
    <row r="18" spans="1:11" x14ac:dyDescent="0.25">
      <c r="A18" s="1"/>
      <c r="B18" s="7">
        <f t="shared" si="0"/>
        <v>7</v>
      </c>
      <c r="D18" s="202">
        <v>2014</v>
      </c>
      <c r="E18" s="341">
        <v>111261</v>
      </c>
      <c r="F18" s="341">
        <v>53312.562499999578</v>
      </c>
      <c r="G18" s="195">
        <f t="shared" si="1"/>
        <v>57948.437500000422</v>
      </c>
      <c r="H18" s="341">
        <v>5563.05</v>
      </c>
      <c r="J18" s="1"/>
      <c r="K18" s="1"/>
    </row>
    <row r="19" spans="1:11" x14ac:dyDescent="0.25">
      <c r="A19" s="1"/>
      <c r="B19" s="7">
        <f t="shared" si="0"/>
        <v>8</v>
      </c>
      <c r="D19" s="202">
        <v>2015</v>
      </c>
      <c r="E19" s="341">
        <v>231407</v>
      </c>
      <c r="F19" s="341">
        <v>99312.170833332464</v>
      </c>
      <c r="G19" s="195">
        <f t="shared" si="1"/>
        <v>132094.82916666754</v>
      </c>
      <c r="H19" s="341">
        <v>11570.35</v>
      </c>
      <c r="J19" s="1"/>
      <c r="K19" s="1"/>
    </row>
    <row r="20" spans="1:11" x14ac:dyDescent="0.25">
      <c r="A20" s="1"/>
      <c r="B20" s="7">
        <f t="shared" si="0"/>
        <v>9</v>
      </c>
      <c r="D20" s="202">
        <v>2016</v>
      </c>
      <c r="E20" s="341">
        <v>224622</v>
      </c>
      <c r="F20" s="341">
        <v>85169.174999999144</v>
      </c>
      <c r="G20" s="195">
        <f t="shared" si="1"/>
        <v>139452.82500000086</v>
      </c>
      <c r="H20" s="341">
        <v>11231.1</v>
      </c>
      <c r="J20" s="1"/>
      <c r="K20" s="1"/>
    </row>
    <row r="21" spans="1:11" x14ac:dyDescent="0.25">
      <c r="A21" s="1"/>
      <c r="B21" s="7">
        <f t="shared" si="0"/>
        <v>10</v>
      </c>
      <c r="D21" s="202">
        <v>2017</v>
      </c>
      <c r="E21" s="341">
        <v>213999.90000000002</v>
      </c>
      <c r="F21" s="341">
        <v>70441.633749999193</v>
      </c>
      <c r="G21" s="195">
        <f t="shared" si="1"/>
        <v>143558.26625000083</v>
      </c>
      <c r="H21" s="341">
        <v>10699.995000000001</v>
      </c>
      <c r="J21" s="1"/>
      <c r="K21" s="1"/>
    </row>
    <row r="22" spans="1:11" x14ac:dyDescent="0.25">
      <c r="A22" s="1"/>
      <c r="B22" s="7">
        <f t="shared" si="0"/>
        <v>11</v>
      </c>
      <c r="D22" s="202">
        <v>2018</v>
      </c>
      <c r="E22" s="341">
        <v>91823</v>
      </c>
      <c r="F22" s="341">
        <v>25633.920833332988</v>
      </c>
      <c r="G22" s="195">
        <f t="shared" si="1"/>
        <v>66189.079166667012</v>
      </c>
      <c r="H22" s="341">
        <v>4591.1499999999996</v>
      </c>
      <c r="J22" s="1"/>
      <c r="K22" s="1"/>
    </row>
    <row r="23" spans="1:11" x14ac:dyDescent="0.25">
      <c r="A23" s="1"/>
      <c r="B23" s="7">
        <f t="shared" si="0"/>
        <v>12</v>
      </c>
      <c r="D23" s="202">
        <v>2019</v>
      </c>
      <c r="E23" s="341">
        <v>21562.54</v>
      </c>
      <c r="F23" s="341">
        <v>4941.4154166665849</v>
      </c>
      <c r="G23" s="195">
        <f t="shared" si="1"/>
        <v>16621.124583333418</v>
      </c>
      <c r="H23" s="341">
        <v>1078.127</v>
      </c>
      <c r="J23" s="1"/>
      <c r="K23" s="1"/>
    </row>
    <row r="24" spans="1:11" x14ac:dyDescent="0.25">
      <c r="A24" s="1"/>
      <c r="B24" s="7">
        <f t="shared" si="0"/>
        <v>13</v>
      </c>
      <c r="D24" s="202">
        <v>2020</v>
      </c>
      <c r="E24" s="341">
        <v>61768</v>
      </c>
      <c r="F24" s="341">
        <v>11066.766666666434</v>
      </c>
      <c r="G24" s="195">
        <f t="shared" si="1"/>
        <v>50701.23333333357</v>
      </c>
      <c r="H24" s="341">
        <v>3088.4</v>
      </c>
      <c r="J24" s="1"/>
      <c r="K24" s="1"/>
    </row>
    <row r="25" spans="1:11" x14ac:dyDescent="0.25">
      <c r="A25" s="1"/>
      <c r="B25" s="7">
        <f t="shared" si="0"/>
        <v>14</v>
      </c>
      <c r="D25" s="202">
        <v>2021</v>
      </c>
      <c r="E25" s="341">
        <v>106543.02</v>
      </c>
      <c r="F25" s="341">
        <v>13761.806749999596</v>
      </c>
      <c r="G25" s="195">
        <f t="shared" si="1"/>
        <v>92781.213250000408</v>
      </c>
      <c r="H25" s="341">
        <v>5327.1509999999998</v>
      </c>
      <c r="J25" s="1"/>
      <c r="K25" s="1"/>
    </row>
    <row r="26" spans="1:11" x14ac:dyDescent="0.25">
      <c r="A26" s="1"/>
      <c r="B26" s="7">
        <f t="shared" si="0"/>
        <v>15</v>
      </c>
      <c r="D26" s="202">
        <v>2022</v>
      </c>
      <c r="E26" s="341">
        <v>13692</v>
      </c>
      <c r="F26" s="341">
        <v>1083.9499999999482</v>
      </c>
      <c r="G26" s="195">
        <f t="shared" si="1"/>
        <v>12608.050000000052</v>
      </c>
      <c r="H26" s="341">
        <v>684.6</v>
      </c>
      <c r="J26" s="1"/>
      <c r="K26" s="1"/>
    </row>
    <row r="27" spans="1:11" x14ac:dyDescent="0.25">
      <c r="A27" s="1"/>
      <c r="B27" s="7">
        <f t="shared" si="0"/>
        <v>16</v>
      </c>
      <c r="D27" s="202">
        <v>2023</v>
      </c>
      <c r="E27" s="341">
        <v>7596</v>
      </c>
      <c r="F27" s="341">
        <v>379.8</v>
      </c>
      <c r="G27" s="195">
        <f t="shared" si="1"/>
        <v>7216.2</v>
      </c>
      <c r="H27" s="341">
        <v>379.8</v>
      </c>
      <c r="J27" s="1"/>
      <c r="K27" s="1"/>
    </row>
    <row r="28" spans="1:11" x14ac:dyDescent="0.25">
      <c r="A28" s="1"/>
      <c r="B28" s="7">
        <f t="shared" si="0"/>
        <v>17</v>
      </c>
      <c r="D28" s="145" t="s">
        <v>259</v>
      </c>
      <c r="E28" s="201">
        <f>SUM(E13:E27)</f>
        <v>1256550.46</v>
      </c>
      <c r="F28" s="201">
        <f t="shared" ref="F28:H28" si="2">SUM(F13:F27)</f>
        <v>471667.41841666197</v>
      </c>
      <c r="G28" s="201">
        <f t="shared" si="2"/>
        <v>784883.04158333794</v>
      </c>
      <c r="H28" s="201">
        <f t="shared" si="2"/>
        <v>62827.523000000001</v>
      </c>
      <c r="J28" s="1"/>
      <c r="K28" s="1"/>
    </row>
    <row r="29" spans="1:11" x14ac:dyDescent="0.25">
      <c r="A29" s="1"/>
      <c r="B29" s="7">
        <f t="shared" si="0"/>
        <v>18</v>
      </c>
      <c r="D29" s="45"/>
      <c r="E29" s="195"/>
      <c r="F29" s="195"/>
      <c r="G29" s="195"/>
      <c r="H29" s="195"/>
      <c r="J29" s="1"/>
      <c r="K29" s="1"/>
    </row>
    <row r="30" spans="1:11" x14ac:dyDescent="0.25">
      <c r="A30" s="1"/>
      <c r="B30" s="7">
        <f t="shared" si="0"/>
        <v>19</v>
      </c>
      <c r="D30" s="347" t="s">
        <v>260</v>
      </c>
      <c r="E30" s="352" t="s">
        <v>256</v>
      </c>
      <c r="F30" s="352" t="s">
        <v>257</v>
      </c>
      <c r="G30" s="352" t="s">
        <v>103</v>
      </c>
      <c r="J30" s="1"/>
      <c r="K30" s="1"/>
    </row>
    <row r="31" spans="1:11" x14ac:dyDescent="0.25">
      <c r="A31" s="1"/>
      <c r="B31" s="7">
        <f t="shared" si="0"/>
        <v>20</v>
      </c>
      <c r="D31" s="348" t="s">
        <v>261</v>
      </c>
      <c r="E31" s="349">
        <v>530587</v>
      </c>
      <c r="F31" s="349">
        <v>203742</v>
      </c>
      <c r="G31" s="349">
        <v>326845</v>
      </c>
      <c r="J31" s="1"/>
      <c r="K31" s="1"/>
    </row>
    <row r="32" spans="1:11" x14ac:dyDescent="0.25">
      <c r="A32" s="1"/>
      <c r="B32" s="7">
        <f t="shared" si="0"/>
        <v>21</v>
      </c>
      <c r="D32" s="348" t="s">
        <v>262</v>
      </c>
      <c r="E32" s="350">
        <v>725964</v>
      </c>
      <c r="F32" s="350">
        <v>267926</v>
      </c>
      <c r="G32" s="350">
        <f>+E32-F32</f>
        <v>458038</v>
      </c>
      <c r="H32" s="11"/>
      <c r="J32" s="1"/>
      <c r="K32" s="1"/>
    </row>
    <row r="33" spans="1:18" ht="16.5" thickBot="1" x14ac:dyDescent="0.3">
      <c r="A33" s="1"/>
      <c r="B33" s="7">
        <f t="shared" si="0"/>
        <v>22</v>
      </c>
      <c r="D33" s="348" t="s">
        <v>96</v>
      </c>
      <c r="E33" s="351">
        <f>+E31+E32</f>
        <v>1256551</v>
      </c>
      <c r="F33" s="351">
        <f t="shared" ref="F33:G33" si="3">+F31+F32</f>
        <v>471668</v>
      </c>
      <c r="G33" s="351">
        <f t="shared" si="3"/>
        <v>784883</v>
      </c>
      <c r="J33" s="1"/>
      <c r="K33" s="1"/>
    </row>
    <row r="34" spans="1:18" ht="16.5" thickTop="1" x14ac:dyDescent="0.25">
      <c r="A34" s="1"/>
      <c r="B34" s="7">
        <f t="shared" si="0"/>
        <v>23</v>
      </c>
      <c r="E34" s="203"/>
      <c r="J34" s="1"/>
      <c r="K34" s="1"/>
    </row>
    <row r="35" spans="1:18" x14ac:dyDescent="0.25">
      <c r="A35" s="1"/>
      <c r="B35" s="7">
        <f t="shared" si="0"/>
        <v>24</v>
      </c>
      <c r="G35" s="13"/>
      <c r="J35" s="1"/>
      <c r="K35" s="1"/>
    </row>
    <row r="36" spans="1:18" x14ac:dyDescent="0.25">
      <c r="A36" s="1"/>
      <c r="B36" s="7">
        <f t="shared" si="0"/>
        <v>25</v>
      </c>
      <c r="G36" s="13"/>
      <c r="J36" s="1"/>
      <c r="K36" s="1"/>
    </row>
    <row r="37" spans="1:18" x14ac:dyDescent="0.25">
      <c r="A37" s="1"/>
      <c r="B37" s="7">
        <f t="shared" si="0"/>
        <v>26</v>
      </c>
      <c r="G37" s="13"/>
      <c r="J37" s="1"/>
      <c r="K37" s="1"/>
    </row>
    <row r="38" spans="1:18" x14ac:dyDescent="0.25">
      <c r="A38" s="1"/>
      <c r="B38" s="7">
        <f t="shared" si="0"/>
        <v>27</v>
      </c>
      <c r="G38" s="13"/>
      <c r="J38" s="1"/>
      <c r="K38" s="1"/>
    </row>
    <row r="39" spans="1:18" x14ac:dyDescent="0.25">
      <c r="A39" s="1"/>
      <c r="B39" s="7">
        <f t="shared" si="0"/>
        <v>28</v>
      </c>
      <c r="G39" s="13"/>
      <c r="J39" s="1"/>
      <c r="K39" s="1"/>
    </row>
    <row r="40" spans="1:18" x14ac:dyDescent="0.25">
      <c r="A40" s="1"/>
      <c r="B40" s="7">
        <f t="shared" si="0"/>
        <v>29</v>
      </c>
      <c r="D40" s="203" t="s">
        <v>263</v>
      </c>
      <c r="G40" s="13"/>
      <c r="J40" s="1"/>
      <c r="K40" s="1"/>
    </row>
    <row r="41" spans="1:18" x14ac:dyDescent="0.25">
      <c r="A41" s="1"/>
      <c r="B41" s="7">
        <f t="shared" si="0"/>
        <v>30</v>
      </c>
      <c r="G41" s="13"/>
      <c r="J41" s="1"/>
      <c r="K41" s="1"/>
    </row>
    <row r="42" spans="1:18" x14ac:dyDescent="0.25">
      <c r="A42" s="1"/>
      <c r="B42" s="7">
        <f t="shared" si="0"/>
        <v>31</v>
      </c>
      <c r="G42" s="13"/>
      <c r="J42" s="1"/>
      <c r="K42" s="1"/>
    </row>
    <row r="43" spans="1:18" x14ac:dyDescent="0.25">
      <c r="A43" s="1"/>
      <c r="B43" s="7">
        <f t="shared" si="0"/>
        <v>32</v>
      </c>
      <c r="G43" s="13"/>
      <c r="J43" s="1"/>
      <c r="K43" s="1"/>
    </row>
    <row r="44" spans="1:18" x14ac:dyDescent="0.25">
      <c r="A44" s="1"/>
      <c r="B44" s="7">
        <f t="shared" si="0"/>
        <v>33</v>
      </c>
      <c r="G44" s="13"/>
      <c r="J44" s="1"/>
      <c r="K44" s="1"/>
    </row>
    <row r="45" spans="1:18" x14ac:dyDescent="0.25">
      <c r="A45" s="1"/>
      <c r="B45" s="7">
        <f t="shared" si="0"/>
        <v>34</v>
      </c>
      <c r="G45" s="13"/>
      <c r="J45" s="1"/>
      <c r="K45" s="1"/>
    </row>
    <row r="46" spans="1:18" x14ac:dyDescent="0.25">
      <c r="A46" s="1"/>
      <c r="B46" s="7">
        <f t="shared" si="0"/>
        <v>35</v>
      </c>
      <c r="G46" s="13"/>
      <c r="J46" s="1"/>
      <c r="K46" s="1"/>
    </row>
    <row r="47" spans="1:18" x14ac:dyDescent="0.25">
      <c r="A47" s="1"/>
      <c r="B47" s="7">
        <f t="shared" si="0"/>
        <v>36</v>
      </c>
      <c r="J47" s="1"/>
      <c r="K47" s="1"/>
    </row>
    <row r="48" spans="1:18" x14ac:dyDescent="0.25">
      <c r="A48" s="1"/>
      <c r="B48" s="7">
        <f t="shared" si="0"/>
        <v>37</v>
      </c>
      <c r="J48" s="1"/>
      <c r="K48" s="1"/>
      <c r="R48" s="28" t="e">
        <f>IF(tax_flag=1,"","No")</f>
        <v>#NAME?</v>
      </c>
    </row>
    <row r="49" spans="1:18" ht="16.5" thickBot="1" x14ac:dyDescent="0.3">
      <c r="A49" s="1"/>
      <c r="B49" s="7">
        <f t="shared" si="0"/>
        <v>38</v>
      </c>
      <c r="J49" s="1"/>
      <c r="K49" s="1"/>
      <c r="R49" s="29"/>
    </row>
    <row r="50" spans="1:18" x14ac:dyDescent="0.25">
      <c r="A50" s="1"/>
      <c r="B50" s="7">
        <f t="shared" si="0"/>
        <v>39</v>
      </c>
      <c r="J50" s="1"/>
      <c r="K50" s="1"/>
      <c r="R50" s="30"/>
    </row>
    <row r="51" spans="1:18" ht="16.5" thickBot="1" x14ac:dyDescent="0.3">
      <c r="A51" s="1"/>
      <c r="B51" s="7">
        <f t="shared" si="0"/>
        <v>40</v>
      </c>
      <c r="J51" s="1"/>
      <c r="K51" s="1"/>
      <c r="R51" s="31">
        <v>0</v>
      </c>
    </row>
    <row r="52" spans="1:18" x14ac:dyDescent="0.25">
      <c r="A52" s="1"/>
      <c r="B52" s="7">
        <f t="shared" si="0"/>
        <v>41</v>
      </c>
      <c r="J52" s="1"/>
      <c r="K52" s="1"/>
    </row>
    <row r="53" spans="1:18" x14ac:dyDescent="0.25">
      <c r="A53" s="1"/>
      <c r="B53" s="7">
        <f t="shared" si="0"/>
        <v>42</v>
      </c>
      <c r="J53" s="1"/>
      <c r="K53" s="1"/>
    </row>
    <row r="54" spans="1:18" x14ac:dyDescent="0.25">
      <c r="A54" s="1"/>
      <c r="B54" s="7">
        <f t="shared" si="0"/>
        <v>43</v>
      </c>
      <c r="J54" s="1"/>
      <c r="K54" s="1"/>
    </row>
    <row r="55" spans="1:18" x14ac:dyDescent="0.25">
      <c r="A55" s="1"/>
      <c r="B55" s="7">
        <f t="shared" si="0"/>
        <v>44</v>
      </c>
      <c r="J55" s="1"/>
      <c r="K55" s="1"/>
    </row>
    <row r="56" spans="1:18" x14ac:dyDescent="0.25">
      <c r="A56" s="1"/>
      <c r="B56" s="7">
        <f t="shared" si="0"/>
        <v>45</v>
      </c>
      <c r="J56" s="1">
        <f>+K56-H56</f>
        <v>0</v>
      </c>
      <c r="K56" s="1"/>
      <c r="L56" s="1">
        <f>+M56-K56</f>
        <v>0</v>
      </c>
      <c r="O56">
        <f>+P56-M56</f>
        <v>0</v>
      </c>
    </row>
    <row r="57" spans="1:18" x14ac:dyDescent="0.25">
      <c r="A57" s="1"/>
      <c r="B57" s="7">
        <f t="shared" si="0"/>
        <v>46</v>
      </c>
      <c r="J57" s="1"/>
      <c r="K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8" x14ac:dyDescent="0.25">
      <c r="B64" s="1"/>
    </row>
  </sheetData>
  <mergeCells count="2">
    <mergeCell ref="D8:G8"/>
    <mergeCell ref="D7:G7"/>
  </mergeCells>
  <phoneticPr fontId="0" type="noConversion"/>
  <printOptions gridLinesSet="0"/>
  <pageMargins left="0.75" right="0.22" top="0.67" bottom="1" header="0.22" footer="0.5"/>
  <pageSetup orientation="portrait" r:id="rId1"/>
  <headerFooter alignWithMargins="0">
    <oddFooter>&amp;L&amp;8&amp;T  &amp;D&amp;R&amp;8&amp;F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66"/>
  <sheetViews>
    <sheetView showGridLines="0" topLeftCell="A39" workbookViewId="0">
      <selection activeCell="X45" sqref="X45"/>
    </sheetView>
  </sheetViews>
  <sheetFormatPr defaultColWidth="7" defaultRowHeight="12.75" x14ac:dyDescent="0.2"/>
  <cols>
    <col min="1" max="1" width="7" style="176" customWidth="1"/>
    <col min="2" max="2" width="3.875" style="176" customWidth="1"/>
    <col min="3" max="3" width="7" style="176" customWidth="1"/>
    <col min="4" max="4" width="25.25" style="176" bestFit="1" customWidth="1"/>
    <col min="5" max="5" width="7" style="176"/>
    <col min="6" max="6" width="6.875" style="176" customWidth="1"/>
    <col min="7" max="7" width="12.75" style="176" customWidth="1"/>
    <col min="8" max="8" width="5.875" style="176" customWidth="1"/>
    <col min="9" max="9" width="9.5" style="176" customWidth="1"/>
    <col min="10" max="10" width="4.5" style="176" customWidth="1"/>
    <col min="11" max="11" width="9.5" style="176" customWidth="1"/>
    <col min="12" max="12" width="4" style="176" customWidth="1"/>
    <col min="13" max="13" width="10.875" style="176" customWidth="1"/>
    <col min="14" max="14" width="3.875" style="176" customWidth="1"/>
    <col min="15" max="15" width="11.75" style="176" customWidth="1"/>
    <col min="16" max="16" width="9.5" style="176" customWidth="1"/>
    <col min="17" max="17" width="7.875" style="176" bestFit="1" customWidth="1"/>
    <col min="18" max="18" width="7.25" style="176" bestFit="1" customWidth="1"/>
    <col min="19" max="21" width="7" style="176"/>
    <col min="22" max="22" width="7.875" style="176" bestFit="1" customWidth="1"/>
    <col min="23" max="16384" width="7" style="176"/>
  </cols>
  <sheetData>
    <row r="1" spans="1:18" x14ac:dyDescent="0.2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x14ac:dyDescent="0.2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spans="1:18" ht="15.75" x14ac:dyDescent="0.25">
      <c r="A3" s="175"/>
      <c r="B3" s="221" t="str">
        <f>+cover!B8</f>
        <v>Summit View Water Works LLC</v>
      </c>
      <c r="C3" s="27"/>
      <c r="O3" s="332" t="s">
        <v>6</v>
      </c>
      <c r="Q3" s="175"/>
      <c r="R3" s="175"/>
    </row>
    <row r="4" spans="1:18" x14ac:dyDescent="0.2">
      <c r="A4" s="175"/>
      <c r="B4" s="222" t="str">
        <f>+Test_Yr</f>
        <v>Test Year Ended December 31, 2023</v>
      </c>
      <c r="Q4" s="175"/>
      <c r="R4" s="175"/>
    </row>
    <row r="5" spans="1:18" x14ac:dyDescent="0.2">
      <c r="A5" s="175"/>
      <c r="B5" s="8" t="s">
        <v>264</v>
      </c>
      <c r="Q5" s="175"/>
      <c r="R5" s="175"/>
    </row>
    <row r="6" spans="1:18" x14ac:dyDescent="0.2">
      <c r="A6" s="175"/>
      <c r="Q6" s="175"/>
      <c r="R6" s="175"/>
    </row>
    <row r="7" spans="1:18" ht="20.25" x14ac:dyDescent="0.3">
      <c r="A7" s="175"/>
      <c r="B7" s="458"/>
      <c r="C7" s="458"/>
      <c r="D7" s="458"/>
      <c r="E7" s="458"/>
      <c r="F7" s="458"/>
      <c r="G7" s="188" t="s">
        <v>106</v>
      </c>
      <c r="H7" s="190"/>
      <c r="I7" s="190"/>
      <c r="J7" s="190"/>
      <c r="K7" s="190"/>
      <c r="L7" s="190"/>
      <c r="M7" s="190"/>
      <c r="N7" s="190"/>
      <c r="O7" s="190"/>
      <c r="P7" s="190"/>
      <c r="Q7" s="175"/>
      <c r="R7" s="175"/>
    </row>
    <row r="8" spans="1:18" x14ac:dyDescent="0.2">
      <c r="A8" s="175"/>
      <c r="B8" s="458"/>
      <c r="C8" s="458"/>
      <c r="D8" s="458"/>
      <c r="E8" s="458"/>
      <c r="F8" s="458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75"/>
      <c r="R8" s="175"/>
    </row>
    <row r="9" spans="1:18" x14ac:dyDescent="0.2">
      <c r="A9" s="175"/>
      <c r="B9" s="5" t="s">
        <v>18</v>
      </c>
      <c r="C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175"/>
      <c r="R9" s="175"/>
    </row>
    <row r="10" spans="1:18" ht="15.75" x14ac:dyDescent="0.25">
      <c r="A10" s="175"/>
      <c r="B10" s="6" t="s">
        <v>19</v>
      </c>
      <c r="C10" s="38"/>
      <c r="D10" s="177" t="s">
        <v>265</v>
      </c>
      <c r="F10" s="38"/>
      <c r="G10" s="204" t="s">
        <v>9</v>
      </c>
      <c r="I10" s="204" t="s">
        <v>10</v>
      </c>
      <c r="K10" s="204" t="s">
        <v>11</v>
      </c>
      <c r="M10" s="204" t="s">
        <v>12</v>
      </c>
      <c r="O10" s="204" t="s">
        <v>13</v>
      </c>
      <c r="P10" s="38"/>
      <c r="Q10" s="175"/>
      <c r="R10" s="175"/>
    </row>
    <row r="11" spans="1:18" ht="15.75" x14ac:dyDescent="0.25">
      <c r="A11" s="175"/>
      <c r="B11" s="7">
        <v>1</v>
      </c>
      <c r="C11" s="38"/>
      <c r="D11" s="38"/>
      <c r="E11" s="38"/>
      <c r="F11" s="38"/>
      <c r="G11" s="38"/>
      <c r="H11" s="38"/>
      <c r="I11" s="79"/>
      <c r="J11" s="79"/>
      <c r="K11" s="98"/>
      <c r="L11" s="79"/>
      <c r="M11" s="98"/>
      <c r="N11" s="5"/>
      <c r="O11" s="79" t="s">
        <v>20</v>
      </c>
      <c r="P11" s="38"/>
      <c r="Q11" s="175"/>
      <c r="R11" s="175"/>
    </row>
    <row r="12" spans="1:18" ht="15.75" x14ac:dyDescent="0.25">
      <c r="A12" s="175"/>
      <c r="B12" s="7">
        <f t="shared" ref="B12:B55" si="0">+B11+1</f>
        <v>2</v>
      </c>
      <c r="C12" s="178"/>
      <c r="D12" s="179"/>
      <c r="E12" s="38"/>
      <c r="F12" s="38"/>
      <c r="G12" s="38"/>
      <c r="H12" s="38"/>
      <c r="I12" s="79" t="s">
        <v>21</v>
      </c>
      <c r="J12" s="79"/>
      <c r="K12" s="79" t="s">
        <v>23</v>
      </c>
      <c r="L12" s="79"/>
      <c r="M12" s="59" t="s">
        <v>24</v>
      </c>
      <c r="N12" s="5"/>
      <c r="O12" s="79" t="s">
        <v>25</v>
      </c>
      <c r="P12" s="38"/>
      <c r="Q12" s="175"/>
      <c r="R12" s="175"/>
    </row>
    <row r="13" spans="1:18" ht="15.75" x14ac:dyDescent="0.25">
      <c r="A13" s="175"/>
      <c r="B13" s="7">
        <f t="shared" si="0"/>
        <v>3</v>
      </c>
      <c r="C13" s="180"/>
      <c r="D13" s="179"/>
      <c r="E13" s="38"/>
      <c r="F13" s="38"/>
      <c r="G13" s="38"/>
      <c r="H13" s="38"/>
      <c r="I13" s="99" t="s">
        <v>26</v>
      </c>
      <c r="J13" s="79"/>
      <c r="K13" s="99" t="s">
        <v>26</v>
      </c>
      <c r="L13" s="59"/>
      <c r="M13" s="99" t="s">
        <v>26</v>
      </c>
      <c r="N13" s="5"/>
      <c r="O13" s="99" t="s">
        <v>28</v>
      </c>
      <c r="P13" s="38"/>
      <c r="Q13" s="175"/>
      <c r="R13" s="175"/>
    </row>
    <row r="14" spans="1:18" ht="15.75" x14ac:dyDescent="0.25">
      <c r="A14" s="175"/>
      <c r="B14" s="7">
        <f t="shared" si="0"/>
        <v>4</v>
      </c>
      <c r="C14" s="178"/>
      <c r="E14" s="229"/>
      <c r="F14" s="229"/>
      <c r="G14" s="300" t="s">
        <v>266</v>
      </c>
      <c r="H14" s="300"/>
      <c r="I14" s="229"/>
      <c r="J14" s="79"/>
      <c r="K14" s="229"/>
      <c r="L14" s="229"/>
      <c r="M14" s="229"/>
      <c r="N14" s="5"/>
      <c r="O14" s="229"/>
      <c r="P14" s="38"/>
      <c r="Q14" s="175"/>
      <c r="R14" s="175"/>
    </row>
    <row r="15" spans="1:18" ht="15.75" x14ac:dyDescent="0.25">
      <c r="A15" s="175"/>
      <c r="B15" s="7">
        <f t="shared" si="0"/>
        <v>5</v>
      </c>
      <c r="C15" s="178"/>
      <c r="E15" s="229"/>
      <c r="G15" s="300" t="s">
        <v>267</v>
      </c>
      <c r="H15" s="241" t="s">
        <v>268</v>
      </c>
      <c r="I15" s="301">
        <f>+I38</f>
        <v>77277.223285714281</v>
      </c>
      <c r="J15" s="79"/>
      <c r="K15" s="301">
        <f t="shared" ref="K15:O15" si="1">+K38</f>
        <v>75787.701428571425</v>
      </c>
      <c r="L15" s="229"/>
      <c r="M15" s="301">
        <f t="shared" si="1"/>
        <v>94955.798237142881</v>
      </c>
      <c r="N15" s="5"/>
      <c r="O15" s="301">
        <f t="shared" si="1"/>
        <v>94955.798237142881</v>
      </c>
      <c r="P15" s="38"/>
      <c r="Q15" s="175"/>
      <c r="R15" s="175"/>
    </row>
    <row r="16" spans="1:18" ht="15.75" x14ac:dyDescent="0.25">
      <c r="A16" s="175"/>
      <c r="B16" s="7">
        <f t="shared" si="0"/>
        <v>6</v>
      </c>
      <c r="C16" s="178"/>
      <c r="E16" s="229"/>
      <c r="G16" s="230"/>
      <c r="H16" s="242"/>
      <c r="I16" s="229"/>
      <c r="J16" s="79"/>
      <c r="K16" s="229"/>
      <c r="L16" s="229"/>
      <c r="M16" s="229"/>
      <c r="N16" s="5"/>
      <c r="O16" s="229"/>
      <c r="P16" s="38"/>
      <c r="Q16" s="175"/>
      <c r="R16" s="175"/>
    </row>
    <row r="17" spans="1:18" ht="15.75" x14ac:dyDescent="0.25">
      <c r="A17" s="175"/>
      <c r="B17" s="7">
        <f t="shared" si="0"/>
        <v>7</v>
      </c>
      <c r="C17" s="178"/>
      <c r="E17" s="229"/>
      <c r="G17" s="300" t="s">
        <v>269</v>
      </c>
      <c r="H17" s="241" t="s">
        <v>270</v>
      </c>
      <c r="I17" s="302">
        <f>-I44</f>
        <v>-5955.7510052999996</v>
      </c>
      <c r="J17" s="79"/>
      <c r="K17" s="302">
        <f>-K44</f>
        <v>-5955.7510052999996</v>
      </c>
      <c r="L17" s="229"/>
      <c r="M17" s="302">
        <f>-M44</f>
        <v>-5955.7510052999996</v>
      </c>
      <c r="N17" s="5"/>
      <c r="O17" s="302">
        <f>-O44</f>
        <v>-5955.7510052999996</v>
      </c>
      <c r="P17" s="38"/>
      <c r="Q17" s="175"/>
      <c r="R17" s="175"/>
    </row>
    <row r="18" spans="1:18" ht="22.9" customHeight="1" thickBot="1" x14ac:dyDescent="0.3">
      <c r="A18" s="175"/>
      <c r="B18" s="7">
        <f t="shared" si="0"/>
        <v>8</v>
      </c>
      <c r="C18" s="178"/>
      <c r="E18" s="229"/>
      <c r="G18" s="300" t="s">
        <v>271</v>
      </c>
      <c r="H18" s="300"/>
      <c r="I18" s="303">
        <f>+I15+I17</f>
        <v>71321.47228041428</v>
      </c>
      <c r="J18" s="79"/>
      <c r="K18" s="303">
        <f>+K15+K17</f>
        <v>69831.950423271424</v>
      </c>
      <c r="L18" s="229"/>
      <c r="M18" s="303">
        <f>+M15+M17</f>
        <v>89000.04723184288</v>
      </c>
      <c r="N18" s="5"/>
      <c r="O18" s="303">
        <f>+O15+O17</f>
        <v>89000.04723184288</v>
      </c>
      <c r="P18" s="38"/>
      <c r="Q18" s="175"/>
      <c r="R18" s="175"/>
    </row>
    <row r="19" spans="1:18" ht="13.5" thickTop="1" x14ac:dyDescent="0.2">
      <c r="A19" s="175"/>
      <c r="B19" s="7">
        <f t="shared" si="0"/>
        <v>9</v>
      </c>
      <c r="C19" s="178"/>
      <c r="E19" s="229"/>
      <c r="H19" s="300"/>
      <c r="P19" s="38"/>
      <c r="Q19" s="175"/>
      <c r="R19" s="175"/>
    </row>
    <row r="20" spans="1:18" ht="13.5" thickBot="1" x14ac:dyDescent="0.25">
      <c r="A20" s="175"/>
      <c r="B20" s="7">
        <f t="shared" si="0"/>
        <v>10</v>
      </c>
      <c r="C20" s="178"/>
      <c r="D20" s="304"/>
      <c r="E20" s="229"/>
      <c r="G20" s="227" t="s">
        <v>272</v>
      </c>
      <c r="H20" s="38"/>
      <c r="I20" s="321">
        <f>+I49*6/12</f>
        <v>35660.73614020714</v>
      </c>
      <c r="J20" s="38"/>
      <c r="K20" s="321">
        <f>+K49*6/12</f>
        <v>34915.975211635712</v>
      </c>
      <c r="L20" s="38"/>
      <c r="M20" s="321">
        <f>+M49*6/12</f>
        <v>44500.02361592144</v>
      </c>
      <c r="N20" s="38"/>
      <c r="O20" s="321">
        <f>+O49*6/12</f>
        <v>44500.02361592144</v>
      </c>
      <c r="P20" s="38"/>
      <c r="Q20" s="175"/>
      <c r="R20" s="175"/>
    </row>
    <row r="21" spans="1:18" ht="13.5" thickTop="1" x14ac:dyDescent="0.2">
      <c r="A21" s="175"/>
      <c r="B21" s="7">
        <f t="shared" si="0"/>
        <v>11</v>
      </c>
      <c r="C21" s="178"/>
      <c r="D21" s="229"/>
      <c r="E21" s="229"/>
      <c r="F21" s="229"/>
      <c r="G21" s="320" t="s">
        <v>273</v>
      </c>
      <c r="H21" s="38"/>
      <c r="I21" s="38"/>
      <c r="J21" s="38"/>
      <c r="K21" s="38"/>
      <c r="L21" s="38"/>
      <c r="M21" s="38"/>
      <c r="N21" s="38"/>
      <c r="O21" s="38"/>
      <c r="P21" s="38"/>
      <c r="Q21" s="175"/>
      <c r="R21" s="175"/>
    </row>
    <row r="22" spans="1:18" ht="13.5" thickBot="1" x14ac:dyDescent="0.25">
      <c r="A22" s="175"/>
      <c r="B22" s="7">
        <f t="shared" si="0"/>
        <v>12</v>
      </c>
      <c r="C22" s="178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8"/>
      <c r="Q22" s="175"/>
      <c r="R22" s="175"/>
    </row>
    <row r="23" spans="1:18" ht="15.75" x14ac:dyDescent="0.25">
      <c r="A23" s="175"/>
      <c r="B23" s="7">
        <f t="shared" si="0"/>
        <v>13</v>
      </c>
      <c r="C23" s="178"/>
      <c r="D23" s="229"/>
      <c r="E23" s="229"/>
      <c r="F23" s="229"/>
      <c r="G23" s="229"/>
      <c r="H23" s="229"/>
      <c r="I23" s="229"/>
      <c r="J23" s="229"/>
      <c r="K23" s="229"/>
      <c r="L23" s="59"/>
      <c r="M23" s="229"/>
      <c r="N23" s="5"/>
      <c r="O23" s="229"/>
      <c r="P23" s="38"/>
      <c r="Q23" s="175"/>
      <c r="R23" s="175"/>
    </row>
    <row r="24" spans="1:18" ht="13.5" x14ac:dyDescent="0.25">
      <c r="A24" s="175"/>
      <c r="B24" s="7">
        <f t="shared" si="0"/>
        <v>14</v>
      </c>
      <c r="C24" s="178"/>
      <c r="D24" s="236"/>
      <c r="E24" s="229"/>
      <c r="F24" s="229"/>
      <c r="G24" s="229"/>
      <c r="H24" s="229"/>
      <c r="I24" s="229"/>
      <c r="J24" s="229"/>
      <c r="K24" s="229"/>
      <c r="L24" s="229"/>
      <c r="M24" s="229"/>
      <c r="N24" s="5"/>
      <c r="O24" s="229"/>
      <c r="P24" s="38"/>
      <c r="Q24" s="175"/>
      <c r="R24" s="175"/>
    </row>
    <row r="25" spans="1:18" ht="15.75" x14ac:dyDescent="0.25">
      <c r="A25" s="175"/>
      <c r="B25" s="7">
        <f t="shared" si="0"/>
        <v>15</v>
      </c>
      <c r="C25" s="178"/>
      <c r="D25" s="239" t="s">
        <v>274</v>
      </c>
      <c r="E25" s="181"/>
      <c r="F25" s="229"/>
      <c r="G25" s="229"/>
      <c r="H25" s="229"/>
      <c r="I25" s="229"/>
      <c r="J25" s="229"/>
      <c r="K25" s="229"/>
      <c r="L25" s="59"/>
      <c r="M25" s="229"/>
      <c r="N25" s="5"/>
      <c r="O25" s="229"/>
      <c r="P25" s="38"/>
      <c r="Q25" s="175"/>
      <c r="R25" s="175"/>
    </row>
    <row r="26" spans="1:18" x14ac:dyDescent="0.2">
      <c r="A26" s="175"/>
      <c r="B26" s="7">
        <f t="shared" si="0"/>
        <v>16</v>
      </c>
      <c r="C26" s="178"/>
      <c r="E26" s="229"/>
      <c r="F26" s="229"/>
      <c r="G26" s="229"/>
      <c r="H26" s="229"/>
      <c r="I26" s="238"/>
      <c r="J26" s="229"/>
      <c r="K26" s="229"/>
      <c r="L26" s="229"/>
      <c r="M26" s="229"/>
      <c r="N26" s="5"/>
      <c r="O26" s="229"/>
      <c r="P26" s="38"/>
      <c r="Q26" s="175"/>
      <c r="R26" s="175"/>
    </row>
    <row r="27" spans="1:18" x14ac:dyDescent="0.2">
      <c r="A27" s="175"/>
      <c r="B27" s="7">
        <f t="shared" si="0"/>
        <v>17</v>
      </c>
      <c r="C27" s="182"/>
      <c r="E27" s="229"/>
      <c r="G27" s="169" t="s">
        <v>80</v>
      </c>
      <c r="H27" s="169"/>
      <c r="I27" s="301">
        <f>+'1.0 Inc. Stmt. RB '!F52</f>
        <v>862165.0989199999</v>
      </c>
      <c r="J27" s="301"/>
      <c r="K27" s="301">
        <f>+'1.0 Inc. Stmt. RB '!H52</f>
        <v>911571.65011419996</v>
      </c>
      <c r="L27" s="301"/>
      <c r="M27" s="301">
        <f>+'1.0 Inc. Stmt. RB '!J52</f>
        <v>1088529.8475142003</v>
      </c>
      <c r="N27" s="301"/>
      <c r="O27" s="301">
        <f>+'1.0 Inc. Stmt. RB '!L52</f>
        <v>1097568.6093742002</v>
      </c>
      <c r="P27" s="38"/>
      <c r="Q27" s="175"/>
      <c r="R27" s="175"/>
    </row>
    <row r="28" spans="1:18" x14ac:dyDescent="0.2">
      <c r="A28" s="175"/>
      <c r="B28" s="7">
        <f t="shared" si="0"/>
        <v>18</v>
      </c>
      <c r="C28" s="178"/>
      <c r="D28" s="237" t="s">
        <v>275</v>
      </c>
      <c r="F28" s="229"/>
      <c r="G28" s="229"/>
      <c r="H28" s="229"/>
      <c r="J28" s="229"/>
      <c r="K28" s="229"/>
      <c r="L28" s="229"/>
      <c r="M28" s="229"/>
      <c r="N28" s="5"/>
      <c r="O28" s="229"/>
      <c r="P28" s="38"/>
      <c r="Q28" s="175"/>
      <c r="R28" s="175"/>
    </row>
    <row r="29" spans="1:18" x14ac:dyDescent="0.2">
      <c r="A29" s="175"/>
      <c r="B29" s="7">
        <f t="shared" si="0"/>
        <v>19</v>
      </c>
      <c r="C29" s="178"/>
      <c r="G29" s="230" t="s">
        <v>276</v>
      </c>
      <c r="H29" s="230"/>
      <c r="I29" s="301">
        <f>-'1.0 Inc. Stmt. RB '!F31-'1.0 Inc. Stmt. RB '!F32</f>
        <v>-90837.476999999999</v>
      </c>
      <c r="J29" s="229"/>
      <c r="K29" s="301">
        <f>-'1.0 Inc. Stmt. RB '!H31-'1.0 Inc. Stmt. RB '!H32</f>
        <v>-149716.337</v>
      </c>
      <c r="L29" s="229"/>
      <c r="M29" s="301">
        <f>-'1.0 Inc. Stmt. RB '!J31-'1.0 Inc. Stmt. RB '!J32</f>
        <v>-151370.337</v>
      </c>
      <c r="N29" s="5"/>
      <c r="O29" s="301">
        <f>-'1.0 Inc. Stmt. RB '!L31-'1.0 Inc. Stmt. RB '!L32</f>
        <v>-151370.337</v>
      </c>
      <c r="P29" s="38"/>
      <c r="Q29" s="175"/>
      <c r="R29" s="175"/>
    </row>
    <row r="30" spans="1:18" x14ac:dyDescent="0.2">
      <c r="A30" s="175"/>
      <c r="B30" s="7">
        <f t="shared" si="0"/>
        <v>20</v>
      </c>
      <c r="C30" s="178"/>
      <c r="G30" s="230" t="s">
        <v>277</v>
      </c>
      <c r="H30" s="230"/>
      <c r="I30" s="196">
        <f>-'1.0 Inc. Stmt. RB '!F49</f>
        <v>-142926.59</v>
      </c>
      <c r="J30" s="229"/>
      <c r="K30" s="196">
        <f>-'1.0 Inc. Stmt. RB '!H49</f>
        <v>-142926.59</v>
      </c>
      <c r="L30" s="229"/>
      <c r="M30" s="196">
        <f>-'1.0 Inc. Stmt. RB '!J49</f>
        <v>-142926.59</v>
      </c>
      <c r="N30" s="5"/>
      <c r="O30" s="196">
        <f>-'1.0 Inc. Stmt. RB '!L49</f>
        <v>-142926.59</v>
      </c>
      <c r="P30" s="38"/>
      <c r="Q30" s="183"/>
      <c r="R30" s="183"/>
    </row>
    <row r="31" spans="1:18" x14ac:dyDescent="0.2">
      <c r="A31" s="175"/>
      <c r="B31" s="7">
        <f t="shared" si="0"/>
        <v>21</v>
      </c>
      <c r="C31" s="178"/>
      <c r="G31" s="230" t="s">
        <v>278</v>
      </c>
      <c r="H31" s="230"/>
      <c r="I31" s="196">
        <f>-'1.0 Inc. Stmt. RB '!F34-'1.0 Inc. Stmt. RB '!F35-'1.0 Inc. Stmt. RB '!F25</f>
        <v>-27355.961919999998</v>
      </c>
      <c r="J31" s="229"/>
      <c r="K31" s="196">
        <f>-'1.0 Inc. Stmt. RB '!H34-'1.0 Inc. Stmt. RB '!H35-'1.0 Inc. Stmt. RB '!H25</f>
        <v>-29468.8231142</v>
      </c>
      <c r="L31" s="229"/>
      <c r="M31" s="196">
        <f>-'1.0 Inc. Stmt. RB '!J34-'1.0 Inc. Stmt. RB '!J35-'1.0 Inc. Stmt. RB '!J25</f>
        <v>-30225.8231142</v>
      </c>
      <c r="N31" s="5"/>
      <c r="O31" s="196">
        <f>-'1.0 Inc. Stmt. RB '!L34-'1.0 Inc. Stmt. RB '!L35-'1.0 Inc. Stmt. RB '!L25</f>
        <v>-39264.584974199999</v>
      </c>
      <c r="P31" s="196"/>
      <c r="Q31" s="175"/>
      <c r="R31" s="175"/>
    </row>
    <row r="32" spans="1:18" x14ac:dyDescent="0.2">
      <c r="A32" s="175"/>
      <c r="B32" s="7">
        <f t="shared" si="0"/>
        <v>22</v>
      </c>
      <c r="C32" s="178"/>
      <c r="G32" s="230" t="s">
        <v>279</v>
      </c>
      <c r="H32" s="230"/>
      <c r="I32" s="307">
        <v>0</v>
      </c>
      <c r="J32" s="229"/>
      <c r="K32" s="307">
        <f>-'1.0 Inc. Stmt. RB '!H44</f>
        <v>0</v>
      </c>
      <c r="L32" s="229"/>
      <c r="M32" s="307">
        <f>-'1.0 Inc. Stmt. RB '!J44</f>
        <v>-25462</v>
      </c>
      <c r="N32" s="5"/>
      <c r="O32" s="307">
        <f>-'1.0 Inc. Stmt. RB '!L44</f>
        <v>-25462</v>
      </c>
      <c r="P32" s="302"/>
      <c r="Q32" s="175"/>
      <c r="R32" s="175"/>
    </row>
    <row r="33" spans="1:24" s="234" customFormat="1" ht="17.45" customHeight="1" x14ac:dyDescent="0.2">
      <c r="A33" s="231"/>
      <c r="B33" s="232">
        <f t="shared" si="0"/>
        <v>23</v>
      </c>
      <c r="C33" s="233"/>
      <c r="G33" s="308" t="s">
        <v>280</v>
      </c>
      <c r="H33" s="308"/>
      <c r="I33" s="309">
        <f>+SUM(I29:I32)</f>
        <v>-261120.02891999998</v>
      </c>
      <c r="J33" s="229"/>
      <c r="K33" s="309">
        <f t="shared" ref="K33:O33" si="2">+SUM(K29:K32)</f>
        <v>-322111.75011420005</v>
      </c>
      <c r="L33" s="229"/>
      <c r="M33" s="309">
        <f t="shared" si="2"/>
        <v>-349984.75011420005</v>
      </c>
      <c r="N33" s="5"/>
      <c r="O33" s="309">
        <f t="shared" si="2"/>
        <v>-359023.51197420002</v>
      </c>
      <c r="Q33" s="175"/>
      <c r="R33" s="235"/>
      <c r="T33" s="176"/>
      <c r="U33" s="176"/>
      <c r="V33" s="176"/>
      <c r="W33" s="176"/>
      <c r="X33" s="176"/>
    </row>
    <row r="34" spans="1:24" ht="13.5" thickBot="1" x14ac:dyDescent="0.25">
      <c r="A34" s="175"/>
      <c r="B34" s="7">
        <f t="shared" si="0"/>
        <v>24</v>
      </c>
      <c r="C34" s="178"/>
      <c r="E34" s="229"/>
      <c r="F34" s="230"/>
      <c r="G34" s="230" t="s">
        <v>281</v>
      </c>
      <c r="H34" s="230"/>
      <c r="I34" s="310">
        <f>+I27+I33</f>
        <v>601045.06999999995</v>
      </c>
      <c r="J34" s="229"/>
      <c r="K34" s="310">
        <f t="shared" ref="K34:O34" si="3">+K27+K33</f>
        <v>589459.89999999991</v>
      </c>
      <c r="L34" s="229"/>
      <c r="M34" s="310">
        <f t="shared" si="3"/>
        <v>738545.0974000002</v>
      </c>
      <c r="N34" s="5"/>
      <c r="O34" s="310">
        <f t="shared" si="3"/>
        <v>738545.0974000002</v>
      </c>
      <c r="P34" s="230"/>
      <c r="Q34" s="175"/>
      <c r="R34" s="175"/>
    </row>
    <row r="35" spans="1:24" ht="19.5" customHeight="1" thickTop="1" x14ac:dyDescent="0.2">
      <c r="A35" s="175"/>
      <c r="B35" s="7">
        <f t="shared" si="0"/>
        <v>25</v>
      </c>
      <c r="C35" s="178"/>
      <c r="E35" s="229"/>
      <c r="F35" s="229"/>
      <c r="G35" s="229"/>
      <c r="H35" s="229"/>
      <c r="J35" s="229"/>
      <c r="K35" s="229"/>
      <c r="L35" s="229"/>
      <c r="M35" s="229"/>
      <c r="N35" s="5"/>
      <c r="O35" s="229"/>
      <c r="P35" s="229"/>
      <c r="Q35" s="175"/>
      <c r="R35" s="175"/>
    </row>
    <row r="36" spans="1:24" x14ac:dyDescent="0.2">
      <c r="A36" s="175"/>
      <c r="B36" s="7">
        <f t="shared" si="0"/>
        <v>26</v>
      </c>
      <c r="C36" s="178"/>
      <c r="D36" s="229"/>
      <c r="E36" s="229"/>
      <c r="F36" s="229"/>
      <c r="G36" s="230" t="s">
        <v>282</v>
      </c>
      <c r="H36" s="229"/>
      <c r="I36" s="176">
        <f>+I34</f>
        <v>601045.06999999995</v>
      </c>
      <c r="J36" s="229"/>
      <c r="K36" s="176">
        <f t="shared" ref="K36:O36" si="4">+K34</f>
        <v>589459.89999999991</v>
      </c>
      <c r="L36" s="229"/>
      <c r="M36" s="176">
        <f t="shared" si="4"/>
        <v>738545.0974000002</v>
      </c>
      <c r="N36" s="5"/>
      <c r="O36" s="176">
        <f t="shared" si="4"/>
        <v>738545.0974000002</v>
      </c>
      <c r="P36" s="229"/>
      <c r="Q36" s="175"/>
      <c r="R36" s="175"/>
    </row>
    <row r="37" spans="1:24" x14ac:dyDescent="0.2">
      <c r="A37" s="175"/>
      <c r="B37" s="7">
        <f t="shared" si="0"/>
        <v>27</v>
      </c>
      <c r="C37" s="178"/>
      <c r="G37" s="227" t="s">
        <v>283</v>
      </c>
      <c r="H37" s="227"/>
      <c r="I37" s="228">
        <f>45/350</f>
        <v>0.12857142857142856</v>
      </c>
      <c r="J37" s="229"/>
      <c r="K37" s="228">
        <f t="shared" ref="K37:O37" si="5">45/350</f>
        <v>0.12857142857142856</v>
      </c>
      <c r="L37" s="229"/>
      <c r="M37" s="228">
        <f t="shared" si="5"/>
        <v>0.12857142857142856</v>
      </c>
      <c r="N37" s="5"/>
      <c r="O37" s="228">
        <f t="shared" si="5"/>
        <v>0.12857142857142856</v>
      </c>
      <c r="P37" s="229"/>
      <c r="Q37" s="175"/>
      <c r="R37" s="175"/>
    </row>
    <row r="38" spans="1:24" ht="13.5" thickBot="1" x14ac:dyDescent="0.25">
      <c r="A38" s="175"/>
      <c r="B38" s="7">
        <f t="shared" si="0"/>
        <v>28</v>
      </c>
      <c r="C38" s="178"/>
      <c r="G38" s="227" t="s">
        <v>284</v>
      </c>
      <c r="I38" s="311">
        <f>(I34*45/350)</f>
        <v>77277.223285714281</v>
      </c>
      <c r="J38" s="229"/>
      <c r="K38" s="311">
        <f t="shared" ref="K38:O38" si="6">(K34*45/350)</f>
        <v>75787.701428571425</v>
      </c>
      <c r="L38" s="229"/>
      <c r="M38" s="311">
        <f t="shared" si="6"/>
        <v>94955.798237142881</v>
      </c>
      <c r="N38" s="5"/>
      <c r="O38" s="311">
        <f t="shared" si="6"/>
        <v>94955.798237142881</v>
      </c>
      <c r="P38" s="229"/>
      <c r="Q38" s="175"/>
      <c r="R38" s="175"/>
    </row>
    <row r="39" spans="1:24" ht="13.5" thickTop="1" x14ac:dyDescent="0.2">
      <c r="A39" s="175"/>
      <c r="B39" s="7">
        <f t="shared" si="0"/>
        <v>29</v>
      </c>
      <c r="C39" s="178"/>
      <c r="J39" s="229"/>
      <c r="L39" s="229"/>
      <c r="N39" s="5"/>
      <c r="P39" s="38"/>
      <c r="Q39" s="175"/>
      <c r="R39" s="175"/>
      <c r="S39" s="185"/>
    </row>
    <row r="40" spans="1:24" x14ac:dyDescent="0.2">
      <c r="A40" s="175"/>
      <c r="B40" s="7">
        <f t="shared" si="0"/>
        <v>30</v>
      </c>
      <c r="C40" s="178"/>
      <c r="D40" s="184"/>
      <c r="E40" s="38"/>
      <c r="F40" s="38"/>
      <c r="G40" s="227"/>
      <c r="H40" s="227"/>
      <c r="I40" s="185"/>
      <c r="J40" s="229"/>
      <c r="K40" s="185"/>
      <c r="L40" s="229"/>
      <c r="M40" s="185"/>
      <c r="N40" s="5"/>
      <c r="O40" s="185"/>
      <c r="P40" s="38"/>
      <c r="Q40" s="175"/>
      <c r="R40" s="175"/>
      <c r="S40" s="185"/>
    </row>
    <row r="41" spans="1:24" ht="14.25" x14ac:dyDescent="0.2">
      <c r="A41" s="175"/>
      <c r="B41" s="7">
        <f t="shared" si="0"/>
        <v>31</v>
      </c>
      <c r="C41" s="178"/>
      <c r="D41" s="239" t="s">
        <v>285</v>
      </c>
      <c r="E41" s="229"/>
      <c r="F41" s="229"/>
      <c r="G41" s="229"/>
      <c r="H41" s="229"/>
      <c r="I41" s="229"/>
      <c r="J41" s="229"/>
      <c r="K41" s="229"/>
      <c r="L41" s="229"/>
      <c r="M41" s="229"/>
      <c r="N41" s="5"/>
      <c r="O41" s="229"/>
      <c r="P41" s="38"/>
      <c r="Q41" s="175"/>
      <c r="R41" s="175"/>
      <c r="S41" s="185"/>
      <c r="T41" s="186"/>
    </row>
    <row r="42" spans="1:24" x14ac:dyDescent="0.2">
      <c r="A42" s="175"/>
      <c r="B42" s="7">
        <f t="shared" si="0"/>
        <v>32</v>
      </c>
      <c r="C42" s="178"/>
      <c r="E42" s="229"/>
      <c r="G42" s="227" t="s">
        <v>277</v>
      </c>
      <c r="H42" s="227"/>
      <c r="I42" s="176">
        <f>-I30</f>
        <v>142926.59</v>
      </c>
      <c r="J42" s="229"/>
      <c r="K42" s="176">
        <f>-K30</f>
        <v>142926.59</v>
      </c>
      <c r="L42" s="229"/>
      <c r="M42" s="176">
        <f>-M30</f>
        <v>142926.59</v>
      </c>
      <c r="N42" s="5"/>
      <c r="O42" s="176">
        <f>-O30</f>
        <v>142926.59</v>
      </c>
      <c r="P42" s="38"/>
      <c r="Q42" s="175"/>
      <c r="R42" s="175"/>
      <c r="S42" s="185"/>
      <c r="T42" s="186"/>
    </row>
    <row r="43" spans="1:24" x14ac:dyDescent="0.2">
      <c r="A43" s="175"/>
      <c r="B43" s="7">
        <f t="shared" si="0"/>
        <v>33</v>
      </c>
      <c r="C43" s="178"/>
      <c r="D43" s="184"/>
      <c r="E43" s="38"/>
      <c r="F43" s="38"/>
      <c r="G43" s="227" t="s">
        <v>286</v>
      </c>
      <c r="H43" s="227"/>
      <c r="I43" s="240">
        <v>4.1669999999999999E-2</v>
      </c>
      <c r="J43" s="312"/>
      <c r="K43" s="240">
        <f>+I43</f>
        <v>4.1669999999999999E-2</v>
      </c>
      <c r="L43" s="312"/>
      <c r="M43" s="240">
        <f>+K43</f>
        <v>4.1669999999999999E-2</v>
      </c>
      <c r="N43" s="313"/>
      <c r="O43" s="240">
        <f>+M43</f>
        <v>4.1669999999999999E-2</v>
      </c>
      <c r="P43" s="38"/>
      <c r="Q43" s="175"/>
      <c r="R43" s="175"/>
      <c r="S43" s="185"/>
      <c r="T43" s="186"/>
    </row>
    <row r="44" spans="1:24" x14ac:dyDescent="0.2">
      <c r="A44" s="175"/>
      <c r="B44" s="7">
        <f t="shared" si="0"/>
        <v>34</v>
      </c>
      <c r="C44" s="178"/>
      <c r="F44" s="229"/>
      <c r="G44" s="230" t="s">
        <v>287</v>
      </c>
      <c r="H44" s="229"/>
      <c r="I44" s="311">
        <f>+I42*I43</f>
        <v>5955.7510052999996</v>
      </c>
      <c r="J44" s="229"/>
      <c r="K44" s="311">
        <f t="shared" ref="K44:O44" si="7">+K42*K43</f>
        <v>5955.7510052999996</v>
      </c>
      <c r="L44" s="229"/>
      <c r="M44" s="311">
        <f t="shared" si="7"/>
        <v>5955.7510052999996</v>
      </c>
      <c r="N44" s="5"/>
      <c r="O44" s="311">
        <f t="shared" si="7"/>
        <v>5955.7510052999996</v>
      </c>
      <c r="P44" s="38"/>
      <c r="Q44" s="175"/>
      <c r="R44" s="175"/>
      <c r="S44" s="185"/>
      <c r="T44" s="186"/>
    </row>
    <row r="45" spans="1:24" x14ac:dyDescent="0.2">
      <c r="A45" s="175"/>
      <c r="B45" s="7">
        <f t="shared" si="0"/>
        <v>35</v>
      </c>
      <c r="C45" s="178"/>
      <c r="D45" s="322"/>
      <c r="E45" s="322"/>
      <c r="F45" s="322"/>
      <c r="G45" s="322"/>
      <c r="P45" s="38"/>
      <c r="Q45" s="175"/>
      <c r="R45" s="175"/>
      <c r="S45" s="185"/>
      <c r="T45" s="186"/>
    </row>
    <row r="46" spans="1:24" x14ac:dyDescent="0.2">
      <c r="A46" s="175"/>
      <c r="B46" s="7">
        <f t="shared" si="0"/>
        <v>36</v>
      </c>
      <c r="C46" s="178"/>
      <c r="P46" s="38"/>
      <c r="Q46" s="175"/>
      <c r="R46" s="175"/>
      <c r="S46" s="185"/>
      <c r="T46" s="186"/>
    </row>
    <row r="47" spans="1:24" ht="14.25" x14ac:dyDescent="0.2">
      <c r="A47" s="175"/>
      <c r="B47" s="7">
        <f t="shared" si="0"/>
        <v>37</v>
      </c>
      <c r="C47" s="178"/>
      <c r="D47" s="239" t="s">
        <v>288</v>
      </c>
      <c r="J47" s="229"/>
      <c r="L47" s="229"/>
      <c r="N47" s="5"/>
      <c r="P47" s="38"/>
      <c r="Q47" s="175"/>
      <c r="R47" s="175"/>
      <c r="S47" s="185"/>
      <c r="T47" s="186"/>
    </row>
    <row r="48" spans="1:24" x14ac:dyDescent="0.2">
      <c r="A48" s="175"/>
      <c r="B48" s="7">
        <f t="shared" si="0"/>
        <v>38</v>
      </c>
      <c r="J48" s="229"/>
      <c r="K48" s="38"/>
      <c r="L48" s="38"/>
      <c r="M48" s="38"/>
      <c r="N48" s="5"/>
      <c r="O48" s="38"/>
      <c r="P48" s="38"/>
      <c r="Q48" s="175"/>
      <c r="R48" s="175"/>
    </row>
    <row r="49" spans="1:18" x14ac:dyDescent="0.2">
      <c r="A49" s="175"/>
      <c r="B49" s="7">
        <f t="shared" si="0"/>
        <v>39</v>
      </c>
      <c r="C49" s="182"/>
      <c r="G49" s="227" t="s">
        <v>289</v>
      </c>
      <c r="I49" s="319">
        <f>+I38-I44</f>
        <v>71321.47228041428</v>
      </c>
      <c r="J49" s="229"/>
      <c r="K49" s="319">
        <f>+K38-K44</f>
        <v>69831.950423271424</v>
      </c>
      <c r="L49" s="38"/>
      <c r="M49" s="319">
        <f>+M38-M44</f>
        <v>89000.04723184288</v>
      </c>
      <c r="N49" s="5"/>
      <c r="O49" s="319">
        <f>+O38-O44</f>
        <v>89000.04723184288</v>
      </c>
      <c r="P49" s="38"/>
      <c r="Q49" s="175"/>
      <c r="R49" s="175"/>
    </row>
    <row r="50" spans="1:18" ht="13.5" thickTop="1" x14ac:dyDescent="0.2">
      <c r="A50" s="175"/>
      <c r="B50" s="7">
        <f t="shared" si="0"/>
        <v>40</v>
      </c>
      <c r="C50" s="178"/>
      <c r="J50" s="38"/>
      <c r="K50" s="38"/>
      <c r="L50" s="38"/>
      <c r="M50" s="38"/>
      <c r="N50" s="38"/>
      <c r="O50" s="38"/>
      <c r="P50" s="38"/>
      <c r="Q50" s="175"/>
      <c r="R50" s="175"/>
    </row>
    <row r="51" spans="1:18" x14ac:dyDescent="0.2">
      <c r="A51" s="175"/>
      <c r="B51" s="7">
        <f t="shared" si="0"/>
        <v>41</v>
      </c>
      <c r="D51" s="38"/>
      <c r="E51" s="38"/>
      <c r="F51" s="38"/>
      <c r="P51" s="38"/>
      <c r="Q51" s="175"/>
      <c r="R51" s="175"/>
    </row>
    <row r="52" spans="1:18" x14ac:dyDescent="0.2">
      <c r="A52" s="175"/>
      <c r="B52" s="7">
        <f t="shared" si="0"/>
        <v>42</v>
      </c>
      <c r="C52" s="182"/>
      <c r="D52" s="38"/>
      <c r="E52" s="38"/>
      <c r="F52" s="38"/>
      <c r="P52" s="187"/>
      <c r="Q52" s="175"/>
      <c r="R52" s="175"/>
    </row>
    <row r="53" spans="1:18" x14ac:dyDescent="0.2">
      <c r="A53" s="175"/>
      <c r="B53" s="7">
        <f t="shared" si="0"/>
        <v>43</v>
      </c>
      <c r="Q53" s="175"/>
      <c r="R53" s="175"/>
    </row>
    <row r="54" spans="1:18" x14ac:dyDescent="0.2">
      <c r="A54" s="175"/>
      <c r="B54" s="7">
        <f t="shared" si="0"/>
        <v>44</v>
      </c>
      <c r="Q54" s="175"/>
      <c r="R54" s="175"/>
    </row>
    <row r="55" spans="1:18" x14ac:dyDescent="0.2">
      <c r="A55" s="175"/>
      <c r="B55" s="7">
        <f t="shared" si="0"/>
        <v>45</v>
      </c>
      <c r="Q55" s="175"/>
      <c r="R55" s="175"/>
    </row>
    <row r="56" spans="1:18" x14ac:dyDescent="0.2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</row>
    <row r="57" spans="1:18" x14ac:dyDescent="0.2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</row>
    <row r="58" spans="1:18" x14ac:dyDescent="0.2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</row>
    <row r="59" spans="1:18" x14ac:dyDescent="0.2">
      <c r="A59" s="175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</row>
    <row r="60" spans="1:18" x14ac:dyDescent="0.2">
      <c r="A60" s="175"/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</row>
    <row r="61" spans="1:18" x14ac:dyDescent="0.2">
      <c r="A61" s="175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</row>
    <row r="62" spans="1:18" x14ac:dyDescent="0.2">
      <c r="A62" s="175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</row>
    <row r="63" spans="1:18" x14ac:dyDescent="0.2">
      <c r="A63" s="175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</row>
    <row r="64" spans="1:18" x14ac:dyDescent="0.2">
      <c r="A64" s="175"/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</row>
    <row r="65" spans="1:18" x14ac:dyDescent="0.2">
      <c r="A65" s="175"/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</row>
    <row r="66" spans="1:18" x14ac:dyDescent="0.2">
      <c r="A66" s="175"/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</row>
  </sheetData>
  <mergeCells count="2">
    <mergeCell ref="B7:F7"/>
    <mergeCell ref="B8:F8"/>
  </mergeCells>
  <pageMargins left="0.75" right="0.75" top="0.72" bottom="0.81" header="0.5" footer="0.5"/>
  <pageSetup scale="63" orientation="portrait" r:id="rId1"/>
  <headerFooter alignWithMargins="0">
    <oddFooter>&amp;L&amp;8&amp;T  &amp;D&amp;C&amp;8&amp;F&amp;A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N70"/>
  <sheetViews>
    <sheetView showGridLines="0" topLeftCell="A21" workbookViewId="0"/>
  </sheetViews>
  <sheetFormatPr defaultRowHeight="15.75" x14ac:dyDescent="0.25"/>
  <cols>
    <col min="1" max="1" width="9.625" customWidth="1"/>
    <col min="2" max="2" width="4.25" customWidth="1"/>
    <col min="3" max="3" width="4" customWidth="1"/>
    <col min="4" max="4" width="12" customWidth="1"/>
    <col min="5" max="5" width="16.75" customWidth="1"/>
    <col min="6" max="6" width="14.5" customWidth="1"/>
    <col min="7" max="7" width="12.75" customWidth="1"/>
    <col min="8" max="8" width="11" customWidth="1"/>
    <col min="9" max="9" width="11.5" customWidth="1"/>
    <col min="10" max="10" width="10.5" customWidth="1"/>
    <col min="11" max="11" width="12.625" customWidth="1"/>
    <col min="12" max="12" width="13.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221" t="str">
        <f>+cover!B8</f>
        <v>Summit View Water Works LLC</v>
      </c>
      <c r="G3" s="32"/>
      <c r="H3" s="32"/>
      <c r="J3" s="332" t="s">
        <v>6</v>
      </c>
      <c r="L3" s="1"/>
      <c r="M3" s="1"/>
      <c r="N3" s="1"/>
    </row>
    <row r="4" spans="1:14" x14ac:dyDescent="0.25">
      <c r="A4" s="1"/>
      <c r="B4" s="222" t="str">
        <f>+Test_Yr</f>
        <v>Test Year Ended December 31, 2023</v>
      </c>
      <c r="L4" s="1"/>
      <c r="M4" s="1"/>
      <c r="N4" s="1"/>
    </row>
    <row r="5" spans="1:14" x14ac:dyDescent="0.25">
      <c r="A5" s="1"/>
      <c r="B5" s="8" t="s">
        <v>290</v>
      </c>
      <c r="G5" s="40" t="s">
        <v>291</v>
      </c>
      <c r="L5" s="1"/>
      <c r="M5" s="1"/>
      <c r="N5" s="1"/>
    </row>
    <row r="6" spans="1:14" ht="15.6" customHeight="1" x14ac:dyDescent="0.25">
      <c r="A6" s="1"/>
      <c r="B6" s="8"/>
      <c r="D6" s="8"/>
      <c r="L6" s="1"/>
      <c r="M6" s="1"/>
      <c r="N6" s="1"/>
    </row>
    <row r="7" spans="1:14" ht="15.6" customHeight="1" x14ac:dyDescent="0.25">
      <c r="A7" s="1"/>
      <c r="B7" s="5" t="s">
        <v>18</v>
      </c>
      <c r="G7" s="132" t="s">
        <v>292</v>
      </c>
      <c r="H7" s="132"/>
      <c r="L7" s="1"/>
      <c r="M7" s="1"/>
      <c r="N7" s="1"/>
    </row>
    <row r="8" spans="1:14" ht="15.6" customHeight="1" x14ac:dyDescent="0.25">
      <c r="A8" s="1"/>
      <c r="B8" s="6" t="s">
        <v>19</v>
      </c>
      <c r="E8" s="27" t="s">
        <v>9</v>
      </c>
      <c r="F8" s="40" t="s">
        <v>10</v>
      </c>
      <c r="G8" s="40" t="s">
        <v>11</v>
      </c>
      <c r="H8" s="40" t="s">
        <v>12</v>
      </c>
      <c r="I8" s="40" t="s">
        <v>13</v>
      </c>
      <c r="J8" s="40" t="s">
        <v>14</v>
      </c>
      <c r="L8" s="1"/>
      <c r="M8" s="1"/>
      <c r="N8" s="1"/>
    </row>
    <row r="9" spans="1:14" ht="15.6" customHeight="1" x14ac:dyDescent="0.25">
      <c r="A9" s="1"/>
      <c r="B9" s="6"/>
      <c r="E9" s="27"/>
      <c r="F9" s="459" t="s">
        <v>293</v>
      </c>
      <c r="G9" s="460"/>
      <c r="H9" s="40"/>
      <c r="I9" s="40"/>
      <c r="J9" s="193" t="s">
        <v>24</v>
      </c>
      <c r="L9" s="1"/>
      <c r="M9" s="1"/>
      <c r="N9" s="1"/>
    </row>
    <row r="10" spans="1:14" ht="15.6" customHeight="1" x14ac:dyDescent="0.25">
      <c r="A10" s="1"/>
      <c r="B10" s="7">
        <v>1</v>
      </c>
      <c r="D10" s="157"/>
      <c r="E10" s="167" t="s">
        <v>228</v>
      </c>
      <c r="F10" s="191" t="s">
        <v>294</v>
      </c>
      <c r="G10" s="192" t="s">
        <v>295</v>
      </c>
      <c r="H10" s="168" t="s">
        <v>27</v>
      </c>
      <c r="I10" s="168" t="s">
        <v>296</v>
      </c>
      <c r="J10" s="194" t="s">
        <v>297</v>
      </c>
      <c r="L10" s="1"/>
      <c r="M10" s="1"/>
      <c r="N10" s="1"/>
    </row>
    <row r="11" spans="1:14" ht="15.6" customHeight="1" x14ac:dyDescent="0.25">
      <c r="A11" s="1"/>
      <c r="B11" s="7">
        <f t="shared" ref="B11:B61" si="0">+B10+1</f>
        <v>2</v>
      </c>
      <c r="D11" s="324"/>
      <c r="E11" s="324"/>
      <c r="F11" s="324"/>
      <c r="L11" s="1"/>
      <c r="M11" s="1"/>
      <c r="N11" s="1"/>
    </row>
    <row r="12" spans="1:14" ht="15.6" customHeight="1" x14ac:dyDescent="0.25">
      <c r="A12" s="1"/>
      <c r="B12" s="7">
        <f t="shared" si="0"/>
        <v>3</v>
      </c>
      <c r="D12" s="461" t="s">
        <v>298</v>
      </c>
      <c r="E12" s="461"/>
      <c r="F12" s="195"/>
      <c r="G12" s="195"/>
      <c r="H12" s="195"/>
      <c r="I12" s="195"/>
      <c r="J12" s="196"/>
      <c r="L12" s="1"/>
      <c r="M12" s="1"/>
      <c r="N12" s="1"/>
    </row>
    <row r="13" spans="1:14" ht="15.6" customHeight="1" x14ac:dyDescent="0.25">
      <c r="A13" s="1"/>
      <c r="B13" s="7">
        <f t="shared" si="0"/>
        <v>4</v>
      </c>
      <c r="D13" s="195" t="s">
        <v>299</v>
      </c>
      <c r="E13" s="27"/>
      <c r="F13" s="301">
        <v>64024</v>
      </c>
      <c r="G13" s="301">
        <v>27591</v>
      </c>
      <c r="H13" s="195"/>
      <c r="I13" s="195"/>
      <c r="J13" s="301">
        <f>+F13-G13+H13</f>
        <v>36433</v>
      </c>
      <c r="L13" s="1"/>
      <c r="M13" s="1"/>
      <c r="N13" s="1"/>
    </row>
    <row r="14" spans="1:14" ht="15.6" customHeight="1" x14ac:dyDescent="0.25">
      <c r="A14" s="1"/>
      <c r="B14" s="7">
        <f t="shared" si="0"/>
        <v>5</v>
      </c>
      <c r="D14" s="195" t="s">
        <v>300</v>
      </c>
      <c r="E14" s="27"/>
      <c r="F14" s="342">
        <v>2378047</v>
      </c>
      <c r="G14" s="342">
        <v>548728</v>
      </c>
      <c r="H14" s="195"/>
      <c r="I14" s="195"/>
      <c r="J14" s="196">
        <f t="shared" ref="J14:J19" si="1">+F14-G14+H14</f>
        <v>1829319</v>
      </c>
      <c r="L14" s="1"/>
      <c r="M14" s="1"/>
      <c r="N14" s="1"/>
    </row>
    <row r="15" spans="1:14" ht="15.6" customHeight="1" x14ac:dyDescent="0.25">
      <c r="A15" s="1"/>
      <c r="B15" s="7">
        <f t="shared" si="0"/>
        <v>6</v>
      </c>
      <c r="D15" s="195" t="s">
        <v>301</v>
      </c>
      <c r="E15" s="27"/>
      <c r="F15" s="342">
        <v>247354</v>
      </c>
      <c r="G15" s="342">
        <v>88764</v>
      </c>
      <c r="H15" s="195"/>
      <c r="I15" s="195"/>
      <c r="J15" s="196">
        <f t="shared" si="1"/>
        <v>158590</v>
      </c>
      <c r="L15" s="1"/>
      <c r="M15" s="1"/>
      <c r="N15" s="1"/>
    </row>
    <row r="16" spans="1:14" ht="15.6" customHeight="1" x14ac:dyDescent="0.25">
      <c r="A16" s="1"/>
      <c r="B16" s="7">
        <f t="shared" si="0"/>
        <v>7</v>
      </c>
      <c r="D16" s="195" t="s">
        <v>302</v>
      </c>
      <c r="E16" s="27"/>
      <c r="F16" s="342">
        <v>247648</v>
      </c>
      <c r="G16" s="342">
        <v>104603</v>
      </c>
      <c r="H16" s="195"/>
      <c r="I16" s="195"/>
      <c r="J16" s="196">
        <f t="shared" si="1"/>
        <v>143045</v>
      </c>
      <c r="L16" s="1"/>
      <c r="M16" s="1"/>
      <c r="N16" s="1"/>
    </row>
    <row r="17" spans="1:14" ht="15.6" customHeight="1" x14ac:dyDescent="0.25">
      <c r="A17" s="1"/>
      <c r="B17" s="7">
        <f t="shared" si="0"/>
        <v>8</v>
      </c>
      <c r="D17" s="195" t="s">
        <v>303</v>
      </c>
      <c r="E17" s="27"/>
      <c r="F17" s="342">
        <v>36750</v>
      </c>
      <c r="G17" s="342">
        <v>9684</v>
      </c>
      <c r="H17" s="195">
        <f>+'1.3 Pro Forma Adj'!R71</f>
        <v>23848</v>
      </c>
      <c r="I17" s="292" t="s">
        <v>207</v>
      </c>
      <c r="J17" s="196">
        <f t="shared" si="1"/>
        <v>50914</v>
      </c>
      <c r="L17" s="1"/>
      <c r="M17" s="1"/>
      <c r="N17" s="1"/>
    </row>
    <row r="18" spans="1:14" ht="15.6" customHeight="1" x14ac:dyDescent="0.25">
      <c r="A18" s="1"/>
      <c r="B18" s="7">
        <f t="shared" si="0"/>
        <v>9</v>
      </c>
      <c r="D18" s="195" t="s">
        <v>304</v>
      </c>
      <c r="E18" s="27"/>
      <c r="F18" s="342">
        <v>4018</v>
      </c>
      <c r="G18" s="342">
        <v>4018</v>
      </c>
      <c r="H18" s="195"/>
      <c r="I18" s="195"/>
      <c r="J18" s="196">
        <f t="shared" si="1"/>
        <v>0</v>
      </c>
      <c r="L18" s="1"/>
      <c r="M18" s="1"/>
      <c r="N18" s="1"/>
    </row>
    <row r="19" spans="1:14" ht="15.6" customHeight="1" x14ac:dyDescent="0.25">
      <c r="A19" s="1"/>
      <c r="B19" s="7">
        <f t="shared" si="0"/>
        <v>10</v>
      </c>
      <c r="D19" s="195" t="s">
        <v>305</v>
      </c>
      <c r="F19" s="343">
        <v>15620</v>
      </c>
      <c r="G19" s="343">
        <v>2603</v>
      </c>
      <c r="H19" s="195"/>
      <c r="I19" s="195"/>
      <c r="J19" s="196">
        <f t="shared" si="1"/>
        <v>13017</v>
      </c>
      <c r="L19" s="1"/>
      <c r="M19" s="1"/>
      <c r="N19" s="1"/>
    </row>
    <row r="20" spans="1:14" ht="15.6" customHeight="1" x14ac:dyDescent="0.25">
      <c r="A20" s="1"/>
      <c r="B20" s="7">
        <f t="shared" si="0"/>
        <v>11</v>
      </c>
      <c r="D20" s="45"/>
      <c r="E20" s="27"/>
      <c r="F20" s="325"/>
      <c r="G20" s="325"/>
      <c r="H20" s="195"/>
      <c r="I20" s="195"/>
      <c r="J20" s="196"/>
      <c r="L20" s="1"/>
      <c r="M20" s="1"/>
      <c r="N20" s="1"/>
    </row>
    <row r="21" spans="1:14" ht="16.149999999999999" customHeight="1" x14ac:dyDescent="0.25">
      <c r="A21" s="1"/>
      <c r="B21" s="7">
        <f t="shared" si="0"/>
        <v>12</v>
      </c>
      <c r="D21" s="43"/>
      <c r="E21" s="163" t="s">
        <v>306</v>
      </c>
      <c r="F21" s="328">
        <f>SUM(F13:F20)</f>
        <v>2993461</v>
      </c>
      <c r="G21" s="328">
        <f>SUM(G13:G20)</f>
        <v>785991</v>
      </c>
      <c r="H21" s="328">
        <f>SUM(H13:H20)</f>
        <v>23848</v>
      </c>
      <c r="I21" s="195"/>
      <c r="J21" s="328">
        <f t="shared" ref="J21" si="2">SUM(J12:J20)</f>
        <v>2231318</v>
      </c>
      <c r="L21" s="1"/>
      <c r="M21" s="1"/>
      <c r="N21" s="1"/>
    </row>
    <row r="22" spans="1:14" ht="16.149999999999999" customHeight="1" x14ac:dyDescent="0.25">
      <c r="A22" s="1"/>
      <c r="B22" s="7">
        <f t="shared" si="0"/>
        <v>13</v>
      </c>
      <c r="D22" s="197"/>
      <c r="E22" s="198"/>
      <c r="F22" s="325"/>
      <c r="G22" s="325"/>
      <c r="H22" s="195"/>
      <c r="I22" s="195"/>
      <c r="J22" s="195"/>
      <c r="K22" s="195"/>
      <c r="L22" s="1"/>
      <c r="M22" s="1"/>
      <c r="N22" s="1"/>
    </row>
    <row r="23" spans="1:14" ht="15.6" customHeight="1" x14ac:dyDescent="0.25">
      <c r="A23" s="1"/>
      <c r="B23" s="7">
        <f t="shared" si="0"/>
        <v>14</v>
      </c>
      <c r="D23" s="461" t="s">
        <v>307</v>
      </c>
      <c r="E23" s="461"/>
      <c r="F23" s="43"/>
      <c r="G23" s="43"/>
      <c r="I23" s="195"/>
      <c r="J23" s="195"/>
      <c r="K23" s="195"/>
      <c r="L23" s="1"/>
      <c r="M23" s="1"/>
      <c r="N23" s="1"/>
    </row>
    <row r="24" spans="1:14" ht="15.6" customHeight="1" x14ac:dyDescent="0.25">
      <c r="A24" s="1"/>
      <c r="B24" s="7">
        <f t="shared" si="0"/>
        <v>15</v>
      </c>
      <c r="D24" s="195" t="s">
        <v>300</v>
      </c>
      <c r="E24" s="43"/>
      <c r="F24" s="301">
        <v>1457959</v>
      </c>
      <c r="G24" s="301">
        <v>304690</v>
      </c>
      <c r="J24" s="301">
        <f t="shared" ref="J24:J27" si="3">+F24-G24+H24</f>
        <v>1153269</v>
      </c>
      <c r="L24" s="1"/>
      <c r="M24" s="1"/>
      <c r="N24" s="1"/>
    </row>
    <row r="25" spans="1:14" ht="15.6" customHeight="1" x14ac:dyDescent="0.25">
      <c r="A25" s="1"/>
      <c r="B25" s="7">
        <f t="shared" si="0"/>
        <v>16</v>
      </c>
      <c r="D25" s="195" t="s">
        <v>301</v>
      </c>
      <c r="E25" s="43"/>
      <c r="F25" s="325">
        <v>83192</v>
      </c>
      <c r="G25" s="325">
        <v>26204</v>
      </c>
      <c r="J25" s="196">
        <f t="shared" si="3"/>
        <v>56988</v>
      </c>
      <c r="L25" s="1"/>
      <c r="M25" s="1"/>
      <c r="N25" s="1"/>
    </row>
    <row r="26" spans="1:14" ht="15.6" customHeight="1" x14ac:dyDescent="0.25">
      <c r="A26" s="1"/>
      <c r="B26" s="7">
        <f t="shared" si="0"/>
        <v>17</v>
      </c>
      <c r="D26" s="195" t="s">
        <v>302</v>
      </c>
      <c r="E26" s="43"/>
      <c r="F26" s="325">
        <v>97370</v>
      </c>
      <c r="G26" s="325">
        <v>22161</v>
      </c>
      <c r="H26" s="195"/>
      <c r="I26" s="195"/>
      <c r="J26" s="196">
        <f t="shared" si="3"/>
        <v>75209</v>
      </c>
      <c r="L26" s="1"/>
      <c r="M26" s="1"/>
      <c r="N26" s="1"/>
    </row>
    <row r="27" spans="1:14" ht="15.6" customHeight="1" x14ac:dyDescent="0.25">
      <c r="A27" s="1"/>
      <c r="B27" s="7">
        <f t="shared" si="0"/>
        <v>18</v>
      </c>
      <c r="D27" s="195" t="s">
        <v>303</v>
      </c>
      <c r="E27" s="43"/>
      <c r="F27" s="325">
        <v>1495</v>
      </c>
      <c r="G27" s="325">
        <v>492</v>
      </c>
      <c r="H27" s="195"/>
      <c r="I27" s="195"/>
      <c r="J27" s="196">
        <f t="shared" si="3"/>
        <v>1003</v>
      </c>
      <c r="L27" s="1"/>
      <c r="M27" s="1"/>
      <c r="N27" s="1"/>
    </row>
    <row r="28" spans="1:14" ht="16.149999999999999" customHeight="1" x14ac:dyDescent="0.25">
      <c r="A28" s="1"/>
      <c r="B28" s="35">
        <f t="shared" si="0"/>
        <v>19</v>
      </c>
      <c r="C28" s="54"/>
      <c r="D28" s="43"/>
      <c r="E28" s="163" t="s">
        <v>306</v>
      </c>
      <c r="F28" s="328">
        <f>SUM(F24:F27)</f>
        <v>1640016</v>
      </c>
      <c r="G28" s="328">
        <f>SUM(G24:G27)</f>
        <v>353547</v>
      </c>
      <c r="H28" s="328">
        <f>SUM(H24:H27)</f>
        <v>0</v>
      </c>
      <c r="I28" s="195"/>
      <c r="J28" s="328">
        <f>SUM(J24:J27)</f>
        <v>1286469</v>
      </c>
      <c r="L28" s="1"/>
      <c r="M28" s="1"/>
      <c r="N28" s="1"/>
    </row>
    <row r="29" spans="1:14" ht="16.149999999999999" customHeight="1" x14ac:dyDescent="0.25">
      <c r="A29" s="1"/>
      <c r="B29" s="35">
        <f t="shared" si="0"/>
        <v>20</v>
      </c>
      <c r="C29" s="54"/>
      <c r="D29" s="43"/>
      <c r="E29" s="43"/>
      <c r="F29" s="43"/>
      <c r="G29" s="43"/>
      <c r="H29" s="195"/>
      <c r="I29" s="195"/>
      <c r="J29" s="195"/>
      <c r="L29" s="1"/>
      <c r="M29" s="1"/>
      <c r="N29" s="1"/>
    </row>
    <row r="30" spans="1:14" ht="15.6" customHeight="1" x14ac:dyDescent="0.25">
      <c r="A30" s="1"/>
      <c r="B30" s="35">
        <f t="shared" si="0"/>
        <v>21</v>
      </c>
      <c r="C30" s="54"/>
      <c r="D30" s="43"/>
      <c r="E30" s="43"/>
      <c r="F30" s="43"/>
      <c r="G30" s="43"/>
      <c r="H30" s="195"/>
      <c r="I30" s="195"/>
      <c r="J30" s="195"/>
      <c r="L30" s="1"/>
      <c r="M30" s="1"/>
      <c r="N30" s="1"/>
    </row>
    <row r="31" spans="1:14" ht="16.149999999999999" customHeight="1" x14ac:dyDescent="0.25">
      <c r="A31" s="1"/>
      <c r="B31" s="35">
        <f t="shared" si="0"/>
        <v>22</v>
      </c>
      <c r="C31" s="54"/>
      <c r="D31" s="461" t="s">
        <v>308</v>
      </c>
      <c r="E31" s="461"/>
      <c r="F31" s="325"/>
      <c r="G31" s="325"/>
      <c r="H31" s="195"/>
      <c r="I31" s="195"/>
      <c r="J31" s="195"/>
      <c r="L31" s="1"/>
      <c r="M31" s="1"/>
      <c r="N31" s="1"/>
    </row>
    <row r="32" spans="1:14" ht="16.149999999999999" customHeight="1" x14ac:dyDescent="0.25">
      <c r="A32" s="1"/>
      <c r="B32" s="35">
        <f t="shared" si="0"/>
        <v>23</v>
      </c>
      <c r="C32" s="54"/>
      <c r="D32" s="195" t="s">
        <v>301</v>
      </c>
      <c r="E32" s="43"/>
      <c r="F32" s="301">
        <v>434468</v>
      </c>
      <c r="G32" s="301">
        <v>15518</v>
      </c>
      <c r="H32" s="195"/>
      <c r="I32" s="195"/>
      <c r="J32" s="301">
        <f t="shared" ref="J32:J37" si="4">+F32-G32+H32</f>
        <v>418950</v>
      </c>
      <c r="L32" s="1"/>
      <c r="M32" s="1"/>
      <c r="N32" s="1"/>
    </row>
    <row r="33" spans="1:14" ht="15.6" customHeight="1" x14ac:dyDescent="0.25">
      <c r="A33" s="1"/>
      <c r="B33" s="35">
        <f t="shared" si="0"/>
        <v>24</v>
      </c>
      <c r="C33" s="54"/>
      <c r="D33" s="195" t="s">
        <v>302</v>
      </c>
      <c r="E33" s="27"/>
      <c r="F33" s="325">
        <v>57057</v>
      </c>
      <c r="G33" s="325">
        <v>19189</v>
      </c>
      <c r="H33" s="195"/>
      <c r="I33" s="195"/>
      <c r="J33" s="196">
        <f t="shared" si="4"/>
        <v>37868</v>
      </c>
      <c r="L33" s="1"/>
      <c r="M33" s="1"/>
      <c r="N33" s="1"/>
    </row>
    <row r="34" spans="1:14" ht="16.149999999999999" customHeight="1" x14ac:dyDescent="0.25">
      <c r="A34" s="1"/>
      <c r="B34" s="35">
        <f t="shared" si="0"/>
        <v>25</v>
      </c>
      <c r="C34" s="54"/>
      <c r="D34" s="363" t="s">
        <v>309</v>
      </c>
      <c r="E34" s="27"/>
      <c r="F34" s="325">
        <v>120061</v>
      </c>
      <c r="G34" s="325">
        <v>28968</v>
      </c>
      <c r="H34" s="195"/>
      <c r="J34" s="196">
        <f t="shared" si="4"/>
        <v>91093</v>
      </c>
      <c r="L34" s="1"/>
      <c r="M34" s="1"/>
      <c r="N34" s="1"/>
    </row>
    <row r="35" spans="1:14" ht="16.149999999999999" customHeight="1" x14ac:dyDescent="0.25">
      <c r="A35" s="1"/>
      <c r="B35" s="35">
        <f t="shared" si="0"/>
        <v>26</v>
      </c>
      <c r="C35" s="54"/>
      <c r="D35" s="195" t="s">
        <v>303</v>
      </c>
      <c r="E35" s="27"/>
      <c r="F35" s="325">
        <v>1042</v>
      </c>
      <c r="G35" s="325">
        <v>135</v>
      </c>
      <c r="H35" s="195"/>
      <c r="I35" s="195"/>
      <c r="J35" s="196">
        <f t="shared" si="4"/>
        <v>907</v>
      </c>
      <c r="L35" s="1"/>
      <c r="M35" s="1"/>
      <c r="N35" s="1"/>
    </row>
    <row r="36" spans="1:14" ht="16.149999999999999" customHeight="1" x14ac:dyDescent="0.25">
      <c r="A36" s="1"/>
      <c r="B36" s="35">
        <f t="shared" si="0"/>
        <v>27</v>
      </c>
      <c r="C36" s="54"/>
      <c r="D36" s="195" t="s">
        <v>310</v>
      </c>
      <c r="E36" s="27"/>
      <c r="F36" s="325">
        <v>10881</v>
      </c>
      <c r="G36" s="325">
        <v>6119</v>
      </c>
      <c r="H36" s="195"/>
      <c r="I36" s="195"/>
      <c r="J36" s="196">
        <f t="shared" si="4"/>
        <v>4762</v>
      </c>
      <c r="L36" s="1"/>
      <c r="M36" s="1"/>
      <c r="N36" s="1"/>
    </row>
    <row r="37" spans="1:14" ht="16.149999999999999" customHeight="1" x14ac:dyDescent="0.25">
      <c r="A37" s="1"/>
      <c r="B37" s="35">
        <f t="shared" si="0"/>
        <v>28</v>
      </c>
      <c r="C37" s="54"/>
      <c r="D37" s="195" t="s">
        <v>304</v>
      </c>
      <c r="E37" s="27"/>
      <c r="F37" s="325">
        <v>161853</v>
      </c>
      <c r="G37" s="325">
        <v>104643</v>
      </c>
      <c r="H37" s="195"/>
      <c r="I37" s="195"/>
      <c r="J37" s="196">
        <f t="shared" si="4"/>
        <v>57210</v>
      </c>
      <c r="L37" s="1"/>
      <c r="M37" s="1"/>
      <c r="N37" s="1"/>
    </row>
    <row r="38" spans="1:14" ht="16.149999999999999" customHeight="1" x14ac:dyDescent="0.25">
      <c r="A38" s="1"/>
      <c r="B38" s="35">
        <f t="shared" si="0"/>
        <v>29</v>
      </c>
      <c r="C38" s="54"/>
      <c r="D38" s="43"/>
      <c r="E38" s="163" t="s">
        <v>306</v>
      </c>
      <c r="F38" s="328">
        <f>SUM(F32:F37)</f>
        <v>785362</v>
      </c>
      <c r="G38" s="328">
        <f>SUM(G32:G37)</f>
        <v>174572</v>
      </c>
      <c r="H38" s="328">
        <f>SUM(H32:H37)</f>
        <v>0</v>
      </c>
      <c r="I38" s="195"/>
      <c r="J38" s="328">
        <f>SUM(J32:J37)</f>
        <v>610790</v>
      </c>
      <c r="L38" s="1"/>
      <c r="M38" s="1"/>
      <c r="N38" s="1"/>
    </row>
    <row r="39" spans="1:14" ht="16.149999999999999" customHeight="1" x14ac:dyDescent="0.25">
      <c r="A39" s="1"/>
      <c r="B39" s="35">
        <f t="shared" si="0"/>
        <v>30</v>
      </c>
      <c r="C39" s="54"/>
      <c r="D39" s="27"/>
      <c r="E39" s="27"/>
      <c r="F39" s="323"/>
      <c r="G39" s="323"/>
      <c r="H39" s="195"/>
      <c r="I39" s="195"/>
      <c r="J39" s="302"/>
      <c r="L39" s="1"/>
      <c r="M39" s="1"/>
      <c r="N39" s="1"/>
    </row>
    <row r="40" spans="1:14" ht="15.6" customHeight="1" x14ac:dyDescent="0.25">
      <c r="A40" s="1"/>
      <c r="B40" s="35">
        <f t="shared" si="0"/>
        <v>31</v>
      </c>
      <c r="C40" s="54"/>
      <c r="D40" s="27"/>
      <c r="E40" s="27"/>
      <c r="F40" s="323"/>
      <c r="G40" s="323"/>
      <c r="H40" s="195"/>
      <c r="I40" s="195"/>
      <c r="J40" s="302"/>
      <c r="L40" s="1"/>
      <c r="M40" s="1"/>
      <c r="N40" s="1"/>
    </row>
    <row r="41" spans="1:14" ht="16.149999999999999" customHeight="1" x14ac:dyDescent="0.25">
      <c r="A41" s="1"/>
      <c r="B41" s="35">
        <f t="shared" si="0"/>
        <v>32</v>
      </c>
      <c r="C41" s="54"/>
      <c r="D41" s="197"/>
      <c r="E41" s="163" t="s">
        <v>311</v>
      </c>
      <c r="F41" s="328">
        <f>+F21+F28+F38</f>
        <v>5418839</v>
      </c>
      <c r="G41" s="328">
        <f>+G21+G28+G38</f>
        <v>1314110</v>
      </c>
      <c r="H41" s="328">
        <f>+H21+H28+H38</f>
        <v>23848</v>
      </c>
      <c r="I41" s="195"/>
      <c r="J41" s="328">
        <f>+J21+J28+J38</f>
        <v>4128577</v>
      </c>
      <c r="L41" s="1"/>
      <c r="M41" s="1"/>
      <c r="N41" s="1"/>
    </row>
    <row r="42" spans="1:14" ht="16.149999999999999" customHeight="1" x14ac:dyDescent="0.25">
      <c r="A42" s="1"/>
      <c r="B42" s="35">
        <f t="shared" si="0"/>
        <v>33</v>
      </c>
      <c r="C42" s="54"/>
      <c r="D42" s="45"/>
      <c r="E42" s="27"/>
      <c r="F42" s="195"/>
      <c r="G42" s="195"/>
      <c r="H42" s="302"/>
      <c r="I42" s="195"/>
      <c r="J42" s="195"/>
      <c r="L42" s="1"/>
      <c r="M42" s="1"/>
      <c r="N42" s="1"/>
    </row>
    <row r="43" spans="1:14" ht="15.6" customHeight="1" x14ac:dyDescent="0.25">
      <c r="A43" s="1"/>
      <c r="B43" s="35">
        <f t="shared" si="0"/>
        <v>34</v>
      </c>
      <c r="C43" s="54"/>
      <c r="G43" s="32"/>
      <c r="H43" s="32"/>
      <c r="L43" s="1"/>
      <c r="M43" s="1"/>
      <c r="N43" s="1"/>
    </row>
    <row r="44" spans="1:14" ht="15.6" customHeight="1" x14ac:dyDescent="0.25">
      <c r="A44" s="1"/>
      <c r="B44" s="35">
        <f t="shared" si="0"/>
        <v>35</v>
      </c>
      <c r="C44" s="54"/>
      <c r="G44" s="32"/>
      <c r="H44" s="32"/>
      <c r="L44" s="1"/>
      <c r="M44" s="1"/>
      <c r="N44" s="1"/>
    </row>
    <row r="45" spans="1:14" ht="15.6" customHeight="1" x14ac:dyDescent="0.25">
      <c r="A45" s="1"/>
      <c r="B45" s="35">
        <f t="shared" si="0"/>
        <v>36</v>
      </c>
      <c r="C45" s="54"/>
      <c r="D45" s="27"/>
      <c r="E45" s="27"/>
      <c r="F45" s="195"/>
      <c r="G45" s="195"/>
      <c r="H45" s="195"/>
      <c r="I45" s="195"/>
      <c r="J45" s="302"/>
      <c r="L45" s="1"/>
      <c r="M45" s="1"/>
      <c r="N45" s="1"/>
    </row>
    <row r="46" spans="1:14" ht="15.6" customHeight="1" x14ac:dyDescent="0.25">
      <c r="A46" s="1"/>
      <c r="B46" s="35">
        <f t="shared" si="0"/>
        <v>37</v>
      </c>
      <c r="C46" s="54"/>
      <c r="D46" s="27"/>
      <c r="E46" s="27"/>
      <c r="F46" s="195"/>
      <c r="G46" s="195"/>
      <c r="H46" s="195"/>
      <c r="I46" s="195"/>
      <c r="J46" s="302"/>
      <c r="L46" s="1"/>
      <c r="M46" s="1"/>
      <c r="N46" s="1"/>
    </row>
    <row r="47" spans="1:14" ht="15.6" customHeight="1" x14ac:dyDescent="0.25">
      <c r="A47" s="1"/>
      <c r="B47" s="35">
        <f t="shared" si="0"/>
        <v>38</v>
      </c>
      <c r="D47" s="27"/>
      <c r="E47" s="27"/>
      <c r="F47" s="195"/>
      <c r="G47" s="195"/>
      <c r="H47" s="195"/>
      <c r="I47" s="195"/>
      <c r="J47" s="302"/>
      <c r="L47" s="1"/>
      <c r="M47" s="1"/>
      <c r="N47" s="1"/>
    </row>
    <row r="48" spans="1:14" ht="15.6" customHeight="1" x14ac:dyDescent="0.25">
      <c r="A48" s="1"/>
      <c r="B48" s="35">
        <f t="shared" si="0"/>
        <v>39</v>
      </c>
      <c r="D48" s="27"/>
      <c r="E48" s="27"/>
      <c r="F48" s="340"/>
      <c r="G48" s="340"/>
      <c r="H48" s="195"/>
      <c r="I48" s="195"/>
      <c r="J48" s="302"/>
      <c r="L48" s="1"/>
      <c r="M48" s="1"/>
      <c r="N48" s="1"/>
    </row>
    <row r="49" spans="1:14" ht="15.6" customHeight="1" x14ac:dyDescent="0.25">
      <c r="A49" s="1"/>
      <c r="B49" s="35">
        <f t="shared" si="0"/>
        <v>40</v>
      </c>
      <c r="D49" s="27"/>
      <c r="E49" s="27"/>
      <c r="F49" s="340"/>
      <c r="G49" s="340"/>
      <c r="H49" s="195"/>
      <c r="I49" s="195"/>
      <c r="J49" s="302"/>
      <c r="L49" s="1"/>
      <c r="M49" s="1"/>
      <c r="N49" s="1"/>
    </row>
    <row r="50" spans="1:14" ht="16.149999999999999" customHeight="1" x14ac:dyDescent="0.25">
      <c r="A50" s="1"/>
      <c r="B50" s="35">
        <f t="shared" si="0"/>
        <v>41</v>
      </c>
      <c r="C50" s="54"/>
      <c r="D50" s="27"/>
      <c r="E50" s="27"/>
      <c r="F50" s="340"/>
      <c r="G50" s="340"/>
      <c r="H50" s="195"/>
      <c r="I50" s="195"/>
      <c r="J50" s="302"/>
      <c r="L50" s="1"/>
      <c r="M50" s="1"/>
      <c r="N50" s="1"/>
    </row>
    <row r="51" spans="1:14" ht="16.149999999999999" customHeight="1" x14ac:dyDescent="0.25">
      <c r="A51" s="1"/>
      <c r="B51" s="35">
        <f t="shared" si="0"/>
        <v>42</v>
      </c>
      <c r="C51" s="54"/>
      <c r="D51" s="27"/>
      <c r="E51" s="27"/>
      <c r="F51" s="195"/>
      <c r="G51" s="195"/>
      <c r="H51" s="195"/>
      <c r="I51" s="195"/>
      <c r="J51" s="302"/>
      <c r="L51" s="1"/>
      <c r="M51" s="1"/>
      <c r="N51" s="1"/>
    </row>
    <row r="52" spans="1:14" ht="16.149999999999999" customHeight="1" x14ac:dyDescent="0.25">
      <c r="A52" s="1"/>
      <c r="B52" s="35">
        <f t="shared" si="0"/>
        <v>43</v>
      </c>
      <c r="C52" s="54"/>
      <c r="D52" s="45"/>
      <c r="E52" s="27"/>
      <c r="F52" s="195"/>
      <c r="G52" s="195"/>
      <c r="H52" s="302"/>
      <c r="I52" s="195"/>
      <c r="J52" s="195"/>
      <c r="L52" s="1"/>
      <c r="M52" s="1"/>
      <c r="N52" s="1"/>
    </row>
    <row r="53" spans="1:14" ht="16.149999999999999" customHeight="1" x14ac:dyDescent="0.25">
      <c r="A53" s="1"/>
      <c r="B53" s="35">
        <f t="shared" si="0"/>
        <v>44</v>
      </c>
      <c r="C53" s="54"/>
      <c r="L53" s="1"/>
      <c r="M53" s="1"/>
      <c r="N53" s="1"/>
    </row>
    <row r="54" spans="1:14" x14ac:dyDescent="0.25">
      <c r="A54" s="1"/>
      <c r="B54" s="35">
        <f t="shared" si="0"/>
        <v>45</v>
      </c>
      <c r="C54" s="54"/>
      <c r="D54" s="27"/>
      <c r="F54" s="195"/>
      <c r="G54" s="195"/>
      <c r="H54" s="302"/>
      <c r="I54" s="195"/>
      <c r="J54" s="195"/>
      <c r="L54" s="1"/>
      <c r="M54" s="1"/>
      <c r="N54" s="1"/>
    </row>
    <row r="55" spans="1:14" x14ac:dyDescent="0.25">
      <c r="A55" s="1"/>
      <c r="B55" s="35">
        <f t="shared" si="0"/>
        <v>46</v>
      </c>
      <c r="C55" s="54"/>
      <c r="G55" s="32"/>
      <c r="H55" s="32"/>
      <c r="L55" s="1"/>
      <c r="M55" s="1"/>
      <c r="N55" s="1"/>
    </row>
    <row r="56" spans="1:14" x14ac:dyDescent="0.25">
      <c r="A56" s="1"/>
      <c r="B56" s="35">
        <f t="shared" si="0"/>
        <v>47</v>
      </c>
      <c r="C56" s="54"/>
      <c r="G56" s="32"/>
      <c r="H56" s="32"/>
      <c r="L56" s="1"/>
      <c r="M56" s="1"/>
      <c r="N56" s="1"/>
    </row>
    <row r="57" spans="1:14" x14ac:dyDescent="0.25">
      <c r="A57" s="1"/>
      <c r="B57" s="35">
        <f t="shared" si="0"/>
        <v>48</v>
      </c>
      <c r="C57" s="54"/>
      <c r="D57" s="203" t="s">
        <v>263</v>
      </c>
      <c r="G57" s="32"/>
      <c r="H57" s="32"/>
      <c r="L57" s="1"/>
      <c r="M57" s="1"/>
      <c r="N57" s="1"/>
    </row>
    <row r="58" spans="1:14" x14ac:dyDescent="0.25">
      <c r="A58" s="1"/>
      <c r="B58" s="35">
        <f t="shared" si="0"/>
        <v>49</v>
      </c>
      <c r="C58" s="54"/>
      <c r="G58" s="32"/>
      <c r="H58" s="32"/>
      <c r="L58" s="1"/>
      <c r="M58" s="1"/>
      <c r="N58" s="1"/>
    </row>
    <row r="59" spans="1:14" x14ac:dyDescent="0.25">
      <c r="A59" s="1"/>
      <c r="B59" s="35">
        <f t="shared" si="0"/>
        <v>50</v>
      </c>
      <c r="C59" s="54"/>
      <c r="G59" s="32"/>
      <c r="H59" s="32"/>
      <c r="L59" s="1"/>
      <c r="M59" s="1"/>
      <c r="N59" s="1"/>
    </row>
    <row r="60" spans="1:14" x14ac:dyDescent="0.25">
      <c r="A60" s="1"/>
      <c r="B60" s="35">
        <f t="shared" si="0"/>
        <v>51</v>
      </c>
      <c r="C60" s="54"/>
      <c r="G60" s="32"/>
      <c r="H60" s="32"/>
      <c r="L60" s="1"/>
      <c r="M60" s="1"/>
      <c r="N60" s="1"/>
    </row>
    <row r="61" spans="1:14" x14ac:dyDescent="0.25">
      <c r="A61" s="1"/>
      <c r="B61" s="35">
        <f t="shared" si="0"/>
        <v>52</v>
      </c>
      <c r="C61" s="54"/>
      <c r="G61" s="32"/>
      <c r="H61" s="32"/>
      <c r="L61" s="1"/>
      <c r="M61" s="1"/>
      <c r="N61" s="1"/>
    </row>
    <row r="62" spans="1:14" x14ac:dyDescent="0.25">
      <c r="A62" s="1"/>
      <c r="C62" s="54"/>
      <c r="G62" s="32"/>
      <c r="H62" s="32"/>
      <c r="L62" s="1"/>
      <c r="M62" s="1"/>
      <c r="N62" s="1"/>
    </row>
    <row r="63" spans="1:14" x14ac:dyDescent="0.25">
      <c r="A63" s="1"/>
      <c r="G63" s="32"/>
      <c r="H63" s="32"/>
      <c r="L63" s="1"/>
      <c r="M63" s="1"/>
      <c r="N63" s="1"/>
    </row>
    <row r="64" spans="1:14" x14ac:dyDescent="0.25">
      <c r="A64" s="1"/>
      <c r="L64" s="1"/>
      <c r="M64" s="1"/>
      <c r="N64" s="1"/>
    </row>
    <row r="65" spans="1:14" x14ac:dyDescent="0.25">
      <c r="A65" s="1"/>
      <c r="L65" s="1"/>
      <c r="M65" s="1"/>
      <c r="N65" s="1"/>
    </row>
    <row r="66" spans="1:14" x14ac:dyDescent="0.25">
      <c r="A66" s="1"/>
      <c r="L66" s="1"/>
      <c r="M66" s="1"/>
      <c r="N66" s="1"/>
    </row>
    <row r="67" spans="1:14" x14ac:dyDescent="0.25">
      <c r="A67" s="1"/>
      <c r="L67" s="1"/>
      <c r="M67" s="1"/>
      <c r="N67" s="1"/>
    </row>
    <row r="68" spans="1:14" x14ac:dyDescent="0.25">
      <c r="A68" s="1"/>
      <c r="L68" s="1"/>
      <c r="M68" s="1"/>
      <c r="N68" s="1"/>
    </row>
    <row r="69" spans="1:14" x14ac:dyDescent="0.25">
      <c r="A69" s="1"/>
      <c r="L69" s="1"/>
      <c r="M69" s="1"/>
      <c r="N69" s="1"/>
    </row>
    <row r="70" spans="1:14" x14ac:dyDescent="0.25">
      <c r="L70" s="1"/>
      <c r="M70" s="1"/>
      <c r="N70" s="1"/>
    </row>
  </sheetData>
  <mergeCells count="4">
    <mergeCell ref="F9:G9"/>
    <mergeCell ref="D12:E12"/>
    <mergeCell ref="D23:E23"/>
    <mergeCell ref="D31:E31"/>
  </mergeCells>
  <phoneticPr fontId="0" type="noConversion"/>
  <printOptions gridLinesSet="0"/>
  <pageMargins left="0.24" right="0.23" top="0.4" bottom="0.46" header="0.27" footer="0.27"/>
  <pageSetup scale="80" orientation="portrait" blackAndWhite="1" r:id="rId1"/>
  <headerFooter alignWithMargins="0">
    <oddFooter>&amp;L&amp;8&amp;T  &amp;D&amp;C&amp;8&amp;F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014994023E72478991F205F121BBF2" ma:contentTypeVersion="16" ma:contentTypeDescription="" ma:contentTypeScope="" ma:versionID="f2391e9073f22ce793e5421e487a86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Suspended</CaseStatus>
    <OpenedDate xmlns="dc463f71-b30c-4ab2-9473-d307f9d35888">2024-07-31T07:00:00+00:00</OpenedDate>
    <SignificantOrder xmlns="dc463f71-b30c-4ab2-9473-d307f9d35888">false</SignificantOrder>
    <Date1 xmlns="dc463f71-b30c-4ab2-9473-d307f9d35888">2024-07-31T07:00:00+00:00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Summit View Water Works</CaseCompanyNames>
    <Nickname xmlns="http://schemas.microsoft.com/sharepoint/v3" xsi:nil="true"/>
    <DocketNumber xmlns="dc463f71-b30c-4ab2-9473-d307f9d35888">240589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818EE13-236F-4DF8-99A0-3DFE5B6E31BE}"/>
</file>

<file path=customXml/itemProps2.xml><?xml version="1.0" encoding="utf-8"?>
<ds:datastoreItem xmlns:ds="http://schemas.openxmlformats.org/officeDocument/2006/customXml" ds:itemID="{C212B8E5-D9FB-42F9-95BE-80C1371CFEB5}"/>
</file>

<file path=customXml/itemProps3.xml><?xml version="1.0" encoding="utf-8"?>
<ds:datastoreItem xmlns:ds="http://schemas.openxmlformats.org/officeDocument/2006/customXml" ds:itemID="{B6F6F27F-3A1E-4FB0-8402-DC7BCAC9B9E1}"/>
</file>

<file path=customXml/itemProps4.xml><?xml version="1.0" encoding="utf-8"?>
<ds:datastoreItem xmlns:ds="http://schemas.openxmlformats.org/officeDocument/2006/customXml" ds:itemID="{612B9231-C926-4EA7-8923-2E2C667AA4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20</vt:i4>
      </vt:variant>
    </vt:vector>
  </HeadingPairs>
  <TitlesOfParts>
    <vt:vector size="36" baseType="lpstr">
      <vt:lpstr>cover</vt:lpstr>
      <vt:lpstr>1.0 Inc. Stmt. RB </vt:lpstr>
      <vt:lpstr>1.1 Inc Stmt detail</vt:lpstr>
      <vt:lpstr>1.2 Restating Adj</vt:lpstr>
      <vt:lpstr>1.3 Pro Forma Adj</vt:lpstr>
      <vt:lpstr>2.1 Rate Base</vt:lpstr>
      <vt:lpstr>2.2 CIAC</vt:lpstr>
      <vt:lpstr>2.3 Working Cap</vt:lpstr>
      <vt:lpstr>3.1 Plant</vt:lpstr>
      <vt:lpstr>3.2 Depr Exp </vt:lpstr>
      <vt:lpstr>4.1 Capital</vt:lpstr>
      <vt:lpstr>4.2 Cost Debt</vt:lpstr>
      <vt:lpstr>4.3 PF Debt</vt:lpstr>
      <vt:lpstr>5.1 Income Taxes</vt:lpstr>
      <vt:lpstr>5.2 Bal Sheet </vt:lpstr>
      <vt:lpstr>END</vt:lpstr>
      <vt:lpstr>inc_tax</vt:lpstr>
      <vt:lpstr>'1.0 Inc. Stmt. RB '!Print_Area</vt:lpstr>
      <vt:lpstr>'1.1 Inc Stmt detail'!Print_Area</vt:lpstr>
      <vt:lpstr>'1.2 Restating Adj'!Print_Area</vt:lpstr>
      <vt:lpstr>'1.3 Pro Forma Adj'!Print_Area</vt:lpstr>
      <vt:lpstr>'2.1 Rate Base'!Print_Area</vt:lpstr>
      <vt:lpstr>'2.2 CIAC'!Print_Area</vt:lpstr>
      <vt:lpstr>'2.3 Working Cap'!Print_Area</vt:lpstr>
      <vt:lpstr>'3.1 Plant'!Print_Area</vt:lpstr>
      <vt:lpstr>'3.2 Depr Exp '!Print_Area</vt:lpstr>
      <vt:lpstr>'4.1 Capital'!Print_Area</vt:lpstr>
      <vt:lpstr>'4.2 Cost Debt'!Print_Area</vt:lpstr>
      <vt:lpstr>'4.3 PF Debt'!Print_Area</vt:lpstr>
      <vt:lpstr>'5.1 Income Taxes'!Print_Area</vt:lpstr>
      <vt:lpstr>'5.2 Bal Sheet '!Print_Area</vt:lpstr>
      <vt:lpstr>cover!Print_Area</vt:lpstr>
      <vt:lpstr>'1.2 Restating Adj'!Print_Titles</vt:lpstr>
      <vt:lpstr>'1.3 Pro Forma Adj'!Print_Titles</vt:lpstr>
      <vt:lpstr>roe</vt:lpstr>
      <vt:lpstr>Test_Yr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South Sound Util.  97 ratecase</dc:title>
  <dc:subject/>
  <dc:creator>Danny Kermode</dc:creator>
  <cp:keywords/>
  <dc:description/>
  <cp:lastModifiedBy>Ann LaRue</cp:lastModifiedBy>
  <cp:revision/>
  <cp:lastPrinted>2024-07-31T00:35:16Z</cp:lastPrinted>
  <dcterms:created xsi:type="dcterms:W3CDTF">2000-10-03T16:16:03Z</dcterms:created>
  <dcterms:modified xsi:type="dcterms:W3CDTF">2024-07-31T00:35:31Z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0x0101006E56B4D1795A2E4DB2F0B01679ED314A0054014994023E72478991F205F121BBF2</vt:lpwstr>
  </property>
  <property fmtid="{D5CDD505-2E9C-101B-9397-08002B2CF9AE}" pid="3" name="_docset_NoMedatataSyncRequired">
    <vt:lpwstr>False</vt:lpwstr>
  </property>
</Properties>
</file>