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5.bin" ContentType="application/vnd.openxmlformats-officedocument.spreadsheetml.printerSettings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6.bin" ContentType="application/vnd.openxmlformats-officedocument.spreadsheetml.printerSettings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10065" yWindow="-15" windowWidth="10110" windowHeight="8190" firstSheet="1" activeTab="1"/>
  </bookViews>
  <sheets>
    <sheet name="BExRepositorySheet" sheetId="4" state="veryHidden" r:id="rId1"/>
    <sheet name="07-2023 SOG" sheetId="26" r:id="rId2"/>
    <sheet name="08-2023 SOG" sheetId="27" r:id="rId3"/>
    <sheet name="09-2023 SOG" sheetId="12" r:id="rId4"/>
    <sheet name="Budget" sheetId="9" state="hidden" r:id="rId5"/>
    <sheet name="OPSTATS-RELEASE " sheetId="10" state="hidden" r:id="rId6"/>
    <sheet name="12 ME 09-2023 SOG" sheetId="18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Regression_Int" localSheetId="5" hidden="1">1</definedName>
    <definedName name="CurrQtr">'[1]Inc Stmt'!$AJ$222</definedName>
    <definedName name="Data.Avg">'[1]Avg Amts'!$A$5:$BP$34</definedName>
    <definedName name="Data.Qtrs.Avg">'[1]Avg Amts'!$A$5:$IV$5</definedName>
    <definedName name="EDGAR" localSheetId="5">'OPSTATS-RELEASE '!$A$1:$L$66</definedName>
    <definedName name="MTD_Format">[2]Mthly!$B$11:$D$11,[2]Mthly!$B$31:$D$31</definedName>
    <definedName name="_xlnm.Print_Area" localSheetId="1">'07-2023 SOG'!$A$1:$P$76</definedName>
    <definedName name="_xlnm.Print_Area" localSheetId="2">'08-2023 SOG'!$A$1:$O$76</definedName>
    <definedName name="_xlnm.Print_Area" localSheetId="3">'09-2023 SOG'!$A$1:$O$76</definedName>
    <definedName name="_xlnm.Print_Area" localSheetId="6">'12 ME 09-2023 SOG'!$A$1:$O$76</definedName>
    <definedName name="_xlnm.Print_Area" localSheetId="4">Budget!$A$1:$U$36</definedName>
    <definedName name="Print_Area_MI" localSheetId="5">'OPSTATS-RELEASE '!$A$1:$L$66</definedName>
    <definedName name="RdSch_CY">'[3]INPUT TAB'!#REF!</definedName>
    <definedName name="RdSch_PY">'[3]INPUT TAB'!#REF!</definedName>
    <definedName name="RdSch_PY2">'[3]INPUT TAB'!#REF!</definedName>
    <definedName name="Therm_upload" localSheetId="1">#REF!</definedName>
    <definedName name="Therm_upload" localSheetId="2">#REF!</definedName>
    <definedName name="Therm_upload" localSheetId="4">Budget!$B$11:$V$33</definedName>
    <definedName name="Therm_upload" localSheetId="5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 concurrentManualCount="8"/>
</workbook>
</file>

<file path=xl/calcChain.xml><?xml version="1.0" encoding="utf-8"?>
<calcChain xmlns="http://schemas.openxmlformats.org/spreadsheetml/2006/main">
  <c r="E72" i="27" l="1"/>
  <c r="I70" i="27"/>
  <c r="K70" i="27" s="1"/>
  <c r="G72" i="27"/>
  <c r="G64" i="27"/>
  <c r="I62" i="27"/>
  <c r="E64" i="27"/>
  <c r="E58" i="27"/>
  <c r="I58" i="27" s="1"/>
  <c r="I56" i="27"/>
  <c r="K56" i="27" s="1"/>
  <c r="I55" i="27"/>
  <c r="K55" i="27" s="1"/>
  <c r="G58" i="27"/>
  <c r="I33" i="27"/>
  <c r="K33" i="27" s="1"/>
  <c r="I32" i="27"/>
  <c r="K32" i="27" s="1"/>
  <c r="O26" i="27"/>
  <c r="M26" i="27"/>
  <c r="I26" i="27"/>
  <c r="K26" i="27" s="1"/>
  <c r="O25" i="27"/>
  <c r="I25" i="27"/>
  <c r="K25" i="27" s="1"/>
  <c r="G28" i="27"/>
  <c r="M25" i="27"/>
  <c r="O18" i="27"/>
  <c r="M18" i="27"/>
  <c r="I18" i="27"/>
  <c r="O17" i="27"/>
  <c r="I17" i="27"/>
  <c r="K17" i="27" s="1"/>
  <c r="G20" i="27"/>
  <c r="E20" i="27"/>
  <c r="G14" i="27"/>
  <c r="O12" i="27"/>
  <c r="M12" i="27"/>
  <c r="I12" i="27"/>
  <c r="K12" i="27" s="1"/>
  <c r="O11" i="27"/>
  <c r="M11" i="27"/>
  <c r="I11" i="27"/>
  <c r="O10" i="27"/>
  <c r="I10" i="27"/>
  <c r="K10" i="27" s="1"/>
  <c r="M10" i="27"/>
  <c r="G8" i="27"/>
  <c r="O8" i="27" s="1"/>
  <c r="M8" i="27"/>
  <c r="I70" i="26"/>
  <c r="K70" i="26"/>
  <c r="G72" i="26"/>
  <c r="I62" i="26"/>
  <c r="K62" i="26" s="1"/>
  <c r="E64" i="26"/>
  <c r="E58" i="26"/>
  <c r="I56" i="26"/>
  <c r="K56" i="26" s="1"/>
  <c r="I55" i="26"/>
  <c r="K55" i="26" s="1"/>
  <c r="G58" i="26"/>
  <c r="I33" i="26"/>
  <c r="K33" i="26" s="1"/>
  <c r="I32" i="26"/>
  <c r="K32" i="26" s="1"/>
  <c r="M26" i="26"/>
  <c r="I26" i="26"/>
  <c r="P25" i="26"/>
  <c r="I25" i="26"/>
  <c r="K25" i="26" s="1"/>
  <c r="G28" i="26"/>
  <c r="M25" i="26"/>
  <c r="M18" i="26"/>
  <c r="I18" i="26"/>
  <c r="K18" i="26" s="1"/>
  <c r="P17" i="26"/>
  <c r="I17" i="26"/>
  <c r="K17" i="26" s="1"/>
  <c r="G20" i="26"/>
  <c r="E20" i="26"/>
  <c r="G14" i="26"/>
  <c r="G22" i="26" s="1"/>
  <c r="P12" i="26"/>
  <c r="I12" i="26"/>
  <c r="K12" i="26" s="1"/>
  <c r="M11" i="26"/>
  <c r="I11" i="26"/>
  <c r="K11" i="26" s="1"/>
  <c r="P10" i="26"/>
  <c r="I10" i="26"/>
  <c r="K10" i="26" s="1"/>
  <c r="M10" i="26"/>
  <c r="G8" i="26"/>
  <c r="P8" i="26" s="1"/>
  <c r="M8" i="26"/>
  <c r="I58" i="26" l="1"/>
  <c r="O28" i="27"/>
  <c r="O20" i="27"/>
  <c r="K20" i="27"/>
  <c r="K11" i="27"/>
  <c r="K18" i="27"/>
  <c r="K58" i="27"/>
  <c r="O14" i="27"/>
  <c r="G66" i="27"/>
  <c r="I20" i="27"/>
  <c r="K62" i="27"/>
  <c r="I64" i="27"/>
  <c r="K64" i="27" s="1"/>
  <c r="M20" i="27"/>
  <c r="I72" i="27"/>
  <c r="K72" i="27" s="1"/>
  <c r="G22" i="27"/>
  <c r="I54" i="27"/>
  <c r="K54" i="27" s="1"/>
  <c r="I69" i="27"/>
  <c r="K69" i="27" s="1"/>
  <c r="E28" i="27"/>
  <c r="E14" i="27"/>
  <c r="I61" i="27"/>
  <c r="K61" i="27" s="1"/>
  <c r="E66" i="27"/>
  <c r="M17" i="27"/>
  <c r="G30" i="26"/>
  <c r="I20" i="26"/>
  <c r="K20" i="26" s="1"/>
  <c r="K26" i="26"/>
  <c r="P28" i="26"/>
  <c r="M20" i="26"/>
  <c r="K58" i="26"/>
  <c r="P14" i="26"/>
  <c r="I69" i="26"/>
  <c r="K69" i="26" s="1"/>
  <c r="P11" i="26"/>
  <c r="M12" i="26"/>
  <c r="P18" i="26"/>
  <c r="P26" i="26"/>
  <c r="G64" i="26"/>
  <c r="I64" i="26" s="1"/>
  <c r="E72" i="26"/>
  <c r="I54" i="26"/>
  <c r="K54" i="26" s="1"/>
  <c r="E28" i="26"/>
  <c r="E14" i="26"/>
  <c r="I61" i="26"/>
  <c r="K61" i="26" s="1"/>
  <c r="E66" i="26"/>
  <c r="M17" i="26"/>
  <c r="E3" i="12"/>
  <c r="I6" i="12"/>
  <c r="E22" i="27" l="1"/>
  <c r="I14" i="27"/>
  <c r="K14" i="27" s="1"/>
  <c r="I28" i="27"/>
  <c r="K28" i="27" s="1"/>
  <c r="M28" i="27"/>
  <c r="M14" i="27"/>
  <c r="G30" i="27"/>
  <c r="M22" i="27"/>
  <c r="E74" i="27"/>
  <c r="I66" i="27"/>
  <c r="K66" i="27" s="1"/>
  <c r="O22" i="27"/>
  <c r="G74" i="27"/>
  <c r="M14" i="26"/>
  <c r="E22" i="26"/>
  <c r="M22" i="26" s="1"/>
  <c r="I14" i="26"/>
  <c r="K14" i="26" s="1"/>
  <c r="E74" i="26"/>
  <c r="P20" i="26"/>
  <c r="K64" i="26"/>
  <c r="I72" i="26"/>
  <c r="K72" i="26" s="1"/>
  <c r="M28" i="26"/>
  <c r="G66" i="26"/>
  <c r="I66" i="26" s="1"/>
  <c r="I28" i="26"/>
  <c r="K28" i="26" s="1"/>
  <c r="G35" i="26"/>
  <c r="I74" i="27" l="1"/>
  <c r="G35" i="27"/>
  <c r="K74" i="27"/>
  <c r="O30" i="27"/>
  <c r="E30" i="27"/>
  <c r="I22" i="27"/>
  <c r="K22" i="27" s="1"/>
  <c r="P22" i="26"/>
  <c r="G74" i="26"/>
  <c r="I74" i="26" s="1"/>
  <c r="K66" i="26"/>
  <c r="E30" i="26"/>
  <c r="M30" i="26" s="1"/>
  <c r="I22" i="26"/>
  <c r="K22" i="26" s="1"/>
  <c r="E35" i="27" l="1"/>
  <c r="I30" i="27"/>
  <c r="K30" i="27" s="1"/>
  <c r="M30" i="27"/>
  <c r="E35" i="26"/>
  <c r="I30" i="26"/>
  <c r="K30" i="26" s="1"/>
  <c r="K74" i="26"/>
  <c r="P30" i="26"/>
  <c r="I35" i="27" l="1"/>
  <c r="K35" i="27" s="1"/>
  <c r="I35" i="26"/>
  <c r="K35" i="26" s="1"/>
  <c r="I62" i="18" l="1"/>
  <c r="V33" i="9"/>
  <c r="S33" i="9"/>
  <c r="O33" i="9"/>
  <c r="O32" i="9"/>
  <c r="O31" i="9"/>
  <c r="O30" i="9"/>
  <c r="O29" i="9"/>
  <c r="O28" i="9"/>
  <c r="O27" i="9"/>
  <c r="O26" i="9"/>
  <c r="K33" i="9"/>
  <c r="K32" i="9"/>
  <c r="K31" i="9"/>
  <c r="K30" i="9"/>
  <c r="K29" i="9"/>
  <c r="K28" i="9"/>
  <c r="K27" i="9"/>
  <c r="K26" i="9"/>
  <c r="G33" i="9"/>
  <c r="T33" i="9"/>
  <c r="G32" i="9"/>
  <c r="G31" i="9"/>
  <c r="G30" i="9"/>
  <c r="T30" i="9"/>
  <c r="G29" i="9"/>
  <c r="T29" i="9"/>
  <c r="G28" i="9"/>
  <c r="G27" i="9"/>
  <c r="G26" i="9"/>
  <c r="T26" i="9"/>
  <c r="G25" i="9"/>
  <c r="T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S32" i="9"/>
  <c r="T32" i="9"/>
  <c r="U31" i="9"/>
  <c r="U33" i="9"/>
  <c r="S31" i="9"/>
  <c r="T31" i="9"/>
  <c r="S30" i="9"/>
  <c r="S29" i="9"/>
  <c r="S28" i="9"/>
  <c r="T28" i="9"/>
  <c r="S27" i="9"/>
  <c r="T27" i="9"/>
  <c r="S26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K24" i="9"/>
  <c r="T24" i="9"/>
  <c r="K23" i="9"/>
  <c r="K22" i="9"/>
  <c r="K21" i="9"/>
  <c r="K20" i="9"/>
  <c r="T20" i="9"/>
  <c r="K19" i="9"/>
  <c r="K18" i="9"/>
  <c r="K17" i="9"/>
  <c r="K16" i="9"/>
  <c r="T16" i="9"/>
  <c r="K15" i="9"/>
  <c r="K14" i="9"/>
  <c r="K13" i="9"/>
  <c r="K12" i="9"/>
  <c r="T12" i="9"/>
  <c r="K11" i="9"/>
  <c r="U16" i="9"/>
  <c r="U18" i="9"/>
  <c r="U19" i="9"/>
  <c r="M8" i="12"/>
  <c r="T17" i="9"/>
  <c r="T14" i="9"/>
  <c r="T18" i="9"/>
  <c r="T22" i="9"/>
  <c r="T13" i="9"/>
  <c r="T21" i="9"/>
  <c r="T11" i="9"/>
  <c r="T15" i="9"/>
  <c r="T19" i="9"/>
  <c r="T23" i="9"/>
  <c r="J3" i="10"/>
  <c r="O3" i="10"/>
  <c r="J4" i="10"/>
  <c r="O4" i="10"/>
  <c r="L4" i="10"/>
  <c r="Q4" i="10"/>
  <c r="J7" i="10"/>
  <c r="L7" i="10"/>
  <c r="O7" i="10"/>
  <c r="Q7" i="10"/>
  <c r="J8" i="10"/>
  <c r="L8" i="10"/>
  <c r="O8" i="10"/>
  <c r="Q8" i="10"/>
  <c r="J9" i="10"/>
  <c r="L9" i="10"/>
  <c r="O9" i="10"/>
  <c r="Q9" i="10"/>
  <c r="J10" i="10"/>
  <c r="L10" i="10"/>
  <c r="O10" i="10"/>
  <c r="Q10" i="10"/>
  <c r="J11" i="10"/>
  <c r="L11" i="10"/>
  <c r="O11" i="10"/>
  <c r="Q11" i="10"/>
  <c r="J12" i="10"/>
  <c r="L12" i="10"/>
  <c r="O12" i="10"/>
  <c r="Q12" i="10"/>
  <c r="J13" i="10"/>
  <c r="L13" i="10"/>
  <c r="O13" i="10"/>
  <c r="Q13" i="10"/>
  <c r="J14" i="10"/>
  <c r="L14" i="10"/>
  <c r="O14" i="10"/>
  <c r="Q14" i="10"/>
  <c r="J15" i="10"/>
  <c r="L15" i="10"/>
  <c r="O15" i="10"/>
  <c r="Q15" i="10"/>
  <c r="J20" i="10"/>
  <c r="L20" i="10"/>
  <c r="O20" i="10"/>
  <c r="O23" i="10"/>
  <c r="Q20" i="10"/>
  <c r="J23" i="10"/>
  <c r="L23" i="10"/>
  <c r="Q23" i="10"/>
  <c r="J27" i="10"/>
  <c r="L27" i="10"/>
  <c r="O27" i="10"/>
  <c r="Q27" i="10"/>
  <c r="J28" i="10"/>
  <c r="L28" i="10"/>
  <c r="O28" i="10"/>
  <c r="Q28" i="10"/>
  <c r="J29" i="10"/>
  <c r="L29" i="10"/>
  <c r="O29" i="10"/>
  <c r="Q29" i="10"/>
  <c r="J30" i="10"/>
  <c r="L30" i="10"/>
  <c r="O30" i="10"/>
  <c r="Q30" i="10"/>
  <c r="J31" i="10"/>
  <c r="L31" i="10"/>
  <c r="O31" i="10"/>
  <c r="Q31" i="10"/>
  <c r="J32" i="10"/>
  <c r="L32" i="10"/>
  <c r="O32" i="10"/>
  <c r="Q32" i="10"/>
  <c r="J33" i="10"/>
  <c r="L33" i="10"/>
  <c r="O33" i="10"/>
  <c r="Q33" i="10"/>
  <c r="J34" i="10"/>
  <c r="L34" i="10"/>
  <c r="O34" i="10"/>
  <c r="Q34" i="10"/>
  <c r="J40" i="10"/>
  <c r="L40" i="10"/>
  <c r="O40" i="10"/>
  <c r="Q40" i="10"/>
  <c r="Q46" i="10"/>
  <c r="E20" i="18" l="1"/>
  <c r="I6" i="18"/>
  <c r="M18" i="18"/>
  <c r="I32" i="12"/>
  <c r="K32" i="12" s="1"/>
  <c r="I17" i="18"/>
  <c r="K17" i="18" s="1"/>
  <c r="M17" i="18"/>
  <c r="G20" i="18"/>
  <c r="I18" i="18"/>
  <c r="K18" i="18" s="1"/>
  <c r="M12" i="18"/>
  <c r="M25" i="18"/>
  <c r="M26" i="18"/>
  <c r="G28" i="18"/>
  <c r="I26" i="18"/>
  <c r="K26" i="18" s="1"/>
  <c r="I55" i="18"/>
  <c r="K55" i="18" s="1"/>
  <c r="E72" i="18"/>
  <c r="E28" i="18"/>
  <c r="I10" i="18"/>
  <c r="K10" i="18" s="1"/>
  <c r="I33" i="18"/>
  <c r="K33" i="18" s="1"/>
  <c r="O26" i="18"/>
  <c r="I25" i="18"/>
  <c r="K25" i="18" s="1"/>
  <c r="O17" i="18"/>
  <c r="I32" i="18"/>
  <c r="K32" i="18" s="1"/>
  <c r="O11" i="18"/>
  <c r="O25" i="18"/>
  <c r="O10" i="18"/>
  <c r="O18" i="18"/>
  <c r="M11" i="18"/>
  <c r="I11" i="18"/>
  <c r="K11" i="18" s="1"/>
  <c r="G64" i="18"/>
  <c r="I69" i="18"/>
  <c r="K69" i="18" s="1"/>
  <c r="E64" i="18"/>
  <c r="I61" i="18"/>
  <c r="K61" i="18" s="1"/>
  <c r="K62" i="18"/>
  <c r="I12" i="18"/>
  <c r="K12" i="18" s="1"/>
  <c r="I69" i="12"/>
  <c r="K69" i="12" s="1"/>
  <c r="O12" i="12"/>
  <c r="M26" i="12"/>
  <c r="O11" i="12"/>
  <c r="O10" i="12"/>
  <c r="O18" i="12"/>
  <c r="I25" i="12"/>
  <c r="K25" i="12" s="1"/>
  <c r="M17" i="12"/>
  <c r="E64" i="12"/>
  <c r="I26" i="12"/>
  <c r="K26" i="12" s="1"/>
  <c r="I62" i="12"/>
  <c r="K62" i="12" s="1"/>
  <c r="M18" i="12"/>
  <c r="E28" i="12"/>
  <c r="M11" i="12"/>
  <c r="I55" i="12"/>
  <c r="K55" i="12" s="1"/>
  <c r="I61" i="12"/>
  <c r="K61" i="12" s="1"/>
  <c r="M8" i="18"/>
  <c r="M25" i="12"/>
  <c r="I11" i="12"/>
  <c r="K11" i="12" s="1"/>
  <c r="G8" i="12"/>
  <c r="E8" i="18"/>
  <c r="I17" i="12"/>
  <c r="K17" i="12" s="1"/>
  <c r="I54" i="12"/>
  <c r="K54" i="12" s="1"/>
  <c r="G58" i="12"/>
  <c r="E72" i="12"/>
  <c r="E58" i="18"/>
  <c r="E14" i="18"/>
  <c r="G20" i="12"/>
  <c r="I10" i="12"/>
  <c r="K10" i="12" s="1"/>
  <c r="I56" i="12"/>
  <c r="K56" i="12" s="1"/>
  <c r="M10" i="12"/>
  <c r="G14" i="12"/>
  <c r="I33" i="12"/>
  <c r="K33" i="12" s="1"/>
  <c r="O26" i="12"/>
  <c r="G28" i="12"/>
  <c r="E58" i="12"/>
  <c r="G58" i="18"/>
  <c r="I56" i="18"/>
  <c r="K56" i="18" s="1"/>
  <c r="O25" i="12"/>
  <c r="O12" i="18"/>
  <c r="I70" i="18"/>
  <c r="K70" i="18" s="1"/>
  <c r="G64" i="12"/>
  <c r="G14" i="18"/>
  <c r="G72" i="18"/>
  <c r="M10" i="18"/>
  <c r="I54" i="18"/>
  <c r="K54" i="18" s="1"/>
  <c r="O17" i="12"/>
  <c r="M12" i="12"/>
  <c r="G72" i="12"/>
  <c r="I70" i="12"/>
  <c r="K70" i="12" s="1"/>
  <c r="I12" i="12"/>
  <c r="K12" i="12" s="1"/>
  <c r="E20" i="12"/>
  <c r="E14" i="12"/>
  <c r="I18" i="12"/>
  <c r="K18" i="12" s="1"/>
  <c r="E22" i="18" l="1"/>
  <c r="E30" i="18" s="1"/>
  <c r="E35" i="18" s="1"/>
  <c r="I20" i="18"/>
  <c r="K20" i="18" s="1"/>
  <c r="I28" i="18"/>
  <c r="K28" i="18" s="1"/>
  <c r="O20" i="18"/>
  <c r="I58" i="18"/>
  <c r="K58" i="18" s="1"/>
  <c r="M28" i="18"/>
  <c r="M20" i="18"/>
  <c r="I64" i="18"/>
  <c r="K64" i="18" s="1"/>
  <c r="E66" i="12"/>
  <c r="E74" i="12" s="1"/>
  <c r="G66" i="12"/>
  <c r="I64" i="12"/>
  <c r="K64" i="12" s="1"/>
  <c r="M28" i="12"/>
  <c r="I28" i="12"/>
  <c r="K28" i="12" s="1"/>
  <c r="I58" i="12"/>
  <c r="K58" i="12" s="1"/>
  <c r="G22" i="12"/>
  <c r="G30" i="12" s="1"/>
  <c r="G35" i="12" s="1"/>
  <c r="O20" i="12"/>
  <c r="O8" i="12"/>
  <c r="G8" i="18"/>
  <c r="E66" i="18"/>
  <c r="M14" i="18"/>
  <c r="O14" i="12"/>
  <c r="O28" i="18"/>
  <c r="I72" i="18"/>
  <c r="K72" i="18" s="1"/>
  <c r="G66" i="18"/>
  <c r="O14" i="18"/>
  <c r="I14" i="18"/>
  <c r="K14" i="18" s="1"/>
  <c r="G22" i="18"/>
  <c r="M20" i="12"/>
  <c r="I20" i="12"/>
  <c r="K20" i="12" s="1"/>
  <c r="O28" i="12"/>
  <c r="I72" i="12"/>
  <c r="K72" i="12" s="1"/>
  <c r="I14" i="12"/>
  <c r="K14" i="12" s="1"/>
  <c r="E22" i="12"/>
  <c r="M14" i="12"/>
  <c r="I66" i="12" l="1"/>
  <c r="K66" i="12" s="1"/>
  <c r="G74" i="12"/>
  <c r="O30" i="12" s="1"/>
  <c r="O8" i="18"/>
  <c r="O22" i="12"/>
  <c r="M22" i="18"/>
  <c r="E74" i="18"/>
  <c r="M30" i="18" s="1"/>
  <c r="G30" i="18"/>
  <c r="I22" i="18"/>
  <c r="K22" i="18" s="1"/>
  <c r="O22" i="18"/>
  <c r="G74" i="18"/>
  <c r="I66" i="18"/>
  <c r="K66" i="18" s="1"/>
  <c r="I22" i="12"/>
  <c r="K22" i="12" s="1"/>
  <c r="E30" i="12"/>
  <c r="M22" i="12"/>
  <c r="I74" i="18" l="1"/>
  <c r="K74" i="18" s="1"/>
  <c r="I74" i="12"/>
  <c r="K74" i="12" s="1"/>
  <c r="O30" i="18"/>
  <c r="G35" i="18"/>
  <c r="I30" i="18"/>
  <c r="K30" i="18" s="1"/>
  <c r="E35" i="12"/>
  <c r="I30" i="12"/>
  <c r="K30" i="12" s="1"/>
  <c r="M30" i="12"/>
  <c r="I35" i="18" l="1"/>
  <c r="K35" i="18" s="1"/>
  <c r="I35" i="12"/>
  <c r="K35" i="12" s="1"/>
</calcChain>
</file>

<file path=xl/comments1.xml><?xml version="1.0" encoding="utf-8"?>
<comments xmlns="http://schemas.openxmlformats.org/spreadsheetml/2006/main">
  <authors>
    <author>nodonn</author>
  </authors>
  <commentList>
    <comment ref="U10" authorId="0" shapeId="0">
      <text>
        <r>
          <rPr>
            <b/>
            <sz val="8"/>
            <color indexed="81"/>
            <rFont val="Tahoma"/>
            <family val="2"/>
          </rPr>
          <t>nodonn:</t>
        </r>
        <r>
          <rPr>
            <sz val="8"/>
            <color indexed="81"/>
            <rFont val="Tahoma"/>
            <family val="2"/>
          </rPr>
          <t xml:space="preserve">
Confirmed with Jo - tie to monthly totals over YTD.  Rounding variances will occur in YTD</t>
        </r>
      </text>
    </comment>
  </commentList>
</comments>
</file>

<file path=xl/comments2.xml><?xml version="1.0" encoding="utf-8"?>
<comments xmlns="http://schemas.openxmlformats.org/spreadsheetml/2006/main">
  <authors>
    <author>Jill Dyer</author>
  </authors>
  <commentList>
    <comment ref="L14" authorId="0" shapeId="0">
      <text>
        <r>
          <rPr>
            <b/>
            <sz val="8"/>
            <color indexed="81"/>
            <rFont val="Tahoma"/>
            <family val="2"/>
          </rPr>
          <t>Jill Dyer:</t>
        </r>
        <r>
          <rPr>
            <sz val="8"/>
            <color indexed="81"/>
            <rFont val="Tahoma"/>
            <family val="2"/>
          </rPr>
          <t xml:space="preserve">
Rounded -2 to tie to ending balance</t>
        </r>
      </text>
    </comment>
    <comment ref="O14" authorId="0" shapeId="0">
      <text>
        <r>
          <rPr>
            <b/>
            <sz val="8"/>
            <color indexed="81"/>
            <rFont val="Tahoma"/>
            <family val="2"/>
          </rPr>
          <t>Jill Dyer:</t>
        </r>
        <r>
          <rPr>
            <sz val="8"/>
            <color indexed="81"/>
            <rFont val="Tahoma"/>
            <family val="2"/>
          </rPr>
          <t xml:space="preserve">
Rounded +1 to tie to ending balance</t>
        </r>
      </text>
    </comment>
    <comment ref="L33" authorId="0" shapeId="0">
      <text>
        <r>
          <rPr>
            <b/>
            <sz val="8"/>
            <color indexed="81"/>
            <rFont val="Tahoma"/>
            <family val="2"/>
          </rPr>
          <t>Jill Dyer:</t>
        </r>
        <r>
          <rPr>
            <sz val="8"/>
            <color indexed="81"/>
            <rFont val="Tahoma"/>
            <family val="2"/>
          </rPr>
          <t xml:space="preserve">
Rounded -1 to tie to ending balance</t>
        </r>
      </text>
    </comment>
    <comment ref="Q33" authorId="0" shapeId="0">
      <text>
        <r>
          <rPr>
            <b/>
            <sz val="8"/>
            <color indexed="81"/>
            <rFont val="Tahoma"/>
            <family val="2"/>
          </rPr>
          <t>Jill Dyer:</t>
        </r>
        <r>
          <rPr>
            <sz val="8"/>
            <color indexed="81"/>
            <rFont val="Tahoma"/>
            <family val="2"/>
          </rPr>
          <t xml:space="preserve">
Rounded +1 to tie to ending balance</t>
        </r>
      </text>
    </comment>
  </commentList>
</comments>
</file>

<file path=xl/sharedStrings.xml><?xml version="1.0" encoding="utf-8"?>
<sst xmlns="http://schemas.openxmlformats.org/spreadsheetml/2006/main" count="449" uniqueCount="136">
  <si>
    <t>%</t>
  </si>
  <si>
    <t>PUGET SOUND ENERGY</t>
  </si>
  <si>
    <t>INCREASE (DECREASE)</t>
  </si>
  <si>
    <t/>
  </si>
  <si>
    <t>ACTUAL</t>
  </si>
  <si>
    <t>AMOUNT</t>
  </si>
  <si>
    <t>Residential</t>
  </si>
  <si>
    <t>Commercial</t>
  </si>
  <si>
    <t>Industrial</t>
  </si>
  <si>
    <t>Public street &amp; hwy lighting</t>
  </si>
  <si>
    <t>Sales for resale firm</t>
  </si>
  <si>
    <t>Unbilled revenue change</t>
  </si>
  <si>
    <t>Transportation (Billed plus Change in Unbilled)</t>
  </si>
  <si>
    <t>Sales to other utilities and marketers</t>
  </si>
  <si>
    <t>Other operating revenues</t>
  </si>
  <si>
    <t>SCH. 81 (B &amp; O tax) in above-billed</t>
  </si>
  <si>
    <t>SCH. 94 (Res/farm credit) in above</t>
  </si>
  <si>
    <t>SCH. 120 (Cons. Rider rev) in above</t>
  </si>
  <si>
    <t>SCH. 95a (Production Tax Credit) in above</t>
  </si>
  <si>
    <t>Low Income Surcharge included in above</t>
  </si>
  <si>
    <t>Steps to upload SOE Budget statistics into SAP:</t>
  </si>
  <si>
    <t>1. Copy column B through E from row 11 down</t>
  </si>
  <si>
    <t>2. Paste Value into a Excel  file, make sure the number fields are large enough and a zero is 0.</t>
  </si>
  <si>
    <t>3. Save file as .txt with the name BudgetSOEStats1.txt on the C drive. The popup will ask to save, select yes.</t>
  </si>
  <si>
    <t>TEXT(MS-DOS)</t>
  </si>
  <si>
    <t>Category</t>
  </si>
  <si>
    <t>Order</t>
  </si>
  <si>
    <t>Statistical  KF</t>
  </si>
  <si>
    <t>Jan</t>
  </si>
  <si>
    <t>Feb</t>
  </si>
  <si>
    <t>Mar</t>
  </si>
  <si>
    <t>Q1</t>
  </si>
  <si>
    <t>Apr</t>
  </si>
  <si>
    <t>May</t>
  </si>
  <si>
    <t>Jun</t>
  </si>
  <si>
    <t>Q2</t>
  </si>
  <si>
    <t>Jul</t>
  </si>
  <si>
    <t>Aug</t>
  </si>
  <si>
    <t>Sep</t>
  </si>
  <si>
    <t>Q3</t>
  </si>
  <si>
    <t>Oct</t>
  </si>
  <si>
    <t>Nov</t>
  </si>
  <si>
    <t>Dec</t>
  </si>
  <si>
    <t>Q4</t>
  </si>
  <si>
    <t>YTD</t>
  </si>
  <si>
    <t>Month Totals</t>
  </si>
  <si>
    <t>PSOE</t>
  </si>
  <si>
    <t>SCH. 132 (Merger Credit) in above</t>
  </si>
  <si>
    <t>PSOEKW</t>
  </si>
  <si>
    <t>Electricity</t>
  </si>
  <si>
    <t>$</t>
  </si>
  <si>
    <t xml:space="preserve">Industrial </t>
  </si>
  <si>
    <t xml:space="preserve">Other retail sales, including change in unbilled </t>
  </si>
  <si>
    <t>Subtotal, retail sales</t>
  </si>
  <si>
    <t>Transportation, including change in unbilled</t>
  </si>
  <si>
    <t>Sales to other utilities &amp; marketers</t>
  </si>
  <si>
    <t>Total electricity sales</t>
  </si>
  <si>
    <t>Gas</t>
  </si>
  <si>
    <t>Transportation</t>
  </si>
  <si>
    <t>Other</t>
  </si>
  <si>
    <t>Total gas sales</t>
  </si>
  <si>
    <t>Total energy sales revenues</t>
  </si>
  <si>
    <t>Electricity (in mWh)</t>
  </si>
  <si>
    <t xml:space="preserve">Residential </t>
  </si>
  <si>
    <t xml:space="preserve">Commercial </t>
  </si>
  <si>
    <t>Other, including change in unbilled</t>
  </si>
  <si>
    <t xml:space="preserve">Total mWh </t>
  </si>
  <si>
    <t>Gas (in 000's of therms)</t>
  </si>
  <si>
    <t xml:space="preserve">Transportation </t>
  </si>
  <si>
    <t>Total gas volumes</t>
  </si>
  <si>
    <t>Electric</t>
  </si>
  <si>
    <t>Actual heating degree days</t>
  </si>
  <si>
    <t xml:space="preserve">Electricity </t>
  </si>
  <si>
    <t>Total electricity customers</t>
  </si>
  <si>
    <t>Total gas customers</t>
  </si>
  <si>
    <t xml:space="preserve">Includes sales of non-core gas supplies.  </t>
  </si>
  <si>
    <t xml:space="preserve">Electric margin is electric sales to retail and transportation customers less the cost of generating and purchasing electric energy sold to </t>
  </si>
  <si>
    <t>customers, including transmission costs, to bring electric energy to PSE's service territory.  Gas margin is gas sales to retail and</t>
  </si>
  <si>
    <t>transportation customers less the cost of gas purchased, including gas transportation costs, to bring gas to PSE's service territory.</t>
  </si>
  <si>
    <t>Seattle-Tacoma Airport statistics reported by NOAA which are based on a 30-year average, 1971-2000. Heating degree days measure how</t>
  </si>
  <si>
    <t xml:space="preserve"> far the daily average temperature falls below 65 degrees. </t>
  </si>
  <si>
    <t>Customers represents average served at month end.</t>
  </si>
  <si>
    <r>
      <t>PUGET SOUND ENERGY</t>
    </r>
    <r>
      <rPr>
        <b/>
        <u/>
        <sz val="12"/>
        <rFont val="Times New Roman"/>
        <family val="1"/>
      </rPr>
      <t xml:space="preserve"> -- UTILITY OPERATING DATA</t>
    </r>
  </si>
  <si>
    <r>
      <t>Energy sales revenues</t>
    </r>
    <r>
      <rPr>
        <i/>
        <sz val="8"/>
        <rFont val="Arial"/>
        <family val="2"/>
      </rPr>
      <t xml:space="preserve"> </t>
    </r>
    <r>
      <rPr>
        <i/>
        <sz val="9"/>
        <rFont val="Arial"/>
        <family val="2"/>
      </rPr>
      <t>($ in thousands; unaudited)</t>
    </r>
  </si>
  <si>
    <r>
      <t>Other</t>
    </r>
    <r>
      <rPr>
        <vertAlign val="superscript"/>
        <sz val="9"/>
        <rFont val="Arial"/>
        <family val="2"/>
      </rPr>
      <t>1</t>
    </r>
  </si>
  <si>
    <r>
      <t xml:space="preserve">Energy sales volumes </t>
    </r>
    <r>
      <rPr>
        <i/>
        <sz val="9"/>
        <rFont val="Arial"/>
        <family val="2"/>
      </rPr>
      <t>(unaudited)</t>
    </r>
  </si>
  <si>
    <r>
      <t>Margins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>($ in thousands; unaudited)</t>
    </r>
  </si>
  <si>
    <r>
      <t xml:space="preserve">Weather </t>
    </r>
    <r>
      <rPr>
        <i/>
        <sz val="9"/>
        <rFont val="Arial"/>
        <family val="2"/>
      </rPr>
      <t>(unaudited)</t>
    </r>
  </si>
  <si>
    <r>
      <t>Normal heating degree days</t>
    </r>
    <r>
      <rPr>
        <vertAlign val="superscript"/>
        <sz val="9"/>
        <rFont val="Arial"/>
        <family val="2"/>
      </rPr>
      <t>3</t>
    </r>
  </si>
  <si>
    <r>
      <t>Customers served at December 31</t>
    </r>
    <r>
      <rPr>
        <b/>
        <i/>
        <vertAlign val="superscript"/>
        <sz val="9"/>
        <rFont val="Arial"/>
        <family val="2"/>
      </rPr>
      <t xml:space="preserve">4 </t>
    </r>
    <r>
      <rPr>
        <i/>
        <sz val="9"/>
        <rFont val="Arial"/>
        <family val="2"/>
      </rPr>
      <t>(unaudited)</t>
    </r>
  </si>
  <si>
    <t>SUMMARY OF GAS OPERATING REVENUE &amp; THERM SALES</t>
  </si>
  <si>
    <t>SALE OF GAS - REVENUE</t>
  </si>
  <si>
    <t>REVENUE PER THERM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</si>
  <si>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</si>
  <si>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</si>
  <si>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</si>
  <si>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</si>
  <si>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</si>
  <si>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</si>
  <si>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</si>
  <si>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</si>
  <si>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</si>
  <si>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</si>
  <si>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</si>
  <si>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</si>
  <si>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</si>
  <si>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</si>
  <si>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</si>
  <si>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</si>
  <si>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</si>
  <si>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</si>
  <si>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</si>
  <si>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</si>
  <si>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</si>
  <si>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</si>
  <si>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</si>
  <si>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Decoupling Revenue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</si>
  <si>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</si>
  <si>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</si>
  <si>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</si>
  <si>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</si>
  <si>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 81 (UtilityTax &amp; FranFee) in above</t>
  </si>
  <si>
    <t>* Note: Sch. 141 Expedited Rate Filing and Sch. 142 Decoupling Riders were included in this report starting in July 2015</t>
  </si>
  <si>
    <t>SCH. 141X (Protected-Plus EDIT) in above</t>
  </si>
  <si>
    <t>SCH. 141Z (Unprotected EDIT) in above</t>
  </si>
  <si>
    <t>SCH. 101 (PGA) in above</t>
  </si>
  <si>
    <t>SCH. 106 (PGA Amor 12-Mo) in above</t>
  </si>
  <si>
    <t>SCH.106B (PGA Suppl Amort 24-Mo) in abov</t>
  </si>
  <si>
    <t>SCH. 142 (Decup in BillEngy) in above</t>
  </si>
  <si>
    <t>SCH. 141D (Distr Pipe Prov Rec Adj)</t>
  </si>
  <si>
    <t>SCH. 141N_G (Rates Not Subj to Ref Adj)</t>
  </si>
  <si>
    <t>SCH. 141RA_G (Rates Subject to Ref Adj)</t>
  </si>
  <si>
    <t>MONTH OF JULY 2023</t>
  </si>
  <si>
    <t>VARIANCE FROM 2022</t>
  </si>
  <si>
    <t>MONTH OF AUGUST 2023</t>
  </si>
  <si>
    <t>TWELVE MONTHS ENDED SEPTEMBER,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</si>
</sst>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.00\ &quot;DM&quot;_-;\-* #,##0.00\ &quot;DM&quot;_-;_-* &quot;-&quot;??\ &quot;DM&quot;_-;_-@_-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0_)"/>
    <numFmt numFmtId="172" formatCode="00000"/>
    <numFmt numFmtId="173" formatCode="mmmm\ d\,\ yyyy"/>
    <numFmt numFmtId="174" formatCode="#,##0_);\(#,##0\);&quot;---&quot;_)"/>
    <numFmt numFmtId="175" formatCode="0.0_);\(0.0\)"/>
    <numFmt numFmtId="176" formatCode="&quot;For the Month Ended&quot;\ mmmm\ yyyy"/>
    <numFmt numFmtId="177" formatCode="0_);\(0\)"/>
    <numFmt numFmtId="178" formatCode="0.0%;\(0.0%\)"/>
    <numFmt numFmtId="179" formatCode="_(#,##0_);\(#,##0\);_(#,##0_);_(@_)"/>
    <numFmt numFmtId="180" formatCode="_-* #,##0\ _D_M_-;\-* #,##0\ _D_M_-;_-* &quot;-&quot;??\ _D_M_-;_-@_-"/>
    <numFmt numFmtId="181" formatCode="0.000"/>
    <numFmt numFmtId="182" formatCode="#,##0.000_);\(#,##0.000\)"/>
    <numFmt numFmtId="183" formatCode="###,000"/>
    <numFmt numFmtId="184" formatCode="_(#,##0.00_);\(#,##0.00\);_(#,##0.00_);_(@_)"/>
  </numFmts>
  <fonts count="84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i/>
      <sz val="9"/>
      <name val="Times New Roman"/>
      <family val="1"/>
    </font>
    <font>
      <b/>
      <i/>
      <sz val="16"/>
      <name val="Helv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u/>
      <sz val="12"/>
      <name val="Times New Roman"/>
      <family val="1"/>
    </font>
    <font>
      <u/>
      <sz val="12"/>
      <name val="Arial"/>
      <family val="2"/>
    </font>
    <font>
      <u/>
      <sz val="12"/>
      <color indexed="10"/>
      <name val="Arial"/>
      <family val="2"/>
    </font>
    <font>
      <b/>
      <u/>
      <sz val="12"/>
      <name val="Arial"/>
      <family val="2"/>
    </font>
    <font>
      <b/>
      <u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vertAlign val="superscript"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9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23" borderId="0" applyNumberFormat="0" applyBorder="0" applyAlignment="0" applyProtection="0"/>
    <xf numFmtId="0" fontId="4" fillId="14" borderId="0" applyNumberFormat="0" applyBorder="0" applyAlignment="0" applyProtection="0"/>
    <xf numFmtId="0" fontId="5" fillId="24" borderId="1" applyNumberFormat="0" applyAlignment="0" applyProtection="0"/>
    <xf numFmtId="0" fontId="6" fillId="15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172" fontId="1" fillId="0" borderId="0"/>
    <xf numFmtId="0" fontId="8" fillId="28" borderId="0" applyNumberFormat="0" applyBorder="0" applyAlignment="0" applyProtection="0"/>
    <xf numFmtId="38" fontId="33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37" fontId="34" fillId="0" borderId="0"/>
    <xf numFmtId="0" fontId="12" fillId="23" borderId="1" applyNumberFormat="0" applyAlignment="0" applyProtection="0"/>
    <xf numFmtId="10" fontId="33" fillId="30" borderId="6" applyNumberFormat="0" applyBorder="0" applyAlignment="0" applyProtection="0"/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171" fontId="35" fillId="0" borderId="0"/>
    <xf numFmtId="38" fontId="36" fillId="0" borderId="0"/>
    <xf numFmtId="39" fontId="27" fillId="0" borderId="0"/>
    <xf numFmtId="174" fontId="36" fillId="0" borderId="0"/>
    <xf numFmtId="39" fontId="27" fillId="0" borderId="0"/>
    <xf numFmtId="0" fontId="1" fillId="22" borderId="8" applyNumberFormat="0" applyFont="0" applyAlignment="0" applyProtection="0"/>
    <xf numFmtId="0" fontId="15" fillId="24" borderId="9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" fontId="16" fillId="31" borderId="10" applyNumberFormat="0" applyProtection="0">
      <alignment vertical="center"/>
    </xf>
    <xf numFmtId="4" fontId="17" fillId="31" borderId="10" applyNumberFormat="0" applyProtection="0">
      <alignment vertical="center"/>
    </xf>
    <xf numFmtId="4" fontId="16" fillId="31" borderId="10" applyNumberFormat="0" applyProtection="0">
      <alignment horizontal="left" vertical="center" indent="1"/>
    </xf>
    <xf numFmtId="0" fontId="16" fillId="31" borderId="10" applyNumberFormat="0" applyProtection="0">
      <alignment horizontal="left" vertical="top" indent="1"/>
    </xf>
    <xf numFmtId="4" fontId="16" fillId="3" borderId="0" applyNumberFormat="0" applyProtection="0">
      <alignment horizontal="left" vertical="center" indent="1"/>
    </xf>
    <xf numFmtId="4" fontId="18" fillId="32" borderId="10" applyNumberFormat="0" applyProtection="0">
      <alignment horizontal="right" vertical="center"/>
    </xf>
    <xf numFmtId="4" fontId="18" fillId="33" borderId="10" applyNumberFormat="0" applyProtection="0">
      <alignment horizontal="right" vertical="center"/>
    </xf>
    <xf numFmtId="4" fontId="18" fillId="34" borderId="10" applyNumberFormat="0" applyProtection="0">
      <alignment horizontal="right" vertical="center"/>
    </xf>
    <xf numFmtId="4" fontId="18" fillId="7" borderId="10" applyNumberFormat="0" applyProtection="0">
      <alignment horizontal="right" vertical="center"/>
    </xf>
    <xf numFmtId="4" fontId="18" fillId="35" borderId="10" applyNumberFormat="0" applyProtection="0">
      <alignment horizontal="right" vertical="center"/>
    </xf>
    <xf numFmtId="4" fontId="18" fillId="36" borderId="10" applyNumberFormat="0" applyProtection="0">
      <alignment horizontal="right" vertical="center"/>
    </xf>
    <xf numFmtId="4" fontId="18" fillId="5" borderId="10" applyNumberFormat="0" applyProtection="0">
      <alignment horizontal="right" vertical="center"/>
    </xf>
    <xf numFmtId="4" fontId="18" fillId="4" borderId="10" applyNumberFormat="0" applyProtection="0">
      <alignment horizontal="right" vertical="center"/>
    </xf>
    <xf numFmtId="4" fontId="18" fillId="37" borderId="10" applyNumberFormat="0" applyProtection="0">
      <alignment horizontal="right" vertical="center"/>
    </xf>
    <xf numFmtId="4" fontId="16" fillId="38" borderId="11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8" fillId="3" borderId="10" applyNumberFormat="0" applyProtection="0">
      <alignment horizontal="right" vertical="center"/>
    </xf>
    <xf numFmtId="4" fontId="20" fillId="2" borderId="0" applyNumberFormat="0" applyProtection="0">
      <alignment horizontal="left" vertical="center" indent="1"/>
    </xf>
    <xf numFmtId="4" fontId="20" fillId="3" borderId="0" applyNumberFormat="0" applyProtection="0">
      <alignment horizontal="left" vertical="center" indent="1"/>
    </xf>
    <xf numFmtId="0" fontId="1" fillId="6" borderId="10" applyNumberFormat="0" applyProtection="0">
      <alignment horizontal="left" vertical="center" indent="1"/>
    </xf>
    <xf numFmtId="0" fontId="1" fillId="6" borderId="10" applyNumberFormat="0" applyProtection="0">
      <alignment horizontal="left" vertical="top" indent="1"/>
    </xf>
    <xf numFmtId="0" fontId="1" fillId="3" borderId="10" applyNumberFormat="0" applyProtection="0">
      <alignment horizontal="left" vertical="center" indent="1"/>
    </xf>
    <xf numFmtId="0" fontId="1" fillId="3" borderId="10" applyNumberFormat="0" applyProtection="0">
      <alignment horizontal="left" vertical="top" indent="1"/>
    </xf>
    <xf numFmtId="0" fontId="1" fillId="39" borderId="10" applyNumberFormat="0" applyProtection="0">
      <alignment horizontal="left" vertical="center" indent="1"/>
    </xf>
    <xf numFmtId="0" fontId="1" fillId="39" borderId="10" applyNumberFormat="0" applyProtection="0">
      <alignment horizontal="left" vertical="top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0" fontId="1" fillId="40" borderId="6" applyNumberFormat="0">
      <protection locked="0"/>
    </xf>
    <xf numFmtId="0" fontId="48" fillId="6" borderId="12" applyBorder="0"/>
    <xf numFmtId="4" fontId="18" fillId="41" borderId="10" applyNumberFormat="0" applyProtection="0">
      <alignment vertical="center"/>
    </xf>
    <xf numFmtId="4" fontId="21" fillId="41" borderId="10" applyNumberFormat="0" applyProtection="0">
      <alignment vertical="center"/>
    </xf>
    <xf numFmtId="4" fontId="18" fillId="41" borderId="10" applyNumberFormat="0" applyProtection="0">
      <alignment horizontal="left" vertical="center" indent="1"/>
    </xf>
    <xf numFmtId="0" fontId="18" fillId="41" borderId="10" applyNumberFormat="0" applyProtection="0">
      <alignment horizontal="left" vertical="top" indent="1"/>
    </xf>
    <xf numFmtId="4" fontId="18" fillId="2" borderId="10" applyNumberFormat="0" applyProtection="0">
      <alignment horizontal="right" vertical="center"/>
    </xf>
    <xf numFmtId="4" fontId="21" fillId="2" borderId="10" applyNumberFormat="0" applyProtection="0">
      <alignment horizontal="right" vertical="center"/>
    </xf>
    <xf numFmtId="4" fontId="18" fillId="3" borderId="10" applyNumberFormat="0" applyProtection="0">
      <alignment horizontal="left" vertical="center" indent="1"/>
    </xf>
    <xf numFmtId="0" fontId="18" fillId="3" borderId="10" applyNumberFormat="0" applyProtection="0">
      <alignment horizontal="left" vertical="top" indent="1"/>
    </xf>
    <xf numFmtId="4" fontId="22" fillId="42" borderId="0" applyNumberFormat="0" applyProtection="0">
      <alignment horizontal="left" vertical="center" indent="1"/>
    </xf>
    <xf numFmtId="0" fontId="36" fillId="43" borderId="6"/>
    <xf numFmtId="4" fontId="23" fillId="2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74" fillId="47" borderId="21" applyNumberFormat="0" applyAlignment="0" applyProtection="0">
      <alignment horizontal="left" vertical="center" indent="1"/>
    </xf>
    <xf numFmtId="183" fontId="75" fillId="0" borderId="22" applyNumberFormat="0" applyProtection="0">
      <alignment horizontal="right" vertical="center"/>
    </xf>
    <xf numFmtId="183" fontId="74" fillId="0" borderId="23" applyNumberFormat="0" applyProtection="0">
      <alignment horizontal="right" vertical="center"/>
    </xf>
    <xf numFmtId="0" fontId="76" fillId="48" borderId="23" applyNumberFormat="0" applyAlignment="0" applyProtection="0">
      <alignment horizontal="left" vertical="center" indent="1"/>
    </xf>
    <xf numFmtId="0" fontId="76" fillId="49" borderId="23" applyNumberFormat="0" applyAlignment="0" applyProtection="0">
      <alignment horizontal="left" vertical="center" indent="1"/>
    </xf>
    <xf numFmtId="183" fontId="75" fillId="50" borderId="22" applyNumberFormat="0" applyBorder="0" applyProtection="0">
      <alignment horizontal="right" vertical="center"/>
    </xf>
    <xf numFmtId="0" fontId="76" fillId="48" borderId="23" applyNumberFormat="0" applyAlignment="0" applyProtection="0">
      <alignment horizontal="left" vertical="center" indent="1"/>
    </xf>
    <xf numFmtId="183" fontId="74" fillId="49" borderId="23" applyNumberFormat="0" applyProtection="0">
      <alignment horizontal="right" vertical="center"/>
    </xf>
    <xf numFmtId="183" fontId="74" fillId="50" borderId="23" applyNumberFormat="0" applyBorder="0" applyProtection="0">
      <alignment horizontal="right" vertical="center"/>
    </xf>
    <xf numFmtId="183" fontId="77" fillId="51" borderId="24" applyNumberFormat="0" applyBorder="0" applyAlignment="0" applyProtection="0">
      <alignment horizontal="right" vertical="center" indent="1"/>
    </xf>
    <xf numFmtId="183" fontId="78" fillId="52" borderId="24" applyNumberFormat="0" applyBorder="0" applyAlignment="0" applyProtection="0">
      <alignment horizontal="right" vertical="center" indent="1"/>
    </xf>
    <xf numFmtId="183" fontId="78" fillId="53" borderId="24" applyNumberFormat="0" applyBorder="0" applyAlignment="0" applyProtection="0">
      <alignment horizontal="right" vertical="center" indent="1"/>
    </xf>
    <xf numFmtId="183" fontId="79" fillId="54" borderId="24" applyNumberFormat="0" applyBorder="0" applyAlignment="0" applyProtection="0">
      <alignment horizontal="right" vertical="center" indent="1"/>
    </xf>
    <xf numFmtId="183" fontId="79" fillId="55" borderId="24" applyNumberFormat="0" applyBorder="0" applyAlignment="0" applyProtection="0">
      <alignment horizontal="right" vertical="center" indent="1"/>
    </xf>
    <xf numFmtId="183" fontId="79" fillId="56" borderId="24" applyNumberFormat="0" applyBorder="0" applyAlignment="0" applyProtection="0">
      <alignment horizontal="right" vertical="center" indent="1"/>
    </xf>
    <xf numFmtId="183" fontId="80" fillId="57" borderId="24" applyNumberFormat="0" applyBorder="0" applyAlignment="0" applyProtection="0">
      <alignment horizontal="right" vertical="center" indent="1"/>
    </xf>
    <xf numFmtId="183" fontId="80" fillId="58" borderId="24" applyNumberFormat="0" applyBorder="0" applyAlignment="0" applyProtection="0">
      <alignment horizontal="right" vertical="center" indent="1"/>
    </xf>
    <xf numFmtId="183" fontId="80" fillId="59" borderId="24" applyNumberFormat="0" applyBorder="0" applyAlignment="0" applyProtection="0">
      <alignment horizontal="right" vertical="center" indent="1"/>
    </xf>
    <xf numFmtId="0" fontId="81" fillId="0" borderId="21" applyNumberFormat="0" applyFont="0" applyFill="0" applyAlignment="0" applyProtection="0"/>
    <xf numFmtId="183" fontId="75" fillId="60" borderId="21" applyNumberFormat="0" applyAlignment="0" applyProtection="0">
      <alignment horizontal="left" vertical="center" indent="1"/>
    </xf>
    <xf numFmtId="0" fontId="74" fillId="47" borderId="23" applyNumberFormat="0" applyAlignment="0" applyProtection="0">
      <alignment horizontal="left" vertical="center" indent="1"/>
    </xf>
    <xf numFmtId="0" fontId="76" fillId="61" borderId="21" applyNumberFormat="0" applyAlignment="0" applyProtection="0">
      <alignment horizontal="left" vertical="center" indent="1"/>
    </xf>
    <xf numFmtId="0" fontId="76" fillId="62" borderId="21" applyNumberFormat="0" applyAlignment="0" applyProtection="0">
      <alignment horizontal="left" vertical="center" indent="1"/>
    </xf>
    <xf numFmtId="0" fontId="76" fillId="63" borderId="21" applyNumberFormat="0" applyAlignment="0" applyProtection="0">
      <alignment horizontal="left" vertical="center" indent="1"/>
    </xf>
    <xf numFmtId="0" fontId="76" fillId="50" borderId="21" applyNumberFormat="0" applyAlignment="0" applyProtection="0">
      <alignment horizontal="left" vertical="center" indent="1"/>
    </xf>
    <xf numFmtId="0" fontId="76" fillId="49" borderId="23" applyNumberFormat="0" applyAlignment="0" applyProtection="0">
      <alignment horizontal="left" vertical="center" indent="1"/>
    </xf>
    <xf numFmtId="0" fontId="82" fillId="0" borderId="25" applyNumberFormat="0" applyFill="0" applyBorder="0" applyAlignment="0" applyProtection="0"/>
    <xf numFmtId="0" fontId="83" fillId="0" borderId="25" applyBorder="0" applyAlignment="0" applyProtection="0"/>
    <xf numFmtId="0" fontId="1" fillId="0" borderId="0"/>
  </cellStyleXfs>
  <cellXfs count="354">
    <xf numFmtId="0" fontId="0" fillId="0" borderId="0" xfId="0"/>
    <xf numFmtId="0" fontId="37" fillId="44" borderId="0" xfId="0" applyFont="1" applyFill="1"/>
    <xf numFmtId="0" fontId="0" fillId="44" borderId="0" xfId="0" applyFill="1"/>
    <xf numFmtId="0" fontId="0" fillId="0" borderId="0" xfId="0" applyFill="1"/>
    <xf numFmtId="0" fontId="0" fillId="45" borderId="0" xfId="0" applyFill="1"/>
    <xf numFmtId="0" fontId="0" fillId="0" borderId="0" xfId="0" applyNumberFormat="1"/>
    <xf numFmtId="0" fontId="0" fillId="0" borderId="0" xfId="0" applyFill="1" applyBorder="1"/>
    <xf numFmtId="0" fontId="36" fillId="0" borderId="0" xfId="0" applyNumberFormat="1" applyFont="1"/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0" xfId="0" applyFont="1" applyAlignment="1">
      <alignment horizontal="centerContinuous"/>
    </xf>
    <xf numFmtId="0" fontId="39" fillId="0" borderId="0" xfId="0" applyFont="1" applyFill="1" applyAlignment="1">
      <alignment horizontal="centerContinuous"/>
    </xf>
    <xf numFmtId="0" fontId="39" fillId="45" borderId="0" xfId="0" applyFont="1" applyFill="1" applyAlignment="1">
      <alignment horizontal="centerContinuous"/>
    </xf>
    <xf numFmtId="0" fontId="40" fillId="0" borderId="0" xfId="0" applyNumberFormat="1" applyFont="1" applyAlignment="1">
      <alignment horizontal="centerContinuous"/>
    </xf>
    <xf numFmtId="0" fontId="38" fillId="0" borderId="0" xfId="0" applyFont="1" applyFill="1" applyBorder="1" applyAlignment="1">
      <alignment horizontal="left"/>
    </xf>
    <xf numFmtId="176" fontId="39" fillId="0" borderId="0" xfId="0" applyNumberFormat="1" applyFont="1" applyAlignment="1">
      <alignment horizontal="centerContinuous"/>
    </xf>
    <xf numFmtId="176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45" borderId="0" xfId="0" applyFont="1" applyFill="1" applyAlignment="1">
      <alignment horizontal="left"/>
    </xf>
    <xf numFmtId="0" fontId="41" fillId="0" borderId="0" xfId="0" applyNumberFormat="1" applyFont="1"/>
    <xf numFmtId="0" fontId="41" fillId="0" borderId="0" xfId="0" applyFont="1" applyFill="1" applyBorder="1"/>
    <xf numFmtId="0" fontId="42" fillId="0" borderId="0" xfId="0" applyFont="1" applyAlignment="1">
      <alignment horizontal="center"/>
    </xf>
    <xf numFmtId="0" fontId="41" fillId="0" borderId="0" xfId="0" applyFont="1"/>
    <xf numFmtId="0" fontId="43" fillId="0" borderId="0" xfId="0" applyFont="1" applyBorder="1" applyAlignment="1">
      <alignment horizontal="centerContinuous"/>
    </xf>
    <xf numFmtId="0" fontId="43" fillId="0" borderId="0" xfId="0" applyFont="1" applyFill="1" applyBorder="1" applyAlignment="1">
      <alignment horizontal="centerContinuous"/>
    </xf>
    <xf numFmtId="0" fontId="43" fillId="45" borderId="0" xfId="0" applyFont="1" applyFill="1" applyBorder="1" applyAlignment="1">
      <alignment horizontal="centerContinuous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43" fillId="45" borderId="0" xfId="0" applyFont="1" applyFill="1" applyAlignment="1">
      <alignment horizontal="center" wrapText="1"/>
    </xf>
    <xf numFmtId="0" fontId="43" fillId="0" borderId="0" xfId="0" applyNumberFormat="1" applyFont="1" applyFill="1" applyBorder="1" applyAlignment="1">
      <alignment horizontal="center" wrapText="1"/>
    </xf>
    <xf numFmtId="39" fontId="41" fillId="0" borderId="0" xfId="49" applyNumberFormat="1" applyFont="1" applyAlignment="1" applyProtection="1">
      <alignment horizontal="left"/>
      <protection locked="0"/>
    </xf>
    <xf numFmtId="177" fontId="41" fillId="0" borderId="0" xfId="29" applyNumberFormat="1" applyFont="1" applyFill="1" applyBorder="1" applyAlignment="1"/>
    <xf numFmtId="44" fontId="41" fillId="0" borderId="0" xfId="49" applyNumberFormat="1" applyFont="1" applyAlignment="1" applyProtection="1">
      <alignment horizontal="left"/>
      <protection locked="0"/>
    </xf>
    <xf numFmtId="41" fontId="41" fillId="0" borderId="0" xfId="29" applyNumberFormat="1" applyFont="1" applyFill="1"/>
    <xf numFmtId="41" fontId="41" fillId="45" borderId="0" xfId="29" applyNumberFormat="1" applyFont="1" applyFill="1"/>
    <xf numFmtId="49" fontId="41" fillId="0" borderId="0" xfId="0" applyNumberFormat="1" applyFont="1" applyFill="1" applyBorder="1"/>
    <xf numFmtId="0" fontId="41" fillId="0" borderId="0" xfId="0" applyNumberFormat="1" applyFont="1" applyFill="1" applyBorder="1"/>
    <xf numFmtId="39" fontId="41" fillId="0" borderId="14" xfId="49" applyFont="1" applyBorder="1" applyAlignment="1" applyProtection="1">
      <alignment horizontal="left"/>
      <protection locked="0"/>
    </xf>
    <xf numFmtId="177" fontId="41" fillId="0" borderId="14" xfId="29" applyNumberFormat="1" applyFont="1" applyFill="1" applyBorder="1" applyAlignment="1"/>
    <xf numFmtId="44" fontId="41" fillId="0" borderId="14" xfId="49" applyNumberFormat="1" applyFont="1" applyBorder="1" applyAlignment="1" applyProtection="1">
      <alignment horizontal="left"/>
      <protection locked="0"/>
    </xf>
    <xf numFmtId="41" fontId="41" fillId="0" borderId="14" xfId="29" applyNumberFormat="1" applyFont="1" applyFill="1" applyBorder="1"/>
    <xf numFmtId="41" fontId="41" fillId="45" borderId="14" xfId="29" applyNumberFormat="1" applyFont="1" applyFill="1" applyBorder="1"/>
    <xf numFmtId="39" fontId="41" fillId="0" borderId="0" xfId="49" applyFont="1" applyAlignment="1" applyProtection="1">
      <alignment horizontal="left"/>
      <protection locked="0"/>
    </xf>
    <xf numFmtId="177" fontId="41" fillId="46" borderId="0" xfId="29" applyNumberFormat="1" applyFont="1" applyFill="1" applyBorder="1" applyAlignment="1"/>
    <xf numFmtId="39" fontId="41" fillId="0" borderId="0" xfId="51" applyFont="1" applyAlignment="1" applyProtection="1">
      <alignment horizontal="left"/>
      <protection locked="0"/>
    </xf>
    <xf numFmtId="39" fontId="41" fillId="0" borderId="0" xfId="51" quotePrefix="1" applyFont="1" applyAlignment="1" applyProtection="1">
      <alignment horizontal="left"/>
      <protection locked="0"/>
    </xf>
    <xf numFmtId="39" fontId="41" fillId="0" borderId="0" xfId="51" applyFont="1" applyBorder="1" applyAlignment="1" applyProtection="1">
      <alignment horizontal="left"/>
      <protection locked="0"/>
    </xf>
    <xf numFmtId="44" fontId="41" fillId="0" borderId="0" xfId="49" applyNumberFormat="1" applyFont="1" applyBorder="1" applyAlignment="1" applyProtection="1">
      <alignment horizontal="left"/>
      <protection locked="0"/>
    </xf>
    <xf numFmtId="41" fontId="41" fillId="0" borderId="0" xfId="29" applyNumberFormat="1" applyFont="1" applyFill="1" applyBorder="1"/>
    <xf numFmtId="41" fontId="41" fillId="45" borderId="0" xfId="29" applyNumberFormat="1" applyFont="1" applyFill="1" applyBorder="1"/>
    <xf numFmtId="39" fontId="41" fillId="0" borderId="14" xfId="51" applyFont="1" applyBorder="1" applyAlignment="1" applyProtection="1">
      <alignment horizontal="left"/>
      <protection locked="0"/>
    </xf>
    <xf numFmtId="177" fontId="41" fillId="46" borderId="14" xfId="29" applyNumberFormat="1" applyFont="1" applyFill="1" applyBorder="1" applyAlignment="1"/>
    <xf numFmtId="39" fontId="41" fillId="0" borderId="0" xfId="49" applyNumberFormat="1" applyFont="1" applyAlignment="1" applyProtection="1">
      <alignment horizontal="left"/>
    </xf>
    <xf numFmtId="41" fontId="41" fillId="0" borderId="0" xfId="0" applyNumberFormat="1" applyFont="1" applyFill="1" applyBorder="1"/>
    <xf numFmtId="169" fontId="41" fillId="0" borderId="0" xfId="0" applyNumberFormat="1" applyFont="1"/>
    <xf numFmtId="169" fontId="41" fillId="0" borderId="0" xfId="0" applyNumberFormat="1" applyFont="1" applyFill="1"/>
    <xf numFmtId="169" fontId="41" fillId="45" borderId="0" xfId="0" applyNumberFormat="1" applyFont="1" applyFill="1"/>
    <xf numFmtId="0" fontId="41" fillId="0" borderId="0" xfId="0" applyFont="1" applyFill="1"/>
    <xf numFmtId="0" fontId="41" fillId="45" borderId="0" xfId="0" applyFont="1" applyFill="1"/>
    <xf numFmtId="174" fontId="45" fillId="0" borderId="0" xfId="50" applyFont="1"/>
    <xf numFmtId="174" fontId="36" fillId="0" borderId="0" xfId="50"/>
    <xf numFmtId="174" fontId="36" fillId="0" borderId="0" xfId="50" applyFont="1"/>
    <xf numFmtId="174" fontId="36" fillId="0" borderId="0" xfId="50" applyNumberFormat="1"/>
    <xf numFmtId="174" fontId="46" fillId="0" borderId="0" xfId="50" applyNumberFormat="1" applyFont="1"/>
    <xf numFmtId="38" fontId="36" fillId="0" borderId="0" xfId="48"/>
    <xf numFmtId="173" fontId="47" fillId="0" borderId="0" xfId="0" applyNumberFormat="1" applyFont="1" applyFill="1" applyBorder="1" applyAlignment="1" applyProtection="1">
      <alignment horizontal="centerContinuous"/>
      <protection locked="0"/>
    </xf>
    <xf numFmtId="174" fontId="48" fillId="0" borderId="0" xfId="50" applyNumberFormat="1" applyFont="1"/>
    <xf numFmtId="174" fontId="36" fillId="0" borderId="0" xfId="50" applyNumberFormat="1" applyFill="1" applyBorder="1"/>
    <xf numFmtId="38" fontId="36" fillId="0" borderId="0" xfId="48" applyFill="1" applyBorder="1"/>
    <xf numFmtId="38" fontId="49" fillId="0" borderId="0" xfId="48" applyFont="1" applyAlignment="1"/>
    <xf numFmtId="38" fontId="49" fillId="0" borderId="0" xfId="48" applyFont="1"/>
    <xf numFmtId="174" fontId="50" fillId="0" borderId="0" xfId="50" applyFont="1"/>
    <xf numFmtId="174" fontId="51" fillId="0" borderId="0" xfId="50" applyFont="1"/>
    <xf numFmtId="174" fontId="52" fillId="0" borderId="0" xfId="50" applyNumberFormat="1" applyFont="1"/>
    <xf numFmtId="174" fontId="51" fillId="0" borderId="0" xfId="50" applyNumberFormat="1" applyFont="1"/>
    <xf numFmtId="174" fontId="53" fillId="0" borderId="0" xfId="50" applyNumberFormat="1" applyFont="1"/>
    <xf numFmtId="174" fontId="54" fillId="0" borderId="0" xfId="50" applyNumberFormat="1" applyFont="1" applyFill="1" applyBorder="1"/>
    <xf numFmtId="174" fontId="51" fillId="0" borderId="0" xfId="50" applyFont="1" applyFill="1" applyBorder="1"/>
    <xf numFmtId="174" fontId="51" fillId="0" borderId="0" xfId="50" applyNumberFormat="1" applyFont="1" applyFill="1" applyBorder="1"/>
    <xf numFmtId="174" fontId="56" fillId="0" borderId="0" xfId="50" applyNumberFormat="1" applyFont="1" applyFill="1" applyBorder="1" applyAlignment="1"/>
    <xf numFmtId="38" fontId="56" fillId="0" borderId="0" xfId="48" applyFont="1" applyAlignment="1"/>
    <xf numFmtId="38" fontId="56" fillId="0" borderId="0" xfId="48" applyFont="1"/>
    <xf numFmtId="0" fontId="30" fillId="0" borderId="0" xfId="48" quotePrefix="1" applyNumberFormat="1" applyFont="1" applyFill="1" applyBorder="1" applyAlignment="1">
      <alignment horizontal="center"/>
    </xf>
    <xf numFmtId="38" fontId="30" fillId="0" borderId="0" xfId="48" applyFont="1"/>
    <xf numFmtId="38" fontId="30" fillId="0" borderId="0" xfId="48" applyFont="1" applyAlignment="1"/>
    <xf numFmtId="174" fontId="56" fillId="0" borderId="0" xfId="50" applyNumberFormat="1" applyFont="1" applyFill="1" applyBorder="1"/>
    <xf numFmtId="174" fontId="56" fillId="0" borderId="0" xfId="50" applyFont="1"/>
    <xf numFmtId="174" fontId="30" fillId="0" borderId="0" xfId="50" applyNumberFormat="1" applyFont="1" applyFill="1" applyBorder="1"/>
    <xf numFmtId="174" fontId="63" fillId="0" borderId="0" xfId="50" applyFont="1"/>
    <xf numFmtId="174" fontId="30" fillId="0" borderId="0" xfId="50" applyFont="1"/>
    <xf numFmtId="10" fontId="30" fillId="0" borderId="0" xfId="50" applyNumberFormat="1" applyFont="1"/>
    <xf numFmtId="174" fontId="30" fillId="0" borderId="0" xfId="50" applyNumberFormat="1" applyFont="1" applyFill="1" applyBorder="1" applyAlignment="1">
      <alignment horizontal="right"/>
    </xf>
    <xf numFmtId="174" fontId="30" fillId="0" borderId="0" xfId="50" applyFont="1" applyFill="1" applyBorder="1" applyAlignment="1">
      <alignment horizontal="right"/>
    </xf>
    <xf numFmtId="174" fontId="63" fillId="0" borderId="0" xfId="50" applyNumberFormat="1" applyFont="1" applyFill="1" applyBorder="1"/>
    <xf numFmtId="170" fontId="30" fillId="0" borderId="0" xfId="31" applyNumberFormat="1" applyFont="1" applyFill="1" applyBorder="1" applyAlignment="1">
      <alignment horizontal="right"/>
    </xf>
    <xf numFmtId="174" fontId="30" fillId="0" borderId="0" xfId="50" applyFont="1" applyFill="1"/>
    <xf numFmtId="174" fontId="30" fillId="0" borderId="0" xfId="50" applyNumberFormat="1" applyFont="1" applyFill="1" applyBorder="1" applyAlignment="1"/>
    <xf numFmtId="174" fontId="63" fillId="0" borderId="0" xfId="50" applyFont="1" applyFill="1"/>
    <xf numFmtId="38" fontId="30" fillId="0" borderId="0" xfId="48" applyFont="1" applyFill="1" applyBorder="1"/>
    <xf numFmtId="37" fontId="61" fillId="0" borderId="0" xfId="42" applyFont="1"/>
    <xf numFmtId="174" fontId="55" fillId="0" borderId="0" xfId="50" applyFont="1"/>
    <xf numFmtId="174" fontId="30" fillId="0" borderId="0" xfId="50" applyFont="1" applyBorder="1"/>
    <xf numFmtId="174" fontId="63" fillId="0" borderId="0" xfId="50" applyFont="1" applyFill="1" applyBorder="1" applyAlignment="1">
      <alignment horizontal="right"/>
    </xf>
    <xf numFmtId="174" fontId="63" fillId="0" borderId="0" xfId="50" applyFont="1" applyFill="1" applyBorder="1"/>
    <xf numFmtId="174" fontId="28" fillId="0" borderId="15" xfId="50" applyFont="1" applyFill="1" applyBorder="1" applyAlignment="1">
      <alignment horizontal="right"/>
    </xf>
    <xf numFmtId="174" fontId="28" fillId="0" borderId="16" xfId="50" applyFont="1" applyFill="1" applyBorder="1" applyAlignment="1">
      <alignment horizontal="right"/>
    </xf>
    <xf numFmtId="174" fontId="62" fillId="0" borderId="0" xfId="50" applyFont="1"/>
    <xf numFmtId="174" fontId="30" fillId="0" borderId="0" xfId="50" applyFont="1" applyFill="1" applyBorder="1"/>
    <xf numFmtId="170" fontId="28" fillId="0" borderId="15" xfId="31" applyNumberFormat="1" applyFont="1" applyFill="1" applyBorder="1" applyAlignment="1">
      <alignment horizontal="right"/>
    </xf>
    <xf numFmtId="170" fontId="28" fillId="0" borderId="16" xfId="31" applyNumberFormat="1" applyFont="1" applyFill="1" applyBorder="1" applyAlignment="1">
      <alignment horizontal="right"/>
    </xf>
    <xf numFmtId="174" fontId="30" fillId="0" borderId="17" xfId="50" applyFont="1" applyBorder="1"/>
    <xf numFmtId="174" fontId="62" fillId="0" borderId="17" xfId="50" applyFont="1" applyBorder="1"/>
    <xf numFmtId="174" fontId="55" fillId="0" borderId="17" xfId="50" applyFont="1" applyBorder="1"/>
    <xf numFmtId="169" fontId="30" fillId="0" borderId="17" xfId="29" applyNumberFormat="1" applyFont="1" applyFill="1" applyBorder="1" applyAlignment="1">
      <alignment horizontal="right"/>
    </xf>
    <xf numFmtId="170" fontId="30" fillId="0" borderId="17" xfId="31" applyNumberFormat="1" applyFont="1" applyFill="1" applyBorder="1"/>
    <xf numFmtId="169" fontId="28" fillId="0" borderId="15" xfId="29" applyNumberFormat="1" applyFont="1" applyFill="1" applyBorder="1" applyAlignment="1">
      <alignment horizontal="right"/>
    </xf>
    <xf numFmtId="169" fontId="28" fillId="0" borderId="16" xfId="29" applyNumberFormat="1" applyFont="1" applyFill="1" applyBorder="1" applyAlignment="1">
      <alignment horizontal="right"/>
    </xf>
    <xf numFmtId="169" fontId="30" fillId="0" borderId="0" xfId="29" applyNumberFormat="1" applyFont="1" applyFill="1" applyBorder="1" applyAlignment="1">
      <alignment horizontal="right"/>
    </xf>
    <xf numFmtId="174" fontId="68" fillId="0" borderId="0" xfId="50" applyFont="1"/>
    <xf numFmtId="174" fontId="69" fillId="0" borderId="0" xfId="50" applyFont="1"/>
    <xf numFmtId="174" fontId="69" fillId="0" borderId="0" xfId="50" applyNumberFormat="1" applyFont="1"/>
    <xf numFmtId="174" fontId="70" fillId="0" borderId="0" xfId="50" applyFont="1" applyFill="1"/>
    <xf numFmtId="38" fontId="71" fillId="0" borderId="0" xfId="48" applyFont="1" applyFill="1" applyBorder="1" applyAlignment="1"/>
    <xf numFmtId="174" fontId="69" fillId="0" borderId="0" xfId="50" applyFont="1" applyFill="1"/>
    <xf numFmtId="174" fontId="69" fillId="0" borderId="15" xfId="50" applyFont="1" applyFill="1" applyBorder="1"/>
    <xf numFmtId="174" fontId="69" fillId="0" borderId="16" xfId="50" applyFont="1" applyFill="1" applyBorder="1"/>
    <xf numFmtId="1" fontId="30" fillId="0" borderId="0" xfId="50" applyNumberFormat="1" applyFont="1"/>
    <xf numFmtId="2" fontId="30" fillId="0" borderId="0" xfId="50" applyNumberFormat="1" applyFont="1"/>
    <xf numFmtId="49" fontId="30" fillId="0" borderId="0" xfId="50" applyNumberFormat="1" applyFont="1" applyBorder="1"/>
    <xf numFmtId="49" fontId="30" fillId="0" borderId="0" xfId="50" applyNumberFormat="1" applyFont="1"/>
    <xf numFmtId="49" fontId="36" fillId="0" borderId="0" xfId="50" applyNumberFormat="1" applyFont="1"/>
    <xf numFmtId="49" fontId="69" fillId="0" borderId="0" xfId="50" applyNumberFormat="1" applyFont="1"/>
    <xf numFmtId="174" fontId="30" fillId="0" borderId="0" xfId="50" applyFont="1" applyFill="1" applyAlignment="1">
      <alignment horizontal="right"/>
    </xf>
    <xf numFmtId="175" fontId="72" fillId="0" borderId="0" xfId="50" applyNumberFormat="1" applyFont="1" applyFill="1" applyBorder="1"/>
    <xf numFmtId="175" fontId="73" fillId="0" borderId="0" xfId="50" applyNumberFormat="1" applyFont="1" applyFill="1" applyBorder="1"/>
    <xf numFmtId="49" fontId="30" fillId="0" borderId="17" xfId="50" applyNumberFormat="1" applyFont="1" applyBorder="1"/>
    <xf numFmtId="49" fontId="36" fillId="0" borderId="17" xfId="50" applyNumberFormat="1" applyFont="1" applyBorder="1"/>
    <xf numFmtId="49" fontId="69" fillId="0" borderId="17" xfId="50" applyNumberFormat="1" applyFont="1" applyBorder="1"/>
    <xf numFmtId="174" fontId="30" fillId="0" borderId="17" xfId="50" quotePrefix="1" applyFont="1" applyFill="1" applyBorder="1" applyAlignment="1">
      <alignment horizontal="right"/>
    </xf>
    <xf numFmtId="0" fontId="72" fillId="0" borderId="17" xfId="50" applyNumberFormat="1" applyFont="1" applyFill="1" applyBorder="1"/>
    <xf numFmtId="174" fontId="28" fillId="0" borderId="15" xfId="50" quotePrefix="1" applyFont="1" applyFill="1" applyBorder="1" applyAlignment="1">
      <alignment horizontal="right"/>
    </xf>
    <xf numFmtId="174" fontId="28" fillId="0" borderId="16" xfId="50" quotePrefix="1" applyFont="1" applyFill="1" applyBorder="1" applyAlignment="1">
      <alignment horizontal="right"/>
    </xf>
    <xf numFmtId="0" fontId="73" fillId="0" borderId="17" xfId="50" applyNumberFormat="1" applyFont="1" applyFill="1" applyBorder="1"/>
    <xf numFmtId="10" fontId="30" fillId="0" borderId="0" xfId="50" applyNumberFormat="1" applyFont="1" applyFill="1"/>
    <xf numFmtId="43" fontId="30" fillId="0" borderId="0" xfId="29" applyFont="1"/>
    <xf numFmtId="37" fontId="68" fillId="0" borderId="0" xfId="42" applyFont="1"/>
    <xf numFmtId="174" fontId="56" fillId="0" borderId="0" xfId="50" applyNumberFormat="1" applyFont="1"/>
    <xf numFmtId="174" fontId="65" fillId="0" borderId="0" xfId="50" applyNumberFormat="1" applyFont="1" applyFill="1"/>
    <xf numFmtId="174" fontId="66" fillId="0" borderId="0" xfId="50" applyNumberFormat="1" applyFont="1" applyFill="1"/>
    <xf numFmtId="174" fontId="56" fillId="0" borderId="0" xfId="50" applyNumberFormat="1" applyFont="1" applyFill="1"/>
    <xf numFmtId="38" fontId="62" fillId="0" borderId="0" xfId="48" applyFont="1" applyAlignment="1"/>
    <xf numFmtId="38" fontId="62" fillId="0" borderId="0" xfId="48" applyFont="1"/>
    <xf numFmtId="174" fontId="63" fillId="0" borderId="0" xfId="50" applyNumberFormat="1" applyFont="1" applyFill="1"/>
    <xf numFmtId="174" fontId="30" fillId="0" borderId="0" xfId="50" applyNumberFormat="1" applyFont="1" applyFill="1"/>
    <xf numFmtId="2" fontId="55" fillId="0" borderId="0" xfId="48" applyNumberFormat="1" applyFont="1" applyAlignment="1"/>
    <xf numFmtId="169" fontId="30" fillId="0" borderId="0" xfId="29" applyNumberFormat="1" applyFont="1" applyFill="1" applyBorder="1"/>
    <xf numFmtId="38" fontId="63" fillId="0" borderId="0" xfId="48" applyFont="1" applyFill="1" applyBorder="1"/>
    <xf numFmtId="38" fontId="30" fillId="0" borderId="0" xfId="48" applyFont="1" applyBorder="1"/>
    <xf numFmtId="174" fontId="55" fillId="0" borderId="0" xfId="50" applyFont="1" applyBorder="1"/>
    <xf numFmtId="38" fontId="30" fillId="0" borderId="0" xfId="48" applyFont="1" applyFill="1"/>
    <xf numFmtId="38" fontId="28" fillId="0" borderId="0" xfId="48" applyFont="1" applyFill="1"/>
    <xf numFmtId="2" fontId="72" fillId="0" borderId="0" xfId="48" applyNumberFormat="1" applyFont="1" applyAlignment="1"/>
    <xf numFmtId="38" fontId="72" fillId="0" borderId="0" xfId="48" applyFont="1" applyAlignment="1"/>
    <xf numFmtId="38" fontId="64" fillId="0" borderId="0" xfId="48" applyFont="1" applyAlignment="1">
      <alignment horizontal="right"/>
    </xf>
    <xf numFmtId="38" fontId="36" fillId="0" borderId="0" xfId="48" applyFont="1" applyFill="1"/>
    <xf numFmtId="38" fontId="36" fillId="0" borderId="0" xfId="48" applyFont="1" applyAlignment="1"/>
    <xf numFmtId="174" fontId="46" fillId="0" borderId="0" xfId="50" applyFont="1"/>
    <xf numFmtId="174" fontId="48" fillId="0" borderId="0" xfId="50" applyFont="1"/>
    <xf numFmtId="174" fontId="36" fillId="0" borderId="0" xfId="50" applyFont="1" applyFill="1"/>
    <xf numFmtId="174" fontId="36" fillId="0" borderId="0" xfId="50" applyNumberFormat="1" applyFont="1" applyFill="1"/>
    <xf numFmtId="174" fontId="36" fillId="0" borderId="0" xfId="50" applyNumberFormat="1" applyFont="1"/>
    <xf numFmtId="2" fontId="30" fillId="0" borderId="0" xfId="48" applyNumberFormat="1" applyFont="1" applyAlignment="1"/>
    <xf numFmtId="174" fontId="46" fillId="0" borderId="0" xfId="50" applyFont="1" applyFill="1"/>
    <xf numFmtId="38" fontId="36" fillId="0" borderId="0" xfId="48" applyFont="1"/>
    <xf numFmtId="38" fontId="46" fillId="0" borderId="0" xfId="48" applyFont="1"/>
    <xf numFmtId="174" fontId="36" fillId="0" borderId="0" xfId="50" applyFill="1"/>
    <xf numFmtId="174" fontId="36" fillId="0" borderId="0" xfId="50" applyNumberFormat="1" applyFill="1"/>
    <xf numFmtId="174" fontId="55" fillId="46" borderId="0" xfId="50" applyFont="1" applyFill="1"/>
    <xf numFmtId="174" fontId="56" fillId="46" borderId="0" xfId="50" applyFont="1" applyFill="1"/>
    <xf numFmtId="174" fontId="56" fillId="46" borderId="14" xfId="50" applyFont="1" applyFill="1" applyBorder="1" applyAlignment="1">
      <alignment horizontal="centerContinuous" vertical="center"/>
    </xf>
    <xf numFmtId="174" fontId="28" fillId="46" borderId="15" xfId="50" applyNumberFormat="1" applyFont="1" applyFill="1" applyBorder="1" applyAlignment="1">
      <alignment horizontal="center"/>
    </xf>
    <xf numFmtId="174" fontId="28" fillId="46" borderId="16" xfId="50" applyNumberFormat="1" applyFont="1" applyFill="1" applyBorder="1" applyAlignment="1">
      <alignment horizontal="center"/>
    </xf>
    <xf numFmtId="174" fontId="30" fillId="46" borderId="0" xfId="50" applyFont="1" applyFill="1"/>
    <xf numFmtId="174" fontId="30" fillId="46" borderId="14" xfId="50" applyFont="1" applyFill="1" applyBorder="1"/>
    <xf numFmtId="0" fontId="30" fillId="46" borderId="14" xfId="48" applyNumberFormat="1" applyFont="1" applyFill="1" applyBorder="1" applyAlignment="1">
      <alignment horizontal="center"/>
    </xf>
    <xf numFmtId="0" fontId="30" fillId="46" borderId="14" xfId="48" quotePrefix="1" applyNumberFormat="1" applyFont="1" applyFill="1" applyBorder="1" applyAlignment="1">
      <alignment horizontal="center"/>
    </xf>
    <xf numFmtId="0" fontId="28" fillId="46" borderId="15" xfId="48" quotePrefix="1" applyNumberFormat="1" applyFont="1" applyFill="1" applyBorder="1" applyAlignment="1">
      <alignment horizontal="center"/>
    </xf>
    <xf numFmtId="0" fontId="28" fillId="46" borderId="16" xfId="48" quotePrefix="1" applyNumberFormat="1" applyFont="1" applyFill="1" applyBorder="1" applyAlignment="1">
      <alignment horizontal="center"/>
    </xf>
    <xf numFmtId="37" fontId="61" fillId="46" borderId="0" xfId="42" applyFont="1" applyFill="1"/>
    <xf numFmtId="174" fontId="28" fillId="46" borderId="0" xfId="50" applyNumberFormat="1" applyFont="1" applyFill="1"/>
    <xf numFmtId="174" fontId="28" fillId="46" borderId="0" xfId="50" applyFont="1" applyFill="1"/>
    <xf numFmtId="174" fontId="28" fillId="46" borderId="15" xfId="50" applyNumberFormat="1" applyFont="1" applyFill="1" applyBorder="1"/>
    <xf numFmtId="174" fontId="28" fillId="46" borderId="16" xfId="50" applyNumberFormat="1" applyFont="1" applyFill="1" applyBorder="1"/>
    <xf numFmtId="37" fontId="60" fillId="46" borderId="0" xfId="42" applyFont="1" applyFill="1"/>
    <xf numFmtId="174" fontId="62" fillId="46" borderId="0" xfId="50" applyFont="1" applyFill="1"/>
    <xf numFmtId="174" fontId="63" fillId="46" borderId="0" xfId="50" applyNumberFormat="1" applyFont="1" applyFill="1"/>
    <xf numFmtId="174" fontId="30" fillId="46" borderId="0" xfId="50" applyNumberFormat="1" applyFont="1" applyFill="1"/>
    <xf numFmtId="38" fontId="30" fillId="46" borderId="0" xfId="48" applyFont="1" applyFill="1"/>
    <xf numFmtId="170" fontId="30" fillId="46" borderId="0" xfId="31" applyNumberFormat="1" applyFont="1" applyFill="1" applyAlignment="1">
      <alignment horizontal="right"/>
    </xf>
    <xf numFmtId="170" fontId="63" fillId="46" borderId="0" xfId="31" applyNumberFormat="1" applyFont="1" applyFill="1"/>
    <xf numFmtId="170" fontId="28" fillId="46" borderId="15" xfId="31" applyNumberFormat="1" applyFont="1" applyFill="1" applyBorder="1" applyAlignment="1">
      <alignment horizontal="right"/>
    </xf>
    <xf numFmtId="170" fontId="28" fillId="46" borderId="16" xfId="31" applyNumberFormat="1" applyFont="1" applyFill="1" applyBorder="1" applyAlignment="1">
      <alignment horizontal="right"/>
    </xf>
    <xf numFmtId="174" fontId="30" fillId="46" borderId="0" xfId="50" applyNumberFormat="1" applyFont="1" applyFill="1" applyAlignment="1">
      <alignment horizontal="right"/>
    </xf>
    <xf numFmtId="174" fontId="63" fillId="46" borderId="0" xfId="50" applyFont="1" applyFill="1"/>
    <xf numFmtId="174" fontId="28" fillId="46" borderId="15" xfId="50" applyNumberFormat="1" applyFont="1" applyFill="1" applyBorder="1" applyAlignment="1">
      <alignment horizontal="right"/>
    </xf>
    <xf numFmtId="174" fontId="28" fillId="46" borderId="16" xfId="50" applyNumberFormat="1" applyFont="1" applyFill="1" applyBorder="1" applyAlignment="1">
      <alignment horizontal="right"/>
    </xf>
    <xf numFmtId="174" fontId="30" fillId="46" borderId="14" xfId="50" applyNumberFormat="1" applyFont="1" applyFill="1" applyBorder="1" applyAlignment="1">
      <alignment horizontal="right"/>
    </xf>
    <xf numFmtId="174" fontId="63" fillId="46" borderId="0" xfId="50" applyFont="1" applyFill="1" applyBorder="1"/>
    <xf numFmtId="38" fontId="55" fillId="46" borderId="0" xfId="48" applyFont="1" applyFill="1"/>
    <xf numFmtId="38" fontId="36" fillId="46" borderId="0" xfId="48" applyFill="1"/>
    <xf numFmtId="174" fontId="30" fillId="46" borderId="0" xfId="50" applyFont="1" applyFill="1" applyBorder="1"/>
    <xf numFmtId="174" fontId="30" fillId="46" borderId="18" xfId="50" applyFont="1" applyFill="1" applyBorder="1" applyAlignment="1">
      <alignment horizontal="right"/>
    </xf>
    <xf numFmtId="174" fontId="28" fillId="46" borderId="15" xfId="50" applyFont="1" applyFill="1" applyBorder="1" applyAlignment="1">
      <alignment horizontal="right"/>
    </xf>
    <xf numFmtId="174" fontId="28" fillId="46" borderId="16" xfId="50" applyFont="1" applyFill="1" applyBorder="1" applyAlignment="1">
      <alignment horizontal="right"/>
    </xf>
    <xf numFmtId="38" fontId="62" fillId="46" borderId="0" xfId="48" applyFont="1" applyFill="1"/>
    <xf numFmtId="174" fontId="63" fillId="46" borderId="0" xfId="50" applyNumberFormat="1" applyFont="1" applyFill="1" applyBorder="1"/>
    <xf numFmtId="174" fontId="65" fillId="46" borderId="15" xfId="50" applyNumberFormat="1" applyFont="1" applyFill="1" applyBorder="1"/>
    <xf numFmtId="174" fontId="65" fillId="46" borderId="16" xfId="50" applyNumberFormat="1" applyFont="1" applyFill="1" applyBorder="1"/>
    <xf numFmtId="174" fontId="30" fillId="46" borderId="17" xfId="50" applyFont="1" applyFill="1" applyBorder="1"/>
    <xf numFmtId="174" fontId="62" fillId="46" borderId="17" xfId="50" applyFont="1" applyFill="1" applyBorder="1"/>
    <xf numFmtId="38" fontId="36" fillId="46" borderId="17" xfId="48" applyFill="1" applyBorder="1"/>
    <xf numFmtId="174" fontId="30" fillId="46" borderId="19" xfId="50" applyFont="1" applyFill="1" applyBorder="1"/>
    <xf numFmtId="170" fontId="30" fillId="46" borderId="19" xfId="31" applyNumberFormat="1" applyFont="1" applyFill="1" applyBorder="1" applyAlignment="1">
      <alignment horizontal="right"/>
    </xf>
    <xf numFmtId="170" fontId="63" fillId="46" borderId="17" xfId="31" applyNumberFormat="1" applyFont="1" applyFill="1" applyBorder="1"/>
    <xf numFmtId="174" fontId="66" fillId="46" borderId="0" xfId="50" applyFont="1" applyFill="1"/>
    <xf numFmtId="174" fontId="56" fillId="46" borderId="0" xfId="50" applyNumberFormat="1" applyFont="1" applyFill="1"/>
    <xf numFmtId="174" fontId="56" fillId="46" borderId="15" xfId="50" applyNumberFormat="1" applyFont="1" applyFill="1" applyBorder="1"/>
    <xf numFmtId="174" fontId="56" fillId="46" borderId="16" xfId="50" applyNumberFormat="1" applyFont="1" applyFill="1" applyBorder="1"/>
    <xf numFmtId="174" fontId="65" fillId="46" borderId="0" xfId="50" applyNumberFormat="1" applyFont="1" applyFill="1"/>
    <xf numFmtId="38" fontId="46" fillId="46" borderId="0" xfId="48" applyFont="1" applyFill="1"/>
    <xf numFmtId="38" fontId="28" fillId="46" borderId="15" xfId="48" applyFont="1" applyFill="1" applyBorder="1"/>
    <xf numFmtId="38" fontId="28" fillId="46" borderId="16" xfId="48" applyFont="1" applyFill="1" applyBorder="1"/>
    <xf numFmtId="174" fontId="30" fillId="46" borderId="18" xfId="50" applyNumberFormat="1" applyFont="1" applyFill="1" applyBorder="1"/>
    <xf numFmtId="38" fontId="30" fillId="46" borderId="17" xfId="48" applyFont="1" applyFill="1" applyBorder="1"/>
    <xf numFmtId="174" fontId="55" fillId="46" borderId="17" xfId="50" applyFont="1" applyFill="1" applyBorder="1"/>
    <xf numFmtId="174" fontId="30" fillId="46" borderId="19" xfId="50" applyFont="1" applyFill="1" applyBorder="1" applyAlignment="1">
      <alignment horizontal="right"/>
    </xf>
    <xf numFmtId="174" fontId="63" fillId="46" borderId="17" xfId="50" applyFont="1" applyFill="1" applyBorder="1"/>
    <xf numFmtId="0" fontId="29" fillId="0" borderId="0" xfId="0" applyFont="1" applyProtection="1"/>
    <xf numFmtId="0" fontId="55" fillId="0" borderId="0" xfId="0" applyFont="1" applyProtection="1"/>
    <xf numFmtId="0" fontId="56" fillId="0" borderId="0" xfId="0" applyFont="1" applyProtection="1"/>
    <xf numFmtId="166" fontId="30" fillId="0" borderId="0" xfId="49" applyNumberFormat="1" applyFont="1" applyFill="1" applyAlignment="1" applyProtection="1">
      <alignment horizontal="right"/>
    </xf>
    <xf numFmtId="0" fontId="55" fillId="0" borderId="0" xfId="0" applyFont="1" applyFill="1" applyProtection="1"/>
    <xf numFmtId="178" fontId="55" fillId="0" borderId="0" xfId="54" applyNumberFormat="1" applyFont="1" applyFill="1" applyProtection="1"/>
    <xf numFmtId="167" fontId="30" fillId="0" borderId="0" xfId="30" applyNumberFormat="1" applyFont="1" applyFill="1" applyAlignment="1" applyProtection="1">
      <alignment horizontal="right"/>
    </xf>
    <xf numFmtId="181" fontId="55" fillId="0" borderId="0" xfId="0" applyNumberFormat="1" applyFont="1" applyFill="1" applyProtection="1"/>
    <xf numFmtId="0" fontId="26" fillId="0" borderId="0" xfId="0" applyFont="1" applyProtection="1"/>
    <xf numFmtId="0" fontId="26" fillId="0" borderId="0" xfId="0" applyFont="1" applyFill="1" applyProtection="1"/>
    <xf numFmtId="0" fontId="29" fillId="0" borderId="0" xfId="0" applyFont="1" applyFill="1" applyProtection="1"/>
    <xf numFmtId="0" fontId="1" fillId="0" borderId="0" xfId="0" applyFont="1" applyProtection="1"/>
    <xf numFmtId="0" fontId="1" fillId="0" borderId="14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39" fillId="0" borderId="0" xfId="0" applyFont="1" applyProtection="1"/>
    <xf numFmtId="166" fontId="30" fillId="0" borderId="14" xfId="49" applyNumberFormat="1" applyFont="1" applyFill="1" applyBorder="1" applyAlignment="1" applyProtection="1">
      <alignment horizontal="right"/>
    </xf>
    <xf numFmtId="0" fontId="55" fillId="0" borderId="0" xfId="0" applyFont="1" applyBorder="1" applyProtection="1"/>
    <xf numFmtId="182" fontId="30" fillId="0" borderId="0" xfId="30" applyNumberFormat="1" applyFont="1" applyFill="1" applyBorder="1" applyAlignment="1" applyProtection="1">
      <alignment horizontal="right"/>
    </xf>
    <xf numFmtId="166" fontId="30" fillId="0" borderId="20" xfId="49" applyNumberFormat="1" applyFont="1" applyFill="1" applyBorder="1" applyAlignment="1" applyProtection="1">
      <alignment horizontal="right"/>
    </xf>
    <xf numFmtId="178" fontId="55" fillId="0" borderId="0" xfId="54" applyNumberFormat="1" applyFont="1" applyFill="1" applyBorder="1" applyProtection="1"/>
    <xf numFmtId="179" fontId="55" fillId="0" borderId="0" xfId="28" applyNumberFormat="1" applyFont="1" applyAlignment="1" applyProtection="1"/>
    <xf numFmtId="179" fontId="55" fillId="0" borderId="14" xfId="28" applyNumberFormat="1" applyFont="1" applyBorder="1" applyAlignment="1" applyProtection="1"/>
    <xf numFmtId="179" fontId="55" fillId="0" borderId="20" xfId="28" applyNumberFormat="1" applyFont="1" applyBorder="1" applyAlignment="1" applyProtection="1"/>
    <xf numFmtId="168" fontId="30" fillId="0" borderId="0" xfId="30" applyNumberFormat="1" applyFont="1" applyFill="1" applyAlignment="1" applyProtection="1">
      <alignment horizontal="right"/>
    </xf>
    <xf numFmtId="168" fontId="55" fillId="0" borderId="0" xfId="0" applyNumberFormat="1" applyFont="1" applyFill="1" applyProtection="1"/>
    <xf numFmtId="168" fontId="30" fillId="0" borderId="14" xfId="30" applyNumberFormat="1" applyFont="1" applyFill="1" applyBorder="1" applyAlignment="1" applyProtection="1">
      <alignment horizontal="right"/>
    </xf>
    <xf numFmtId="0" fontId="1" fillId="0" borderId="14" xfId="0" applyFont="1" applyFill="1" applyBorder="1" applyAlignment="1" applyProtection="1">
      <alignment horizontal="center"/>
    </xf>
    <xf numFmtId="0" fontId="30" fillId="0" borderId="0" xfId="0" applyFont="1" applyProtection="1"/>
    <xf numFmtId="179" fontId="55" fillId="0" borderId="0" xfId="28" applyNumberFormat="1" applyFont="1" applyAlignment="1" applyProtection="1">
      <alignment horizontal="right"/>
    </xf>
    <xf numFmtId="179" fontId="55" fillId="0" borderId="0" xfId="0" applyNumberFormat="1" applyFont="1" applyProtection="1"/>
    <xf numFmtId="179" fontId="55" fillId="0" borderId="0" xfId="0" applyNumberFormat="1" applyFont="1" applyBorder="1" applyProtection="1"/>
    <xf numFmtId="179" fontId="55" fillId="0" borderId="0" xfId="28" applyNumberFormat="1" applyFont="1" applyProtection="1"/>
    <xf numFmtId="179" fontId="30" fillId="0" borderId="0" xfId="30" applyNumberFormat="1" applyFont="1" applyFill="1" applyBorder="1" applyAlignment="1" applyProtection="1">
      <alignment horizontal="right"/>
    </xf>
    <xf numFmtId="44" fontId="55" fillId="0" borderId="0" xfId="30" applyNumberFormat="1" applyFont="1" applyAlignment="1" applyProtection="1">
      <alignment horizontal="right"/>
    </xf>
    <xf numFmtId="184" fontId="55" fillId="0" borderId="0" xfId="28" applyNumberFormat="1" applyFont="1" applyAlignment="1" applyProtection="1">
      <alignment horizontal="right"/>
    </xf>
    <xf numFmtId="184" fontId="55" fillId="0" borderId="14" xfId="28" applyNumberFormat="1" applyFont="1" applyBorder="1" applyAlignment="1" applyProtection="1">
      <alignment horizontal="right"/>
    </xf>
    <xf numFmtId="44" fontId="55" fillId="0" borderId="20" xfId="30" applyNumberFormat="1" applyFont="1" applyBorder="1" applyAlignment="1" applyProtection="1">
      <alignment horizontal="right"/>
    </xf>
    <xf numFmtId="44" fontId="55" fillId="0" borderId="0" xfId="0" applyNumberFormat="1" applyFont="1" applyProtection="1"/>
    <xf numFmtId="44" fontId="55" fillId="0" borderId="0" xfId="0" applyNumberFormat="1" applyFont="1" applyFill="1" applyProtection="1"/>
    <xf numFmtId="49" fontId="55" fillId="0" borderId="0" xfId="30" applyNumberFormat="1" applyFont="1" applyAlignment="1" applyProtection="1">
      <alignment horizontal="left"/>
    </xf>
    <xf numFmtId="39" fontId="1" fillId="0" borderId="0" xfId="49" applyNumberFormat="1" applyFont="1" applyFill="1" applyAlignment="1" applyProtection="1"/>
    <xf numFmtId="0" fontId="39" fillId="0" borderId="0" xfId="0" applyFont="1" applyFill="1" applyProtection="1"/>
    <xf numFmtId="0" fontId="56" fillId="0" borderId="0" xfId="0" applyFont="1" applyFill="1" applyProtection="1"/>
    <xf numFmtId="44" fontId="55" fillId="0" borderId="0" xfId="28" applyNumberFormat="1" applyFont="1" applyFill="1" applyAlignment="1" applyProtection="1">
      <alignment horizontal="right"/>
    </xf>
    <xf numFmtId="170" fontId="55" fillId="0" borderId="0" xfId="0" applyNumberFormat="1" applyFont="1" applyFill="1" applyProtection="1"/>
    <xf numFmtId="184" fontId="55" fillId="0" borderId="0" xfId="28" applyNumberFormat="1" applyFont="1" applyFill="1" applyAlignment="1" applyProtection="1">
      <alignment horizontal="right"/>
    </xf>
    <xf numFmtId="179" fontId="55" fillId="0" borderId="0" xfId="0" applyNumberFormat="1" applyFont="1" applyFill="1" applyProtection="1"/>
    <xf numFmtId="43" fontId="55" fillId="0" borderId="0" xfId="28" applyNumberFormat="1" applyFont="1" applyFill="1" applyAlignment="1" applyProtection="1">
      <alignment horizontal="right"/>
    </xf>
    <xf numFmtId="43" fontId="55" fillId="0" borderId="14" xfId="28" applyNumberFormat="1" applyFont="1" applyFill="1" applyBorder="1" applyAlignment="1" applyProtection="1">
      <alignment horizontal="right"/>
    </xf>
    <xf numFmtId="0" fontId="55" fillId="0" borderId="0" xfId="0" applyFont="1" applyFill="1" applyBorder="1" applyProtection="1"/>
    <xf numFmtId="0" fontId="30" fillId="0" borderId="0" xfId="0" applyFont="1" applyFill="1" applyProtection="1"/>
    <xf numFmtId="170" fontId="55" fillId="0" borderId="0" xfId="28" applyNumberFormat="1" applyFont="1" applyFill="1" applyAlignment="1" applyProtection="1">
      <alignment horizontal="right"/>
    </xf>
    <xf numFmtId="179" fontId="55" fillId="0" borderId="0" xfId="28" applyNumberFormat="1" applyFont="1" applyFill="1" applyAlignment="1" applyProtection="1">
      <alignment horizontal="right"/>
    </xf>
    <xf numFmtId="44" fontId="55" fillId="0" borderId="20" xfId="28" applyNumberFormat="1" applyFont="1" applyFill="1" applyBorder="1" applyAlignment="1" applyProtection="1">
      <alignment horizontal="right"/>
    </xf>
    <xf numFmtId="49" fontId="55" fillId="0" borderId="0" xfId="0" applyNumberFormat="1" applyFont="1" applyFill="1" applyProtection="1"/>
    <xf numFmtId="179" fontId="55" fillId="0" borderId="0" xfId="28" applyNumberFormat="1" applyFont="1" applyFill="1" applyAlignment="1" applyProtection="1"/>
    <xf numFmtId="180" fontId="55" fillId="0" borderId="0" xfId="28" applyNumberFormat="1" applyFont="1" applyFill="1" applyProtection="1"/>
    <xf numFmtId="179" fontId="55" fillId="0" borderId="0" xfId="28" applyNumberFormat="1" applyFont="1" applyFill="1" applyBorder="1" applyAlignment="1" applyProtection="1"/>
    <xf numFmtId="179" fontId="55" fillId="0" borderId="14" xfId="28" applyNumberFormat="1" applyFont="1" applyFill="1" applyBorder="1" applyAlignment="1" applyProtection="1"/>
    <xf numFmtId="179" fontId="55" fillId="0" borderId="20" xfId="28" applyNumberFormat="1" applyFont="1" applyFill="1" applyBorder="1" applyAlignment="1" applyProtection="1"/>
    <xf numFmtId="39" fontId="1" fillId="0" borderId="0" xfId="49" applyNumberFormat="1" applyFont="1" applyFill="1" applyAlignment="1" applyProtection="1">
      <alignment horizontal="centerContinuous" wrapText="1"/>
    </xf>
    <xf numFmtId="0" fontId="0" fillId="0" borderId="0" xfId="0" applyFill="1" applyAlignment="1">
      <alignment horizontal="centerContinuous" wrapText="1"/>
    </xf>
    <xf numFmtId="0" fontId="1" fillId="0" borderId="14" xfId="0" applyFont="1" applyFill="1" applyBorder="1" applyAlignment="1" applyProtection="1">
      <alignment horizontal="center"/>
    </xf>
    <xf numFmtId="43" fontId="55" fillId="0" borderId="0" xfId="0" applyNumberFormat="1" applyFont="1" applyFill="1" applyProtection="1"/>
    <xf numFmtId="43" fontId="30" fillId="0" borderId="0" xfId="30" applyNumberFormat="1" applyFont="1" applyFill="1" applyBorder="1" applyAlignment="1" applyProtection="1">
      <alignment horizontal="right"/>
    </xf>
    <xf numFmtId="43" fontId="55" fillId="0" borderId="0" xfId="0" applyNumberFormat="1" applyFont="1" applyFill="1" applyBorder="1" applyProtection="1"/>
    <xf numFmtId="44" fontId="55" fillId="0" borderId="0" xfId="0" applyNumberFormat="1" applyFont="1" applyFill="1" applyBorder="1" applyProtection="1"/>
    <xf numFmtId="164" fontId="55" fillId="0" borderId="0" xfId="28" applyFont="1" applyFill="1" applyAlignment="1" applyProtection="1"/>
    <xf numFmtId="44" fontId="30" fillId="0" borderId="0" xfId="30" applyNumberFormat="1" applyFont="1" applyAlignment="1" applyProtection="1">
      <alignment horizontal="right"/>
    </xf>
    <xf numFmtId="184" fontId="30" fillId="0" borderId="0" xfId="28" applyNumberFormat="1" applyFont="1" applyAlignment="1" applyProtection="1">
      <alignment horizontal="right"/>
    </xf>
    <xf numFmtId="184" fontId="30" fillId="0" borderId="14" xfId="28" applyNumberFormat="1" applyFont="1" applyBorder="1" applyAlignment="1" applyProtection="1">
      <alignment horizontal="right"/>
    </xf>
    <xf numFmtId="178" fontId="30" fillId="0" borderId="0" xfId="54" applyNumberFormat="1" applyFont="1" applyFill="1" applyProtection="1"/>
    <xf numFmtId="179" fontId="30" fillId="0" borderId="0" xfId="28" applyNumberFormat="1" applyFont="1" applyAlignment="1" applyProtection="1">
      <alignment horizontal="right"/>
    </xf>
    <xf numFmtId="178" fontId="30" fillId="0" borderId="0" xfId="54" applyNumberFormat="1" applyFont="1" applyFill="1" applyBorder="1" applyProtection="1"/>
    <xf numFmtId="44" fontId="30" fillId="0" borderId="20" xfId="30" applyNumberFormat="1" applyFont="1" applyBorder="1" applyAlignment="1" applyProtection="1">
      <alignment horizontal="right"/>
    </xf>
    <xf numFmtId="49" fontId="30" fillId="0" borderId="0" xfId="30" applyNumberFormat="1" applyFont="1" applyAlignment="1" applyProtection="1">
      <alignment horizontal="left"/>
    </xf>
    <xf numFmtId="179" fontId="30" fillId="0" borderId="0" xfId="28" applyNumberFormat="1" applyFont="1" applyAlignment="1" applyProtection="1"/>
    <xf numFmtId="179" fontId="30" fillId="0" borderId="0" xfId="28" applyNumberFormat="1" applyFont="1" applyProtection="1"/>
    <xf numFmtId="179" fontId="30" fillId="0" borderId="14" xfId="28" applyNumberFormat="1" applyFont="1" applyBorder="1" applyAlignment="1" applyProtection="1"/>
    <xf numFmtId="179" fontId="30" fillId="0" borderId="20" xfId="28" applyNumberFormat="1" applyFont="1" applyBorder="1" applyAlignment="1" applyProtection="1"/>
    <xf numFmtId="0" fontId="1" fillId="0" borderId="14" xfId="0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57" fillId="46" borderId="14" xfId="50" applyNumberFormat="1" applyFont="1" applyFill="1" applyBorder="1" applyAlignment="1">
      <alignment horizontal="center"/>
    </xf>
    <xf numFmtId="0" fontId="58" fillId="46" borderId="14" xfId="0" applyFont="1" applyFill="1" applyBorder="1" applyAlignment="1">
      <alignment horizontal="center"/>
    </xf>
    <xf numFmtId="0" fontId="26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128" applyFont="1" applyProtection="1"/>
    <xf numFmtId="0" fontId="26" fillId="0" borderId="0" xfId="128" applyFont="1" applyAlignment="1" applyProtection="1">
      <alignment horizontal="center"/>
    </xf>
    <xf numFmtId="0" fontId="26" fillId="0" borderId="0" xfId="128" applyFont="1" applyFill="1" applyProtection="1"/>
    <xf numFmtId="0" fontId="29" fillId="0" borderId="0" xfId="128" applyFont="1" applyProtection="1"/>
    <xf numFmtId="0" fontId="29" fillId="0" borderId="0" xfId="128" applyFont="1" applyAlignment="1" applyProtection="1">
      <alignment horizontal="center"/>
    </xf>
    <xf numFmtId="0" fontId="29" fillId="0" borderId="0" xfId="128" applyFont="1" applyFill="1" applyProtection="1"/>
    <xf numFmtId="0" fontId="30" fillId="0" borderId="0" xfId="128" applyFont="1" applyProtection="1"/>
    <xf numFmtId="0" fontId="30" fillId="0" borderId="0" xfId="128" applyFont="1" applyFill="1" applyProtection="1"/>
    <xf numFmtId="0" fontId="1" fillId="0" borderId="0" xfId="128" applyFont="1" applyProtection="1"/>
    <xf numFmtId="0" fontId="1" fillId="0" borderId="14" xfId="128" applyFont="1" applyBorder="1" applyAlignment="1" applyProtection="1">
      <alignment horizontal="center"/>
    </xf>
    <xf numFmtId="0" fontId="1" fillId="0" borderId="14" xfId="128" applyFont="1" applyFill="1" applyBorder="1" applyAlignment="1" applyProtection="1">
      <alignment horizontal="center"/>
    </xf>
    <xf numFmtId="0" fontId="1" fillId="0" borderId="0" xfId="128" applyFont="1" applyAlignment="1" applyProtection="1">
      <alignment horizontal="center"/>
    </xf>
    <xf numFmtId="0" fontId="1" fillId="0" borderId="0" xfId="128" applyFont="1" applyFill="1" applyAlignment="1" applyProtection="1">
      <alignment horizontal="center"/>
    </xf>
    <xf numFmtId="0" fontId="1" fillId="0" borderId="0" xfId="128" applyFont="1" applyFill="1" applyProtection="1"/>
    <xf numFmtId="0" fontId="1" fillId="0" borderId="14" xfId="128" applyFont="1" applyBorder="1" applyAlignment="1" applyProtection="1">
      <alignment horizontal="center"/>
    </xf>
    <xf numFmtId="0" fontId="1" fillId="0" borderId="14" xfId="128" applyFont="1" applyFill="1" applyBorder="1" applyAlignment="1" applyProtection="1">
      <alignment horizontal="center"/>
    </xf>
    <xf numFmtId="0" fontId="28" fillId="0" borderId="0" xfId="128" applyFont="1" applyProtection="1"/>
    <xf numFmtId="179" fontId="30" fillId="0" borderId="0" xfId="128" applyNumberFormat="1" applyFont="1" applyProtection="1"/>
    <xf numFmtId="168" fontId="30" fillId="0" borderId="0" xfId="128" applyNumberFormat="1" applyFont="1" applyFill="1" applyProtection="1"/>
    <xf numFmtId="179" fontId="30" fillId="0" borderId="0" xfId="128" applyNumberFormat="1" applyFont="1" applyBorder="1" applyProtection="1"/>
    <xf numFmtId="0" fontId="30" fillId="0" borderId="0" xfId="128" applyFont="1" applyBorder="1" applyProtection="1"/>
    <xf numFmtId="181" fontId="30" fillId="0" borderId="0" xfId="128" applyNumberFormat="1" applyFont="1" applyFill="1" applyProtection="1"/>
    <xf numFmtId="44" fontId="30" fillId="0" borderId="0" xfId="128" applyNumberFormat="1" applyFont="1" applyProtection="1"/>
    <xf numFmtId="0" fontId="1" fillId="0" borderId="0" xfId="128"/>
  </cellXfs>
  <cellStyles count="129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SOE OLD TEMPLATE" xfId="29"/>
    <cellStyle name="Currency" xfId="30" builtinId="4"/>
    <cellStyle name="Currency_SOE OLD TEMPLATE" xfId="31"/>
    <cellStyle name="Emphasis 1" xfId="32"/>
    <cellStyle name="Emphasis 2" xfId="33"/>
    <cellStyle name="Emphasis 3" xfId="34"/>
    <cellStyle name="Entered" xfId="35"/>
    <cellStyle name="Good" xfId="36" builtinId="26" customBuiltin="1"/>
    <cellStyle name="Grey" xfId="37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eading_Press" xfId="42"/>
    <cellStyle name="Input" xfId="43" builtinId="20" customBuiltin="1"/>
    <cellStyle name="Input [yellow]" xfId="44"/>
    <cellStyle name="Linked Cell" xfId="45" builtinId="24" customBuiltin="1"/>
    <cellStyle name="Neutral" xfId="46" builtinId="28" customBuiltin="1"/>
    <cellStyle name="Normal" xfId="0" builtinId="0"/>
    <cellStyle name="Normal - Style1" xfId="47"/>
    <cellStyle name="Normal 2" xfId="128"/>
    <cellStyle name="Normal_3rd Qtr 2006 data pages v5" xfId="48"/>
    <cellStyle name="Normal_Monthly" xfId="49"/>
    <cellStyle name="Normal_Press" xfId="50"/>
    <cellStyle name="Normal_Year To Date" xfId="51"/>
    <cellStyle name="Note" xfId="52" builtinId="10" customBuiltin="1"/>
    <cellStyle name="Output" xfId="53" builtinId="21" customBuiltin="1"/>
    <cellStyle name="Percent" xfId="54" builtinId="5"/>
    <cellStyle name="Percent [2]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ItemHeader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assignedItem" xfId="95"/>
    <cellStyle name="SAPBEXundefined" xfId="96"/>
    <cellStyle name="SAPBorder" xfId="118"/>
    <cellStyle name="SAPDataCell" xfId="101"/>
    <cellStyle name="SAPDataTotalCell" xfId="102"/>
    <cellStyle name="SAPDimensionCell" xfId="100"/>
    <cellStyle name="SAPEditableDataCell" xfId="103"/>
    <cellStyle name="SAPEditableDataTotalCell" xfId="106"/>
    <cellStyle name="SAPEmphasized" xfId="126"/>
    <cellStyle name="SAPEmphasizedTotal" xfId="127"/>
    <cellStyle name="SAPExceptionLevel1" xfId="109"/>
    <cellStyle name="SAPExceptionLevel2" xfId="110"/>
    <cellStyle name="SAPExceptionLevel3" xfId="111"/>
    <cellStyle name="SAPExceptionLevel4" xfId="112"/>
    <cellStyle name="SAPExceptionLevel5" xfId="113"/>
    <cellStyle name="SAPExceptionLevel6" xfId="114"/>
    <cellStyle name="SAPExceptionLevel7" xfId="115"/>
    <cellStyle name="SAPExceptionLevel8" xfId="116"/>
    <cellStyle name="SAPExceptionLevel9" xfId="117"/>
    <cellStyle name="SAPHierarchyCell0" xfId="121"/>
    <cellStyle name="SAPHierarchyCell1" xfId="122"/>
    <cellStyle name="SAPHierarchyCell2" xfId="123"/>
    <cellStyle name="SAPHierarchyCell3" xfId="124"/>
    <cellStyle name="SAPHierarchyCell4" xfId="125"/>
    <cellStyle name="SAPLockedDataCell" xfId="105"/>
    <cellStyle name="SAPLockedDataTotalCell" xfId="108"/>
    <cellStyle name="SAPMemberCell" xfId="119"/>
    <cellStyle name="SAPMemberTotalCell" xfId="120"/>
    <cellStyle name="SAPReadonlyDataCell" xfId="104"/>
    <cellStyle name="SAPReadonlyDataTotalCell" xfId="107"/>
    <cellStyle name="Sheet Title" xfId="97"/>
    <cellStyle name="Total" xfId="98" builtinId="25" customBuiltin="1"/>
    <cellStyle name="Warning Text" xfId="9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CC99FF"/>
      <color rgb="FFCCECFF"/>
      <color rgb="FFFFCCFF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23%20SOG/Sales%20of%20Gas%20Template%2007-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23%20SOG/Sales%20of%20Gas%20Template%2008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customProperties>
    <customPr name="_pios_id" r:id="rId1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O1:O1048576"/>
    </sheetView>
  </sheetViews>
  <sheetFormatPr defaultColWidth="9.140625" defaultRowHeight="12" x14ac:dyDescent="0.2"/>
  <cols>
    <col min="1" max="2" width="1.7109375" style="336" customWidth="1"/>
    <col min="3" max="3" width="9.140625" style="336"/>
    <col min="4" max="4" width="23.85546875" style="336" customWidth="1"/>
    <col min="5" max="5" width="16.7109375" style="336" customWidth="1"/>
    <col min="6" max="6" width="0.85546875" style="336" customWidth="1"/>
    <col min="7" max="7" width="16.7109375" style="336" customWidth="1"/>
    <col min="8" max="8" width="0.85546875" style="336" customWidth="1"/>
    <col min="9" max="9" width="16.7109375" style="336" customWidth="1"/>
    <col min="10" max="10" width="0.85546875" style="336" customWidth="1"/>
    <col min="11" max="11" width="7.7109375" style="337" customWidth="1"/>
    <col min="12" max="12" width="0.85546875" style="336" customWidth="1"/>
    <col min="13" max="13" width="7.7109375" style="337" customWidth="1"/>
    <col min="14" max="15" width="0.85546875" style="337" customWidth="1"/>
    <col min="16" max="16" width="7.7109375" style="337" customWidth="1"/>
    <col min="17" max="16384" width="9.140625" style="336"/>
  </cols>
  <sheetData>
    <row r="1" spans="1:16" s="330" customFormat="1" ht="15" x14ac:dyDescent="0.25">
      <c r="E1" s="331" t="s">
        <v>1</v>
      </c>
      <c r="F1" s="331"/>
      <c r="G1" s="331"/>
      <c r="H1" s="331"/>
      <c r="I1" s="331"/>
      <c r="J1" s="331"/>
      <c r="K1" s="331"/>
      <c r="M1" s="332"/>
      <c r="N1" s="332"/>
      <c r="O1" s="332"/>
      <c r="P1" s="332"/>
    </row>
    <row r="2" spans="1:16" s="330" customFormat="1" ht="15" x14ac:dyDescent="0.25">
      <c r="E2" s="331" t="s">
        <v>90</v>
      </c>
      <c r="F2" s="331"/>
      <c r="G2" s="331"/>
      <c r="H2" s="331"/>
      <c r="I2" s="331"/>
      <c r="J2" s="331"/>
      <c r="K2" s="331"/>
      <c r="M2" s="332"/>
      <c r="N2" s="332"/>
      <c r="O2" s="332"/>
      <c r="P2" s="332"/>
    </row>
    <row r="3" spans="1:16" s="330" customFormat="1" ht="15" x14ac:dyDescent="0.25">
      <c r="E3" s="331" t="s">
        <v>132</v>
      </c>
      <c r="F3" s="331"/>
      <c r="G3" s="331"/>
      <c r="H3" s="331"/>
      <c r="I3" s="331"/>
      <c r="J3" s="331"/>
      <c r="K3" s="331"/>
      <c r="M3" s="332"/>
      <c r="N3" s="332"/>
      <c r="O3" s="332"/>
      <c r="P3" s="332"/>
    </row>
    <row r="4" spans="1:16" s="333" customFormat="1" ht="12.75" x14ac:dyDescent="0.2">
      <c r="E4" s="334" t="s">
        <v>2</v>
      </c>
      <c r="F4" s="334"/>
      <c r="G4" s="334"/>
      <c r="H4" s="334"/>
      <c r="I4" s="334"/>
      <c r="J4" s="334"/>
      <c r="K4" s="334"/>
      <c r="M4" s="335"/>
      <c r="N4" s="335"/>
      <c r="O4" s="335"/>
      <c r="P4" s="335"/>
    </row>
    <row r="5" spans="1:16" x14ac:dyDescent="0.2">
      <c r="A5" s="336" t="s">
        <v>3</v>
      </c>
    </row>
    <row r="6" spans="1:16" s="338" customFormat="1" ht="12.75" x14ac:dyDescent="0.2">
      <c r="A6" s="338" t="s">
        <v>3</v>
      </c>
      <c r="I6" s="339" t="s">
        <v>133</v>
      </c>
      <c r="J6" s="339"/>
      <c r="K6" s="339"/>
      <c r="M6" s="340" t="s">
        <v>92</v>
      </c>
      <c r="N6" s="340"/>
      <c r="O6" s="340"/>
      <c r="P6" s="340"/>
    </row>
    <row r="7" spans="1:16" s="338" customFormat="1" ht="12.75" x14ac:dyDescent="0.2">
      <c r="E7" s="341" t="s">
        <v>4</v>
      </c>
      <c r="G7" s="341" t="s">
        <v>4</v>
      </c>
      <c r="I7" s="341"/>
      <c r="K7" s="342"/>
      <c r="M7" s="342"/>
      <c r="N7" s="343"/>
      <c r="O7" s="343"/>
      <c r="P7" s="342"/>
    </row>
    <row r="8" spans="1:16" s="338" customFormat="1" ht="12.75" x14ac:dyDescent="0.2">
      <c r="A8" s="333" t="s">
        <v>91</v>
      </c>
      <c r="E8" s="344">
        <v>2023</v>
      </c>
      <c r="G8" s="344">
        <f>E8-1</f>
        <v>2022</v>
      </c>
      <c r="I8" s="344" t="s">
        <v>5</v>
      </c>
      <c r="K8" s="345" t="s">
        <v>0</v>
      </c>
      <c r="M8" s="345">
        <f>E8</f>
        <v>2023</v>
      </c>
      <c r="N8" s="343"/>
      <c r="O8" s="343"/>
      <c r="P8" s="345">
        <f>G8</f>
        <v>2022</v>
      </c>
    </row>
    <row r="9" spans="1:16" x14ac:dyDescent="0.2">
      <c r="B9" s="346" t="s">
        <v>93</v>
      </c>
    </row>
    <row r="10" spans="1:16" x14ac:dyDescent="0.2">
      <c r="C10" s="336" t="s">
        <v>94</v>
      </c>
      <c r="E10" s="310">
        <v>28062876.43</v>
      </c>
      <c r="G10" s="310">
        <v>24536238.609999999</v>
      </c>
      <c r="H10" s="347"/>
      <c r="I10" s="310">
        <f>E10-G10</f>
        <v>3526637.8200000003</v>
      </c>
      <c r="K10" s="242">
        <f>IF(G10=0,"n/a",IF(AND(I10/G10&lt;1,I10/G10&gt;-1),I10/G10,"n/a"))</f>
        <v>0.14373180323420406</v>
      </c>
      <c r="M10" s="245">
        <f>IF(E54=0,"n/a",E10/E54)</f>
        <v>2.2493119045414853</v>
      </c>
      <c r="N10" s="348"/>
      <c r="O10" s="348"/>
      <c r="P10" s="245">
        <f>IF(G54=0,"n/a",G10/G54)</f>
        <v>1.7789651890001625</v>
      </c>
    </row>
    <row r="11" spans="1:16" x14ac:dyDescent="0.2">
      <c r="C11" s="336" t="s">
        <v>95</v>
      </c>
      <c r="E11" s="311">
        <v>14676285.449999999</v>
      </c>
      <c r="G11" s="311">
        <v>14166317.869999999</v>
      </c>
      <c r="H11" s="347"/>
      <c r="I11" s="311">
        <f>E11-G11</f>
        <v>509967.58000000007</v>
      </c>
      <c r="K11" s="242">
        <f>IF(G11=0,"n/a",IF(AND(I11/G11&lt;1,I11/G11&gt;-1),I11/G11,"n/a"))</f>
        <v>3.5998597848771845E-2</v>
      </c>
      <c r="M11" s="265">
        <f>IF(E55=0,"n/a",E11/E55)</f>
        <v>1.4642081547505028</v>
      </c>
      <c r="N11" s="348"/>
      <c r="O11" s="348"/>
      <c r="P11" s="265">
        <f>IF(G55=0,"n/a",G11/G55)</f>
        <v>1.2776711254879207</v>
      </c>
    </row>
    <row r="12" spans="1:16" x14ac:dyDescent="0.2">
      <c r="C12" s="336" t="s">
        <v>96</v>
      </c>
      <c r="E12" s="312">
        <v>1028654.6</v>
      </c>
      <c r="G12" s="312">
        <v>881457.2</v>
      </c>
      <c r="H12" s="347"/>
      <c r="I12" s="312">
        <f>E12-G12</f>
        <v>147197.40000000002</v>
      </c>
      <c r="K12" s="257">
        <f>IF(G12=0,"n/a",IF(AND(I12/G12&lt;1,I12/G12&gt;-1),I12/G12,"n/a"))</f>
        <v>0.16699324709129387</v>
      </c>
      <c r="M12" s="267">
        <f>IF(E56=0,"n/a",E12/E56)</f>
        <v>1.1507065965793857</v>
      </c>
      <c r="N12" s="348"/>
      <c r="O12" s="348"/>
      <c r="P12" s="267">
        <f>IF(G56=0,"n/a",G12/G56)</f>
        <v>1.0373147835419636</v>
      </c>
    </row>
    <row r="13" spans="1:16" ht="6.95" customHeight="1" x14ac:dyDescent="0.2">
      <c r="E13" s="311"/>
      <c r="G13" s="311"/>
      <c r="H13" s="347"/>
      <c r="I13" s="311"/>
      <c r="K13" s="313"/>
      <c r="M13" s="348"/>
      <c r="N13" s="348"/>
      <c r="O13" s="348"/>
      <c r="P13" s="348"/>
    </row>
    <row r="14" spans="1:16" x14ac:dyDescent="0.2">
      <c r="C14" s="336" t="s">
        <v>97</v>
      </c>
      <c r="E14" s="311">
        <f>SUM(E10:E12)</f>
        <v>43767816.479999997</v>
      </c>
      <c r="G14" s="311">
        <f>SUM(G10:G12)</f>
        <v>39584013.68</v>
      </c>
      <c r="H14" s="347"/>
      <c r="I14" s="311">
        <f>E14-G14</f>
        <v>4183802.799999997</v>
      </c>
      <c r="K14" s="242">
        <f>IF(G14=0,"n/a",IF(AND(I14/G14&lt;1,I14/G14&gt;-1),I14/G14,"n/a"))</f>
        <v>0.10569425409515464</v>
      </c>
      <c r="M14" s="265">
        <f>IF(E58=0,"n/a",E14/E58)</f>
        <v>1.8709393729830399</v>
      </c>
      <c r="N14" s="348"/>
      <c r="O14" s="348"/>
      <c r="P14" s="265">
        <f>IF(G58=0,"n/a",G14/G58)</f>
        <v>1.5384513073955548</v>
      </c>
    </row>
    <row r="15" spans="1:16" ht="6.95" customHeight="1" x14ac:dyDescent="0.2">
      <c r="E15" s="311"/>
      <c r="G15" s="311"/>
      <c r="H15" s="347"/>
      <c r="I15" s="311"/>
      <c r="K15" s="313"/>
      <c r="M15" s="348"/>
      <c r="N15" s="348"/>
      <c r="O15" s="348"/>
      <c r="P15" s="348"/>
    </row>
    <row r="16" spans="1:16" x14ac:dyDescent="0.2">
      <c r="B16" s="346" t="s">
        <v>98</v>
      </c>
      <c r="E16" s="311"/>
      <c r="G16" s="311"/>
      <c r="H16" s="347"/>
      <c r="I16" s="311"/>
      <c r="K16" s="313"/>
      <c r="M16" s="348"/>
      <c r="N16" s="348"/>
      <c r="O16" s="348"/>
      <c r="P16" s="348"/>
    </row>
    <row r="17" spans="2:16" x14ac:dyDescent="0.2">
      <c r="C17" s="336" t="s">
        <v>99</v>
      </c>
      <c r="E17" s="311">
        <v>1364473.42</v>
      </c>
      <c r="G17" s="311">
        <v>2189820.84</v>
      </c>
      <c r="H17" s="347"/>
      <c r="I17" s="311">
        <f>E17-G17</f>
        <v>-825347.41999999993</v>
      </c>
      <c r="K17" s="242">
        <f>IF(G17=0,"n/a",IF(AND(I17/G17&lt;1,I17/G17&gt;-1),I17/G17,"n/a"))</f>
        <v>-0.37690180170173188</v>
      </c>
      <c r="M17" s="265">
        <f>IF(E61=0,"n/a",E17/E61)</f>
        <v>0.7985517634906375</v>
      </c>
      <c r="N17" s="348"/>
      <c r="O17" s="348"/>
      <c r="P17" s="265">
        <f>IF(G61=0,"n/a",G17/G61)</f>
        <v>0.56639737915026711</v>
      </c>
    </row>
    <row r="18" spans="2:16" x14ac:dyDescent="0.2">
      <c r="C18" s="336" t="s">
        <v>100</v>
      </c>
      <c r="E18" s="312">
        <v>125626.3</v>
      </c>
      <c r="F18" s="259"/>
      <c r="G18" s="312">
        <v>168442.33</v>
      </c>
      <c r="H18" s="274"/>
      <c r="I18" s="312">
        <f>E18-G18</f>
        <v>-42816.029999999984</v>
      </c>
      <c r="K18" s="257">
        <f>IF(G18=0,"n/a",IF(AND(I18/G18&lt;1,I18/G18&gt;-1),I18/G18,"n/a"))</f>
        <v>-0.2541880654346208</v>
      </c>
      <c r="M18" s="267">
        <f>IF(E62=0,"n/a",E18/E62)</f>
        <v>0.7584251483630261</v>
      </c>
      <c r="N18" s="348"/>
      <c r="O18" s="348"/>
      <c r="P18" s="267">
        <f>IF(G62=0,"n/a",G18/G62)</f>
        <v>0.58743310211583188</v>
      </c>
    </row>
    <row r="19" spans="2:16" ht="6.95" customHeight="1" x14ac:dyDescent="0.2">
      <c r="E19" s="311"/>
      <c r="F19" s="350"/>
      <c r="G19" s="311"/>
      <c r="H19" s="349"/>
      <c r="I19" s="311"/>
      <c r="K19" s="313"/>
      <c r="M19" s="348"/>
      <c r="N19" s="348"/>
      <c r="O19" s="348"/>
      <c r="P19" s="348"/>
    </row>
    <row r="20" spans="2:16" x14ac:dyDescent="0.2">
      <c r="C20" s="336" t="s">
        <v>101</v>
      </c>
      <c r="E20" s="312">
        <f>SUM(E17:E18)</f>
        <v>1490099.72</v>
      </c>
      <c r="F20" s="259"/>
      <c r="G20" s="312">
        <f>SUM(G17:G18)</f>
        <v>2358263.17</v>
      </c>
      <c r="H20" s="274"/>
      <c r="I20" s="312">
        <f>E20-G20</f>
        <v>-868163.45</v>
      </c>
      <c r="K20" s="257">
        <f>IF(G20=0,"n/a",IF(AND(I20/G20&lt;1,I20/G20&gt;-1),I20/G20,"n/a"))</f>
        <v>-0.36813679704797325</v>
      </c>
      <c r="M20" s="267">
        <f>IF(E64=0,"n/a",E20/E64)</f>
        <v>0.79500562868999303</v>
      </c>
      <c r="N20" s="348"/>
      <c r="O20" s="348"/>
      <c r="P20" s="267">
        <f>IF(G64=0,"n/a",G20/G64)</f>
        <v>0.567849796651553</v>
      </c>
    </row>
    <row r="21" spans="2:16" ht="6.95" customHeight="1" x14ac:dyDescent="0.2">
      <c r="E21" s="311"/>
      <c r="F21" s="350"/>
      <c r="G21" s="311"/>
      <c r="H21" s="349"/>
      <c r="I21" s="311"/>
      <c r="K21" s="313"/>
      <c r="M21" s="348"/>
      <c r="N21" s="348"/>
      <c r="O21" s="348"/>
      <c r="P21" s="348"/>
    </row>
    <row r="22" spans="2:16" x14ac:dyDescent="0.2">
      <c r="C22" s="336" t="s">
        <v>102</v>
      </c>
      <c r="E22" s="311">
        <f>E14+E20</f>
        <v>45257916.199999996</v>
      </c>
      <c r="F22" s="350"/>
      <c r="G22" s="311">
        <f>G14+G20</f>
        <v>41942276.850000001</v>
      </c>
      <c r="H22" s="349"/>
      <c r="I22" s="311">
        <f>E22-G22</f>
        <v>3315639.349999994</v>
      </c>
      <c r="K22" s="242">
        <f>IF(G22=0,"n/a",IF(AND(I22/G22&lt;1,I22/G22&gt;-1),I22/G22,"n/a"))</f>
        <v>7.9052440616370442E-2</v>
      </c>
      <c r="M22" s="265">
        <f>IF(E66=0,"n/a",E22/E66)</f>
        <v>1.7911283615082958</v>
      </c>
      <c r="N22" s="348"/>
      <c r="O22" s="348"/>
      <c r="P22" s="265">
        <f>IF(G66=0,"n/a",G22/G66)</f>
        <v>1.403561481122052</v>
      </c>
    </row>
    <row r="23" spans="2:16" ht="6.95" customHeight="1" x14ac:dyDescent="0.2">
      <c r="E23" s="311"/>
      <c r="F23" s="350"/>
      <c r="G23" s="311"/>
      <c r="H23" s="349"/>
      <c r="I23" s="311"/>
      <c r="K23" s="313"/>
      <c r="M23" s="348"/>
      <c r="N23" s="348"/>
      <c r="O23" s="348"/>
      <c r="P23" s="348"/>
    </row>
    <row r="24" spans="2:16" x14ac:dyDescent="0.2">
      <c r="B24" s="346" t="s">
        <v>103</v>
      </c>
      <c r="E24" s="311"/>
      <c r="F24" s="350"/>
      <c r="G24" s="311"/>
      <c r="H24" s="349"/>
      <c r="I24" s="311"/>
      <c r="K24" s="313"/>
      <c r="M24" s="348"/>
      <c r="N24" s="348"/>
      <c r="O24" s="348"/>
      <c r="P24" s="348"/>
    </row>
    <row r="25" spans="2:16" x14ac:dyDescent="0.2">
      <c r="C25" s="336" t="s">
        <v>104</v>
      </c>
      <c r="E25" s="311">
        <v>671390.8</v>
      </c>
      <c r="F25" s="350"/>
      <c r="G25" s="311">
        <v>515025.09</v>
      </c>
      <c r="H25" s="349"/>
      <c r="I25" s="311">
        <f>E25-G25</f>
        <v>156365.71000000002</v>
      </c>
      <c r="K25" s="242">
        <f>IF(G25=0,"n/a",IF(AND(I25/G25&lt;1,I25/G25&gt;-1),I25/G25,"n/a"))</f>
        <v>0.30360794655654544</v>
      </c>
      <c r="M25" s="265">
        <f>IF(E69=0,"n/a",E25/E69)</f>
        <v>0.20135165976441474</v>
      </c>
      <c r="N25" s="348"/>
      <c r="O25" s="348"/>
      <c r="P25" s="265">
        <f>IF(G69=0,"n/a",G25/G69)</f>
        <v>0.15370579755992742</v>
      </c>
    </row>
    <row r="26" spans="2:16" x14ac:dyDescent="0.2">
      <c r="C26" s="336" t="s">
        <v>105</v>
      </c>
      <c r="E26" s="312">
        <v>1356084.71</v>
      </c>
      <c r="F26" s="259"/>
      <c r="G26" s="312">
        <v>989768.01</v>
      </c>
      <c r="H26" s="274"/>
      <c r="I26" s="312">
        <f>E26-G26</f>
        <v>366316.69999999995</v>
      </c>
      <c r="K26" s="257">
        <f>IF(G26=0,"n/a",IF(AND(I26/G26&lt;1,I26/G26&gt;-1),I26/G26,"n/a"))</f>
        <v>0.37010359629626738</v>
      </c>
      <c r="M26" s="267">
        <f>IF(E70=0,"n/a",E26/E70)</f>
        <v>8.5997425058020854E-2</v>
      </c>
      <c r="N26" s="348"/>
      <c r="O26" s="348"/>
      <c r="P26" s="267">
        <f>IF(G70=0,"n/a",G26/G70)</f>
        <v>9.0620088315783401E-2</v>
      </c>
    </row>
    <row r="27" spans="2:16" ht="6.95" customHeight="1" x14ac:dyDescent="0.2">
      <c r="E27" s="311"/>
      <c r="F27" s="350"/>
      <c r="G27" s="311"/>
      <c r="H27" s="349"/>
      <c r="I27" s="311"/>
      <c r="K27" s="313"/>
      <c r="M27" s="348"/>
      <c r="N27" s="348"/>
      <c r="O27" s="348"/>
      <c r="P27" s="348"/>
    </row>
    <row r="28" spans="2:16" x14ac:dyDescent="0.2">
      <c r="C28" s="336" t="s">
        <v>106</v>
      </c>
      <c r="E28" s="312">
        <f>SUM(E25:E26)</f>
        <v>2027475.51</v>
      </c>
      <c r="F28" s="259"/>
      <c r="G28" s="312">
        <f>SUM(G25:G26)</f>
        <v>1504793.1</v>
      </c>
      <c r="H28" s="274"/>
      <c r="I28" s="312">
        <f>E28-G28</f>
        <v>522682.40999999992</v>
      </c>
      <c r="K28" s="257">
        <f>IF(G28=0,"n/a",IF(AND(I28/G28&lt;1,I28/G28&gt;-1),I28/G28,"n/a"))</f>
        <v>0.34734503367938085</v>
      </c>
      <c r="M28" s="267">
        <f>IF(E72=0,"n/a",E28/E72)</f>
        <v>0.10613211328000717</v>
      </c>
      <c r="N28" s="348"/>
      <c r="O28" s="348"/>
      <c r="P28" s="267">
        <f>IF(G72=0,"n/a",G28/G72)</f>
        <v>0.10543016165611871</v>
      </c>
    </row>
    <row r="29" spans="2:16" ht="6.95" customHeight="1" x14ac:dyDescent="0.2">
      <c r="E29" s="311"/>
      <c r="F29" s="350"/>
      <c r="G29" s="311"/>
      <c r="H29" s="349"/>
      <c r="I29" s="311"/>
      <c r="K29" s="313"/>
      <c r="M29" s="348"/>
      <c r="N29" s="348"/>
      <c r="O29" s="348"/>
      <c r="P29" s="348"/>
    </row>
    <row r="30" spans="2:16" x14ac:dyDescent="0.2">
      <c r="C30" s="336" t="s">
        <v>107</v>
      </c>
      <c r="E30" s="311">
        <f>E22+E28</f>
        <v>47285391.709999993</v>
      </c>
      <c r="F30" s="350"/>
      <c r="G30" s="311">
        <f>G22+G28</f>
        <v>43447069.950000003</v>
      </c>
      <c r="H30" s="349"/>
      <c r="I30" s="311">
        <f>E30-G30</f>
        <v>3838321.7599999905</v>
      </c>
      <c r="K30" s="242">
        <f>IF(G30=0,"n/a",IF(AND(I30/G30&lt;1,I30/G30&gt;-1),I30/G30,"n/a"))</f>
        <v>8.8344778242059344E-2</v>
      </c>
      <c r="M30" s="245">
        <f>IF(E74=0,"n/a",E30/E74)</f>
        <v>1.0656789430842233</v>
      </c>
      <c r="N30" s="348"/>
      <c r="O30" s="348"/>
      <c r="P30" s="245">
        <f>IF(G74=0,"n/a",G30/G74)</f>
        <v>0.98395289820281173</v>
      </c>
    </row>
    <row r="31" spans="2:16" ht="6.95" customHeight="1" x14ac:dyDescent="0.2">
      <c r="E31" s="311"/>
      <c r="F31" s="350"/>
      <c r="G31" s="311"/>
      <c r="H31" s="349"/>
      <c r="I31" s="311"/>
      <c r="K31" s="313"/>
      <c r="M31" s="351"/>
      <c r="N31" s="351"/>
      <c r="O31" s="351"/>
      <c r="P31" s="351"/>
    </row>
    <row r="32" spans="2:16" x14ac:dyDescent="0.2">
      <c r="B32" s="336" t="s">
        <v>116</v>
      </c>
      <c r="E32" s="311">
        <v>1408810.91</v>
      </c>
      <c r="F32" s="350"/>
      <c r="G32" s="311">
        <v>-1831718.43</v>
      </c>
      <c r="H32" s="349"/>
      <c r="I32" s="311">
        <f>E32-G32</f>
        <v>3240529.34</v>
      </c>
      <c r="K32" s="242" t="str">
        <f>IF(G32=0,"n/a",IF(AND(I32/G32&lt;1,I32/G32&gt;-1),I32/G32,"n/a"))</f>
        <v>n/a</v>
      </c>
      <c r="M32" s="351"/>
      <c r="N32" s="351"/>
      <c r="O32" s="351"/>
      <c r="P32" s="351"/>
    </row>
    <row r="33" spans="2:16" x14ac:dyDescent="0.2">
      <c r="B33" s="336" t="s">
        <v>108</v>
      </c>
      <c r="E33" s="312">
        <v>2258157.0299999998</v>
      </c>
      <c r="F33" s="259"/>
      <c r="G33" s="312">
        <v>2252987.15</v>
      </c>
      <c r="H33" s="274"/>
      <c r="I33" s="312">
        <f>E33-G33</f>
        <v>5169.8799999998882</v>
      </c>
      <c r="K33" s="257">
        <f>IF(G33=0,"n/a",IF(AND(I33/G33&lt;1,I33/G33&gt;-1),I33/G33,"n/a"))</f>
        <v>2.2946779789666748E-3</v>
      </c>
    </row>
    <row r="34" spans="2:16" ht="6.95" customHeight="1" x14ac:dyDescent="0.2">
      <c r="E34" s="314"/>
      <c r="F34" s="350"/>
      <c r="G34" s="314"/>
      <c r="H34" s="349"/>
      <c r="I34" s="314"/>
      <c r="K34" s="315"/>
      <c r="M34" s="351"/>
      <c r="N34" s="351"/>
      <c r="O34" s="351"/>
      <c r="P34" s="351"/>
    </row>
    <row r="35" spans="2:16" ht="12.75" thickBot="1" x14ac:dyDescent="0.25">
      <c r="C35" s="336" t="s">
        <v>109</v>
      </c>
      <c r="E35" s="316">
        <f>SUM(E30:E33)</f>
        <v>50952359.649999991</v>
      </c>
      <c r="F35" s="350"/>
      <c r="G35" s="316">
        <f>SUM(G30:G33)</f>
        <v>43868338.670000002</v>
      </c>
      <c r="H35" s="349"/>
      <c r="I35" s="316">
        <f>E35-G35</f>
        <v>7084020.9799999893</v>
      </c>
      <c r="K35" s="260">
        <f>IF(G35=0,"n/a",IF(AND(I35/G35&lt;1,I35/G35&gt;-1),I35/G35,"n/a"))</f>
        <v>0.16148368492569562</v>
      </c>
    </row>
    <row r="36" spans="2:16" ht="12.75" thickTop="1" x14ac:dyDescent="0.2">
      <c r="E36" s="314"/>
      <c r="G36" s="314"/>
      <c r="H36" s="347"/>
      <c r="I36" s="314"/>
    </row>
    <row r="37" spans="2:16" x14ac:dyDescent="0.2">
      <c r="C37" s="317" t="s">
        <v>121</v>
      </c>
      <c r="E37" s="310">
        <v>2512861.4500000002</v>
      </c>
      <c r="F37" s="352"/>
      <c r="G37" s="310">
        <v>2276706.86</v>
      </c>
      <c r="H37" s="347"/>
      <c r="I37" s="314"/>
    </row>
    <row r="38" spans="2:16" x14ac:dyDescent="0.2">
      <c r="C38" s="317" t="s">
        <v>125</v>
      </c>
      <c r="E38" s="311">
        <v>15969240.02</v>
      </c>
      <c r="G38" s="311">
        <v>13233427.689999999</v>
      </c>
      <c r="H38" s="347"/>
      <c r="I38" s="314"/>
    </row>
    <row r="39" spans="2:16" x14ac:dyDescent="0.2">
      <c r="C39" s="317" t="s">
        <v>126</v>
      </c>
      <c r="E39" s="311">
        <v>389072.34</v>
      </c>
      <c r="G39" s="311">
        <v>35983.730000000003</v>
      </c>
      <c r="H39" s="347"/>
      <c r="I39" s="314"/>
    </row>
    <row r="40" spans="2:16" x14ac:dyDescent="0.2">
      <c r="C40" s="317" t="s">
        <v>127</v>
      </c>
      <c r="E40" s="311">
        <v>631093.84</v>
      </c>
      <c r="G40" s="311">
        <v>746904.27</v>
      </c>
      <c r="H40" s="347"/>
      <c r="I40" s="314"/>
    </row>
    <row r="41" spans="2:16" x14ac:dyDescent="0.2">
      <c r="C41" s="317" t="s">
        <v>117</v>
      </c>
      <c r="E41" s="311">
        <v>720101.92</v>
      </c>
      <c r="G41" s="311">
        <v>689605.36</v>
      </c>
      <c r="H41" s="347"/>
      <c r="I41" s="314"/>
    </row>
    <row r="42" spans="2:16" x14ac:dyDescent="0.2">
      <c r="C42" s="317" t="s">
        <v>118</v>
      </c>
      <c r="E42" s="311">
        <v>73535.100000000006</v>
      </c>
      <c r="G42" s="311">
        <v>92999.27</v>
      </c>
      <c r="H42" s="347"/>
      <c r="I42" s="314"/>
    </row>
    <row r="43" spans="2:16" x14ac:dyDescent="0.2">
      <c r="C43" s="317" t="s">
        <v>119</v>
      </c>
      <c r="E43" s="311">
        <v>605983.06999999995</v>
      </c>
      <c r="G43" s="311">
        <v>663667.87</v>
      </c>
      <c r="H43" s="347"/>
      <c r="I43" s="314"/>
    </row>
    <row r="44" spans="2:16" x14ac:dyDescent="0.2">
      <c r="C44" s="317" t="s">
        <v>129</v>
      </c>
      <c r="E44" s="311">
        <v>73327.37</v>
      </c>
      <c r="G44" s="311">
        <v>0</v>
      </c>
      <c r="H44" s="347"/>
      <c r="I44" s="314"/>
    </row>
    <row r="45" spans="2:16" x14ac:dyDescent="0.2">
      <c r="C45" s="317" t="s">
        <v>130</v>
      </c>
      <c r="E45" s="311">
        <v>-42078.6</v>
      </c>
      <c r="G45" s="311">
        <v>0</v>
      </c>
      <c r="H45" s="347"/>
      <c r="I45" s="314"/>
    </row>
    <row r="46" spans="2:16" x14ac:dyDescent="0.2">
      <c r="C46" s="317" t="s">
        <v>131</v>
      </c>
      <c r="E46" s="311">
        <v>1204675.75</v>
      </c>
      <c r="G46" s="311">
        <v>0</v>
      </c>
      <c r="H46" s="347"/>
      <c r="I46" s="314"/>
    </row>
    <row r="47" spans="2:16" x14ac:dyDescent="0.2">
      <c r="C47" s="317" t="s">
        <v>128</v>
      </c>
      <c r="E47" s="311">
        <v>-92216.78</v>
      </c>
      <c r="G47" s="311">
        <v>496525.85</v>
      </c>
      <c r="H47" s="347"/>
      <c r="I47" s="314"/>
    </row>
    <row r="48" spans="2:16" x14ac:dyDescent="0.2">
      <c r="C48" s="317" t="s">
        <v>120</v>
      </c>
      <c r="E48" s="311">
        <v>2014.26</v>
      </c>
      <c r="G48" s="311">
        <v>677520</v>
      </c>
      <c r="H48" s="347"/>
      <c r="I48" s="314"/>
    </row>
    <row r="49" spans="1:16" x14ac:dyDescent="0.2">
      <c r="C49" s="317" t="s">
        <v>123</v>
      </c>
      <c r="E49" s="311">
        <v>8.35</v>
      </c>
      <c r="G49" s="311">
        <v>92369.4</v>
      </c>
      <c r="H49" s="347"/>
      <c r="I49" s="314"/>
    </row>
    <row r="50" spans="1:16" x14ac:dyDescent="0.2">
      <c r="C50" s="317" t="s">
        <v>124</v>
      </c>
      <c r="E50" s="311">
        <v>-34712.97</v>
      </c>
      <c r="G50" s="311">
        <v>-38589.06</v>
      </c>
      <c r="H50" s="347"/>
      <c r="I50" s="314"/>
    </row>
    <row r="51" spans="1:16" x14ac:dyDescent="0.2">
      <c r="E51" s="318"/>
      <c r="G51" s="347"/>
      <c r="H51" s="347"/>
      <c r="I51" s="347"/>
    </row>
    <row r="52" spans="1:16" ht="12.75" x14ac:dyDescent="0.2">
      <c r="A52" s="333" t="s">
        <v>110</v>
      </c>
      <c r="E52" s="318"/>
      <c r="G52" s="347"/>
      <c r="H52" s="347"/>
      <c r="I52" s="347"/>
    </row>
    <row r="53" spans="1:16" x14ac:dyDescent="0.2">
      <c r="B53" s="346" t="s">
        <v>111</v>
      </c>
      <c r="E53" s="318"/>
      <c r="G53" s="347"/>
      <c r="H53" s="347"/>
      <c r="I53" s="347"/>
    </row>
    <row r="54" spans="1:16" x14ac:dyDescent="0.2">
      <c r="C54" s="336" t="s">
        <v>94</v>
      </c>
      <c r="E54" s="318">
        <v>12476205</v>
      </c>
      <c r="G54" s="318">
        <v>13792422</v>
      </c>
      <c r="H54" s="319"/>
      <c r="I54" s="318">
        <f>E54-G54</f>
        <v>-1316217</v>
      </c>
      <c r="K54" s="242">
        <f>IF(G54=0,"n/a",IF(AND(I54/G54&lt;1,I54/G54&gt;-1),I54/G54,"n/a"))</f>
        <v>-9.5430447241245955E-2</v>
      </c>
    </row>
    <row r="55" spans="1:16" x14ac:dyDescent="0.2">
      <c r="C55" s="336" t="s">
        <v>95</v>
      </c>
      <c r="E55" s="318">
        <v>10023360</v>
      </c>
      <c r="G55" s="318">
        <v>11087609</v>
      </c>
      <c r="H55" s="319"/>
      <c r="I55" s="318">
        <f>E55-G55</f>
        <v>-1064249</v>
      </c>
      <c r="K55" s="242">
        <f>IF(G55=0,"n/a",IF(AND(I55/G55&lt;1,I55/G55&gt;-1),I55/G55,"n/a"))</f>
        <v>-9.5985437437413237E-2</v>
      </c>
    </row>
    <row r="56" spans="1:16" x14ac:dyDescent="0.2">
      <c r="C56" s="336" t="s">
        <v>96</v>
      </c>
      <c r="E56" s="320">
        <v>893933</v>
      </c>
      <c r="G56" s="320">
        <v>849749</v>
      </c>
      <c r="H56" s="319"/>
      <c r="I56" s="320">
        <f>E56-G56</f>
        <v>44184</v>
      </c>
      <c r="K56" s="257">
        <f>IF(G56=0,"n/a",IF(AND(I56/G56&lt;1,I56/G56&gt;-1),I56/G56,"n/a"))</f>
        <v>5.1996530740253885E-2</v>
      </c>
    </row>
    <row r="57" spans="1:16" ht="6.95" customHeight="1" x14ac:dyDescent="0.2">
      <c r="E57" s="318"/>
      <c r="G57" s="318"/>
      <c r="H57" s="347"/>
      <c r="I57" s="318"/>
      <c r="K57" s="313"/>
      <c r="M57" s="351"/>
      <c r="N57" s="351"/>
      <c r="O57" s="351"/>
      <c r="P57" s="351"/>
    </row>
    <row r="58" spans="1:16" x14ac:dyDescent="0.2">
      <c r="C58" s="336" t="s">
        <v>97</v>
      </c>
      <c r="E58" s="318">
        <f>SUM(E54:E56)</f>
        <v>23393498</v>
      </c>
      <c r="G58" s="318">
        <f>SUM(G54:G56)</f>
        <v>25729780</v>
      </c>
      <c r="H58" s="319"/>
      <c r="I58" s="318">
        <f>E58-G58</f>
        <v>-2336282</v>
      </c>
      <c r="K58" s="242">
        <f>IF(G58=0,"n/a",IF(AND(I58/G58&lt;1,I58/G58&gt;-1),I58/G58,"n/a"))</f>
        <v>-9.0800698645693817E-2</v>
      </c>
    </row>
    <row r="59" spans="1:16" ht="6.95" customHeight="1" x14ac:dyDescent="0.2">
      <c r="E59" s="318"/>
      <c r="G59" s="318"/>
      <c r="H59" s="347"/>
      <c r="I59" s="318"/>
      <c r="K59" s="313"/>
      <c r="M59" s="351"/>
      <c r="N59" s="351"/>
      <c r="O59" s="351"/>
      <c r="P59" s="351"/>
    </row>
    <row r="60" spans="1:16" x14ac:dyDescent="0.2">
      <c r="B60" s="346" t="s">
        <v>112</v>
      </c>
      <c r="E60" s="318"/>
      <c r="G60" s="318"/>
      <c r="H60" s="319"/>
      <c r="I60" s="318"/>
      <c r="K60" s="313"/>
    </row>
    <row r="61" spans="1:16" x14ac:dyDescent="0.2">
      <c r="C61" s="336" t="s">
        <v>99</v>
      </c>
      <c r="E61" s="318">
        <v>1708685</v>
      </c>
      <c r="G61" s="318">
        <v>3866227</v>
      </c>
      <c r="H61" s="319"/>
      <c r="I61" s="318">
        <f>E61-G61</f>
        <v>-2157542</v>
      </c>
      <c r="K61" s="242">
        <f>IF(G61=0,"n/a",IF(AND(I61/G61&lt;1,I61/G61&gt;-1),I61/G61,"n/a"))</f>
        <v>-0.55804845395782499</v>
      </c>
    </row>
    <row r="62" spans="1:16" x14ac:dyDescent="0.2">
      <c r="C62" s="336" t="s">
        <v>100</v>
      </c>
      <c r="E62" s="320">
        <v>165641</v>
      </c>
      <c r="G62" s="320">
        <v>286743</v>
      </c>
      <c r="H62" s="319"/>
      <c r="I62" s="320">
        <f>E62-G62</f>
        <v>-121102</v>
      </c>
      <c r="K62" s="257">
        <f>IF(G62=0,"n/a",IF(AND(I62/G62&lt;1,I62/G62&gt;-1),I62/G62,"n/a"))</f>
        <v>-0.42233637787147377</v>
      </c>
    </row>
    <row r="63" spans="1:16" ht="6.95" customHeight="1" x14ac:dyDescent="0.2">
      <c r="E63" s="318"/>
      <c r="G63" s="318"/>
      <c r="H63" s="347"/>
      <c r="I63" s="318"/>
      <c r="K63" s="313"/>
      <c r="M63" s="351"/>
      <c r="N63" s="351"/>
      <c r="O63" s="351"/>
      <c r="P63" s="351"/>
    </row>
    <row r="64" spans="1:16" x14ac:dyDescent="0.2">
      <c r="C64" s="336" t="s">
        <v>101</v>
      </c>
      <c r="E64" s="320">
        <f>SUM(E61:E62)</f>
        <v>1874326</v>
      </c>
      <c r="G64" s="320">
        <f>SUM(G61:G62)</f>
        <v>4152970</v>
      </c>
      <c r="H64" s="319"/>
      <c r="I64" s="320">
        <f>E64-G64</f>
        <v>-2278644</v>
      </c>
      <c r="K64" s="257">
        <f>IF(G64=0,"n/a",IF(AND(I64/G64&lt;1,I64/G64&gt;-1),I64/G64,"n/a"))</f>
        <v>-0.54867817489651982</v>
      </c>
    </row>
    <row r="65" spans="1:16" ht="6.95" customHeight="1" x14ac:dyDescent="0.2">
      <c r="E65" s="318"/>
      <c r="G65" s="318"/>
      <c r="H65" s="347"/>
      <c r="I65" s="318"/>
      <c r="K65" s="313"/>
      <c r="M65" s="351"/>
      <c r="N65" s="351"/>
      <c r="O65" s="351"/>
      <c r="P65" s="351"/>
    </row>
    <row r="66" spans="1:16" x14ac:dyDescent="0.2">
      <c r="C66" s="336" t="s">
        <v>113</v>
      </c>
      <c r="E66" s="318">
        <f>E58+E64</f>
        <v>25267824</v>
      </c>
      <c r="G66" s="318">
        <f>G58+G64</f>
        <v>29882750</v>
      </c>
      <c r="H66" s="319"/>
      <c r="I66" s="318">
        <f>E66-G66</f>
        <v>-4614926</v>
      </c>
      <c r="K66" s="242">
        <f>IF(G66=0,"n/a",IF(AND(I66/G66&lt;1,I66/G66&gt;-1),I66/G66,"n/a"))</f>
        <v>-0.15443444796747288</v>
      </c>
    </row>
    <row r="67" spans="1:16" ht="6.95" customHeight="1" x14ac:dyDescent="0.2">
      <c r="E67" s="318"/>
      <c r="G67" s="318"/>
      <c r="H67" s="347"/>
      <c r="I67" s="318"/>
      <c r="K67" s="313"/>
      <c r="M67" s="351"/>
      <c r="N67" s="351"/>
      <c r="O67" s="351"/>
      <c r="P67" s="351"/>
    </row>
    <row r="68" spans="1:16" x14ac:dyDescent="0.2">
      <c r="B68" s="346" t="s">
        <v>114</v>
      </c>
      <c r="E68" s="318"/>
      <c r="G68" s="318"/>
      <c r="H68" s="319"/>
      <c r="I68" s="318"/>
      <c r="K68" s="313"/>
    </row>
    <row r="69" spans="1:16" x14ac:dyDescent="0.2">
      <c r="C69" s="336" t="s">
        <v>104</v>
      </c>
      <c r="E69" s="318">
        <v>3334419</v>
      </c>
      <c r="G69" s="318">
        <v>3350720</v>
      </c>
      <c r="H69" s="319"/>
      <c r="I69" s="318">
        <f>E69-G69</f>
        <v>-16301</v>
      </c>
      <c r="K69" s="242">
        <f>IF(G69=0,"n/a",IF(AND(I69/G69&lt;1,I69/G69&gt;-1),I69/G69,"n/a"))</f>
        <v>-4.8649245535287936E-3</v>
      </c>
    </row>
    <row r="70" spans="1:16" x14ac:dyDescent="0.2">
      <c r="C70" s="336" t="s">
        <v>105</v>
      </c>
      <c r="E70" s="320">
        <v>15768899</v>
      </c>
      <c r="G70" s="320">
        <v>10922170</v>
      </c>
      <c r="H70" s="319"/>
      <c r="I70" s="320">
        <f>E70-G70</f>
        <v>4846729</v>
      </c>
      <c r="K70" s="257">
        <f>IF(G70=0,"n/a",IF(AND(I70/G70&lt;1,I70/G70&gt;-1),I70/G70,"n/a"))</f>
        <v>0.44375147063266734</v>
      </c>
    </row>
    <row r="71" spans="1:16" ht="6.95" customHeight="1" x14ac:dyDescent="0.2">
      <c r="E71" s="318"/>
      <c r="G71" s="318"/>
      <c r="H71" s="347"/>
      <c r="I71" s="318"/>
      <c r="K71" s="313"/>
      <c r="M71" s="351"/>
      <c r="N71" s="351"/>
      <c r="O71" s="351"/>
      <c r="P71" s="351"/>
    </row>
    <row r="72" spans="1:16" x14ac:dyDescent="0.2">
      <c r="C72" s="336" t="s">
        <v>106</v>
      </c>
      <c r="E72" s="320">
        <f>SUM(E69:E70)</f>
        <v>19103318</v>
      </c>
      <c r="G72" s="320">
        <f>SUM(G69:G70)</f>
        <v>14272890</v>
      </c>
      <c r="H72" s="319"/>
      <c r="I72" s="320">
        <f>E72-G72</f>
        <v>4830428</v>
      </c>
      <c r="K72" s="257">
        <f>IF(G72=0,"n/a",IF(AND(I72/G72&lt;1,I72/G72&gt;-1),I72/G72,"n/a"))</f>
        <v>0.33843377199712182</v>
      </c>
    </row>
    <row r="73" spans="1:16" ht="6.95" customHeight="1" x14ac:dyDescent="0.2">
      <c r="E73" s="318"/>
      <c r="G73" s="318"/>
      <c r="H73" s="347"/>
      <c r="I73" s="318"/>
      <c r="K73" s="313"/>
      <c r="M73" s="351"/>
      <c r="N73" s="351"/>
      <c r="O73" s="351"/>
      <c r="P73" s="351"/>
    </row>
    <row r="74" spans="1:16" ht="12.75" thickBot="1" x14ac:dyDescent="0.25">
      <c r="C74" s="336" t="s">
        <v>115</v>
      </c>
      <c r="E74" s="321">
        <f>E66+E72</f>
        <v>44371142</v>
      </c>
      <c r="G74" s="321">
        <f>G66+G72</f>
        <v>44155640</v>
      </c>
      <c r="H74" s="319"/>
      <c r="I74" s="321">
        <f>E74-G74</f>
        <v>215502</v>
      </c>
      <c r="K74" s="260">
        <f>IF(G74=0,"n/a",IF(AND(I74/G74&lt;1,I74/G74&gt;-1),I74/G74,"n/a"))</f>
        <v>4.8805090357653064E-3</v>
      </c>
    </row>
    <row r="75" spans="1:16" ht="12.75" thickTop="1" x14ac:dyDescent="0.2"/>
    <row r="76" spans="1:16" ht="12.75" customHeight="1" x14ac:dyDescent="0.2">
      <c r="A76" s="336" t="s">
        <v>3</v>
      </c>
      <c r="C76" s="282" t="s">
        <v>122</v>
      </c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</row>
    <row r="77" spans="1:16" x14ac:dyDescent="0.2">
      <c r="A77" s="336" t="s">
        <v>3</v>
      </c>
    </row>
    <row r="78" spans="1:16" x14ac:dyDescent="0.2">
      <c r="A78" s="336" t="s">
        <v>3</v>
      </c>
    </row>
    <row r="79" spans="1:16" x14ac:dyDescent="0.2">
      <c r="A79" s="336" t="s">
        <v>3</v>
      </c>
    </row>
    <row r="80" spans="1:16" x14ac:dyDescent="0.2">
      <c r="A80" s="336" t="s">
        <v>3</v>
      </c>
    </row>
    <row r="81" spans="1:1" x14ac:dyDescent="0.2">
      <c r="A81" s="336" t="s">
        <v>3</v>
      </c>
    </row>
    <row r="82" spans="1:1" x14ac:dyDescent="0.2">
      <c r="A82" s="336" t="s">
        <v>3</v>
      </c>
    </row>
    <row r="83" spans="1:1" x14ac:dyDescent="0.2">
      <c r="A83" s="336" t="s">
        <v>3</v>
      </c>
    </row>
    <row r="84" spans="1:1" x14ac:dyDescent="0.2">
      <c r="A84" s="336" t="s">
        <v>3</v>
      </c>
    </row>
    <row r="85" spans="1:1" x14ac:dyDescent="0.2">
      <c r="A85" s="336" t="s">
        <v>3</v>
      </c>
    </row>
    <row r="86" spans="1:1" x14ac:dyDescent="0.2">
      <c r="A86" s="336" t="s">
        <v>3</v>
      </c>
    </row>
    <row r="87" spans="1:1" x14ac:dyDescent="0.2">
      <c r="A87" s="336" t="s">
        <v>3</v>
      </c>
    </row>
    <row r="88" spans="1:1" x14ac:dyDescent="0.2">
      <c r="A88" s="336" t="s">
        <v>3</v>
      </c>
    </row>
    <row r="89" spans="1:1" x14ac:dyDescent="0.2">
      <c r="A89" s="336" t="s">
        <v>3</v>
      </c>
    </row>
    <row r="90" spans="1:1" x14ac:dyDescent="0.2">
      <c r="A90" s="336" t="s">
        <v>3</v>
      </c>
    </row>
  </sheetData>
  <mergeCells count="6">
    <mergeCell ref="M6:P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zoomScaleNormal="100" zoomScaleSheetLayoutView="100" workbookViewId="0">
      <pane xSplit="4" ySplit="8" topLeftCell="E59" activePane="bottomRight" state="frozen"/>
      <selection activeCell="M42" sqref="M42"/>
      <selection pane="topRight" activeCell="M42" sqref="M42"/>
      <selection pane="bottomLeft" activeCell="M42" sqref="M42"/>
      <selection pane="bottomRight" activeCell="E75" sqref="E75"/>
    </sheetView>
  </sheetViews>
  <sheetFormatPr defaultColWidth="9.140625" defaultRowHeight="12" x14ac:dyDescent="0.2"/>
  <cols>
    <col min="1" max="2" width="1.7109375" style="336" customWidth="1"/>
    <col min="3" max="3" width="9.140625" style="336"/>
    <col min="4" max="4" width="23.85546875" style="336" customWidth="1"/>
    <col min="5" max="5" width="16.7109375" style="336" customWidth="1"/>
    <col min="6" max="6" width="0.85546875" style="336" customWidth="1"/>
    <col min="7" max="7" width="16.7109375" style="336" customWidth="1"/>
    <col min="8" max="8" width="0.85546875" style="336" customWidth="1"/>
    <col min="9" max="9" width="16.7109375" style="336" customWidth="1"/>
    <col min="10" max="10" width="0.85546875" style="336" customWidth="1"/>
    <col min="11" max="11" width="7.7109375" style="337" customWidth="1"/>
    <col min="12" max="12" width="0.85546875" style="336" customWidth="1"/>
    <col min="13" max="13" width="7.7109375" style="337" customWidth="1"/>
    <col min="14" max="14" width="0.85546875" style="337" customWidth="1"/>
    <col min="15" max="15" width="7.7109375" style="337" customWidth="1"/>
    <col min="16" max="16384" width="9.140625" style="336"/>
  </cols>
  <sheetData>
    <row r="1" spans="1:15" s="330" customFormat="1" ht="15" x14ac:dyDescent="0.25">
      <c r="E1" s="331" t="s">
        <v>1</v>
      </c>
      <c r="F1" s="331"/>
      <c r="G1" s="331"/>
      <c r="H1" s="331"/>
      <c r="I1" s="331"/>
      <c r="J1" s="331"/>
      <c r="K1" s="331"/>
      <c r="M1" s="332"/>
      <c r="N1" s="332"/>
      <c r="O1" s="332"/>
    </row>
    <row r="2" spans="1:15" s="330" customFormat="1" ht="15" x14ac:dyDescent="0.25">
      <c r="E2" s="331" t="s">
        <v>90</v>
      </c>
      <c r="F2" s="331"/>
      <c r="G2" s="331"/>
      <c r="H2" s="331"/>
      <c r="I2" s="331"/>
      <c r="J2" s="331"/>
      <c r="K2" s="331"/>
      <c r="M2" s="332"/>
      <c r="N2" s="332"/>
      <c r="O2" s="332"/>
    </row>
    <row r="3" spans="1:15" s="330" customFormat="1" ht="15" x14ac:dyDescent="0.25">
      <c r="E3" s="331" t="s">
        <v>134</v>
      </c>
      <c r="F3" s="331"/>
      <c r="G3" s="331"/>
      <c r="H3" s="331"/>
      <c r="I3" s="331"/>
      <c r="J3" s="331"/>
      <c r="K3" s="331"/>
      <c r="M3" s="332"/>
      <c r="N3" s="332"/>
      <c r="O3" s="332"/>
    </row>
    <row r="4" spans="1:15" s="333" customFormat="1" ht="12.75" x14ac:dyDescent="0.2">
      <c r="E4" s="334" t="s">
        <v>2</v>
      </c>
      <c r="F4" s="334"/>
      <c r="G4" s="334"/>
      <c r="H4" s="334"/>
      <c r="I4" s="334"/>
      <c r="J4" s="334"/>
      <c r="K4" s="334"/>
      <c r="M4" s="335"/>
      <c r="N4" s="335"/>
      <c r="O4" s="335"/>
    </row>
    <row r="5" spans="1:15" x14ac:dyDescent="0.2">
      <c r="A5" s="336" t="s">
        <v>3</v>
      </c>
    </row>
    <row r="6" spans="1:15" s="338" customFormat="1" ht="12.75" x14ac:dyDescent="0.2">
      <c r="A6" s="338" t="s">
        <v>3</v>
      </c>
      <c r="I6" s="339" t="s">
        <v>133</v>
      </c>
      <c r="J6" s="339"/>
      <c r="K6" s="339"/>
      <c r="M6" s="340" t="s">
        <v>92</v>
      </c>
      <c r="N6" s="340"/>
      <c r="O6" s="340"/>
    </row>
    <row r="7" spans="1:15" s="338" customFormat="1" ht="12.75" x14ac:dyDescent="0.2">
      <c r="E7" s="341" t="s">
        <v>4</v>
      </c>
      <c r="G7" s="341" t="s">
        <v>4</v>
      </c>
      <c r="I7" s="341"/>
      <c r="K7" s="342"/>
      <c r="M7" s="342"/>
      <c r="N7" s="343"/>
      <c r="O7" s="342"/>
    </row>
    <row r="8" spans="1:15" s="338" customFormat="1" ht="12.75" x14ac:dyDescent="0.2">
      <c r="A8" s="333" t="s">
        <v>91</v>
      </c>
      <c r="E8" s="344">
        <v>2023</v>
      </c>
      <c r="G8" s="344">
        <f>E8-1</f>
        <v>2022</v>
      </c>
      <c r="I8" s="344" t="s">
        <v>5</v>
      </c>
      <c r="K8" s="345" t="s">
        <v>0</v>
      </c>
      <c r="M8" s="345">
        <f>E8</f>
        <v>2023</v>
      </c>
      <c r="N8" s="343"/>
      <c r="O8" s="345">
        <f>G8</f>
        <v>2022</v>
      </c>
    </row>
    <row r="9" spans="1:15" x14ac:dyDescent="0.2">
      <c r="B9" s="346" t="s">
        <v>93</v>
      </c>
    </row>
    <row r="10" spans="1:15" x14ac:dyDescent="0.2">
      <c r="C10" s="336" t="s">
        <v>94</v>
      </c>
      <c r="E10" s="310">
        <v>27566539.77</v>
      </c>
      <c r="G10" s="310">
        <v>22892806.52</v>
      </c>
      <c r="H10" s="347"/>
      <c r="I10" s="310">
        <f>E10-G10</f>
        <v>4673733.25</v>
      </c>
      <c r="K10" s="242">
        <f>IF(G10=0,"n/a",IF(AND(I10/G10&lt;1,I10/G10&gt;-1),I10/G10,"n/a"))</f>
        <v>0.20415728608534101</v>
      </c>
      <c r="M10" s="245">
        <f>IF(E54=0,"n/a",E10/E54)</f>
        <v>2.2560553694187639</v>
      </c>
      <c r="N10" s="348"/>
      <c r="O10" s="245">
        <f>IF(G54=0,"n/a",G10/G54)</f>
        <v>1.8542191045713734</v>
      </c>
    </row>
    <row r="11" spans="1:15" x14ac:dyDescent="0.2">
      <c r="C11" s="336" t="s">
        <v>95</v>
      </c>
      <c r="E11" s="311">
        <v>14601564.310000001</v>
      </c>
      <c r="G11" s="311">
        <v>9656006.1699999999</v>
      </c>
      <c r="H11" s="347"/>
      <c r="I11" s="311">
        <f>E11-G11</f>
        <v>4945558.1400000006</v>
      </c>
      <c r="K11" s="242">
        <f>IF(G11=0,"n/a",IF(AND(I11/G11&lt;1,I11/G11&gt;-1),I11/G11,"n/a"))</f>
        <v>0.51217429369144662</v>
      </c>
      <c r="M11" s="265">
        <f>IF(E55=0,"n/a",E11/E55)</f>
        <v>1.4829196931660062</v>
      </c>
      <c r="N11" s="348"/>
      <c r="O11" s="265">
        <f>IF(G55=0,"n/a",G11/G55)</f>
        <v>1.1469685791864535</v>
      </c>
    </row>
    <row r="12" spans="1:15" x14ac:dyDescent="0.2">
      <c r="C12" s="336" t="s">
        <v>96</v>
      </c>
      <c r="E12" s="312">
        <v>998667.37</v>
      </c>
      <c r="G12" s="312">
        <v>982834.46</v>
      </c>
      <c r="H12" s="347"/>
      <c r="I12" s="312">
        <f>E12-G12</f>
        <v>15832.910000000033</v>
      </c>
      <c r="K12" s="257">
        <f>IF(G12=0,"n/a",IF(AND(I12/G12&lt;1,I12/G12&gt;-1),I12/G12,"n/a"))</f>
        <v>1.6109437188435612E-2</v>
      </c>
      <c r="M12" s="267">
        <f>IF(E56=0,"n/a",E12/E56)</f>
        <v>1.1706416526197583</v>
      </c>
      <c r="N12" s="348"/>
      <c r="O12" s="267">
        <f>IF(G56=0,"n/a",G12/G56)</f>
        <v>0.93721728317597575</v>
      </c>
    </row>
    <row r="13" spans="1:15" ht="6.95" customHeight="1" x14ac:dyDescent="0.2">
      <c r="E13" s="311"/>
      <c r="G13" s="311"/>
      <c r="H13" s="347"/>
      <c r="I13" s="311"/>
      <c r="K13" s="313"/>
      <c r="M13" s="348"/>
      <c r="N13" s="348"/>
      <c r="O13" s="348"/>
    </row>
    <row r="14" spans="1:15" x14ac:dyDescent="0.2">
      <c r="C14" s="336" t="s">
        <v>97</v>
      </c>
      <c r="E14" s="311">
        <f>SUM(E10:E12)</f>
        <v>43166771.449999996</v>
      </c>
      <c r="G14" s="311">
        <f>SUM(G10:G12)</f>
        <v>33531647.149999999</v>
      </c>
      <c r="H14" s="347"/>
      <c r="I14" s="311">
        <f>E14-G14</f>
        <v>9635124.299999997</v>
      </c>
      <c r="K14" s="242">
        <f>IF(G14=0,"n/a",IF(AND(I14/G14&lt;1,I14/G14&gt;-1),I14/G14,"n/a"))</f>
        <v>0.28734419925446453</v>
      </c>
      <c r="M14" s="265">
        <f>IF(E58=0,"n/a",E14/E58)</f>
        <v>1.8834900924152895</v>
      </c>
      <c r="N14" s="348"/>
      <c r="O14" s="265">
        <f>IF(G58=0,"n/a",G14/G58)</f>
        <v>1.5371811623186777</v>
      </c>
    </row>
    <row r="15" spans="1:15" ht="6.95" customHeight="1" x14ac:dyDescent="0.2">
      <c r="E15" s="311"/>
      <c r="G15" s="311"/>
      <c r="H15" s="347"/>
      <c r="I15" s="311"/>
      <c r="K15" s="313"/>
      <c r="M15" s="348"/>
      <c r="N15" s="348"/>
      <c r="O15" s="348"/>
    </row>
    <row r="16" spans="1:15" x14ac:dyDescent="0.2">
      <c r="B16" s="346" t="s">
        <v>98</v>
      </c>
      <c r="E16" s="311"/>
      <c r="G16" s="311"/>
      <c r="H16" s="347"/>
      <c r="I16" s="311"/>
      <c r="K16" s="313"/>
      <c r="M16" s="348"/>
      <c r="N16" s="348"/>
      <c r="O16" s="348"/>
    </row>
    <row r="17" spans="2:15" x14ac:dyDescent="0.2">
      <c r="C17" s="336" t="s">
        <v>99</v>
      </c>
      <c r="E17" s="311">
        <v>2086050.52</v>
      </c>
      <c r="G17" s="311">
        <v>923958.79</v>
      </c>
      <c r="H17" s="347"/>
      <c r="I17" s="311">
        <f>E17-G17</f>
        <v>1162091.73</v>
      </c>
      <c r="K17" s="242" t="str">
        <f>IF(G17=0,"n/a",IF(AND(I17/G17&lt;1,I17/G17&gt;-1),I17/G17,"n/a"))</f>
        <v>n/a</v>
      </c>
      <c r="M17" s="265">
        <f>IF(E61=0,"n/a",E17/E61)</f>
        <v>0.77554227904272299</v>
      </c>
      <c r="N17" s="348"/>
      <c r="O17" s="265">
        <f>IF(G61=0,"n/a",G17/G61)</f>
        <v>0.60260631682200994</v>
      </c>
    </row>
    <row r="18" spans="2:15" x14ac:dyDescent="0.2">
      <c r="C18" s="336" t="s">
        <v>100</v>
      </c>
      <c r="E18" s="312">
        <v>221520.41</v>
      </c>
      <c r="F18" s="259"/>
      <c r="G18" s="312">
        <v>198025.89</v>
      </c>
      <c r="H18" s="274"/>
      <c r="I18" s="312">
        <f>E18-G18</f>
        <v>23494.51999999999</v>
      </c>
      <c r="K18" s="257">
        <f>IF(G18=0,"n/a",IF(AND(I18/G18&lt;1,I18/G18&gt;-1),I18/G18,"n/a"))</f>
        <v>0.11864367835943061</v>
      </c>
      <c r="M18" s="267">
        <f>IF(E62=0,"n/a",E18/E62)</f>
        <v>0.74423367792265382</v>
      </c>
      <c r="N18" s="348"/>
      <c r="O18" s="267">
        <f>IF(G62=0,"n/a",G18/G62)</f>
        <v>0.57707249763955759</v>
      </c>
    </row>
    <row r="19" spans="2:15" ht="6.95" customHeight="1" x14ac:dyDescent="0.2">
      <c r="E19" s="311"/>
      <c r="F19" s="350"/>
      <c r="G19" s="311"/>
      <c r="H19" s="349"/>
      <c r="I19" s="311"/>
      <c r="K19" s="313"/>
      <c r="M19" s="348"/>
      <c r="N19" s="348"/>
      <c r="O19" s="348"/>
    </row>
    <row r="20" spans="2:15" x14ac:dyDescent="0.2">
      <c r="C20" s="336" t="s">
        <v>101</v>
      </c>
      <c r="E20" s="312">
        <f>SUM(E17:E18)</f>
        <v>2307570.9300000002</v>
      </c>
      <c r="F20" s="259"/>
      <c r="G20" s="312">
        <f>SUM(G17:G18)</f>
        <v>1121984.6800000002</v>
      </c>
      <c r="H20" s="274"/>
      <c r="I20" s="312">
        <f>E20-G20</f>
        <v>1185586.25</v>
      </c>
      <c r="K20" s="257" t="str">
        <f>IF(G20=0,"n/a",IF(AND(I20/G20&lt;1,I20/G20&gt;-1),I20/G20,"n/a"))</f>
        <v>n/a</v>
      </c>
      <c r="M20" s="267">
        <f>IF(E64=0,"n/a",E20/E64)</f>
        <v>0.77242289983581292</v>
      </c>
      <c r="N20" s="348"/>
      <c r="O20" s="267">
        <f>IF(G64=0,"n/a",G20/G64)</f>
        <v>0.59793675959682957</v>
      </c>
    </row>
    <row r="21" spans="2:15" ht="6.95" customHeight="1" x14ac:dyDescent="0.2">
      <c r="E21" s="311"/>
      <c r="F21" s="350"/>
      <c r="G21" s="311"/>
      <c r="H21" s="349"/>
      <c r="I21" s="311"/>
      <c r="K21" s="313"/>
      <c r="M21" s="348"/>
      <c r="N21" s="348"/>
      <c r="O21" s="348"/>
    </row>
    <row r="22" spans="2:15" x14ac:dyDescent="0.2">
      <c r="C22" s="336" t="s">
        <v>102</v>
      </c>
      <c r="E22" s="311">
        <f>E14+E20</f>
        <v>45474342.379999995</v>
      </c>
      <c r="F22" s="350"/>
      <c r="G22" s="311">
        <f>G14+G20</f>
        <v>34653631.829999998</v>
      </c>
      <c r="H22" s="349"/>
      <c r="I22" s="311">
        <f>E22-G22</f>
        <v>10820710.549999997</v>
      </c>
      <c r="K22" s="242">
        <f>IF(G22=0,"n/a",IF(AND(I22/G22&lt;1,I22/G22&gt;-1),I22/G22,"n/a"))</f>
        <v>0.31225329001828889</v>
      </c>
      <c r="M22" s="265">
        <f>IF(E66=0,"n/a",E22/E66)</f>
        <v>1.7553630593006306</v>
      </c>
      <c r="N22" s="348"/>
      <c r="O22" s="265">
        <f>IF(G66=0,"n/a",G22/G66)</f>
        <v>1.4627863860898824</v>
      </c>
    </row>
    <row r="23" spans="2:15" ht="6.95" customHeight="1" x14ac:dyDescent="0.2">
      <c r="E23" s="311"/>
      <c r="F23" s="350"/>
      <c r="G23" s="311"/>
      <c r="H23" s="349"/>
      <c r="I23" s="311"/>
      <c r="K23" s="313"/>
      <c r="M23" s="348"/>
      <c r="N23" s="348"/>
      <c r="O23" s="348"/>
    </row>
    <row r="24" spans="2:15" x14ac:dyDescent="0.2">
      <c r="B24" s="346" t="s">
        <v>103</v>
      </c>
      <c r="E24" s="311"/>
      <c r="F24" s="350"/>
      <c r="G24" s="311"/>
      <c r="H24" s="349"/>
      <c r="I24" s="311"/>
      <c r="K24" s="313"/>
      <c r="M24" s="348"/>
      <c r="N24" s="348"/>
      <c r="O24" s="348"/>
    </row>
    <row r="25" spans="2:15" x14ac:dyDescent="0.2">
      <c r="C25" s="336" t="s">
        <v>104</v>
      </c>
      <c r="E25" s="311">
        <v>692376.41</v>
      </c>
      <c r="F25" s="350"/>
      <c r="G25" s="311">
        <v>549693.71</v>
      </c>
      <c r="H25" s="349"/>
      <c r="I25" s="311">
        <f>E25-G25</f>
        <v>142682.70000000007</v>
      </c>
      <c r="K25" s="242">
        <f>IF(G25=0,"n/a",IF(AND(I25/G25&lt;1,I25/G25&gt;-1),I25/G25,"n/a"))</f>
        <v>0.25956764176908642</v>
      </c>
      <c r="M25" s="265">
        <f>IF(E69=0,"n/a",E25/E69)</f>
        <v>0.20094754173344348</v>
      </c>
      <c r="N25" s="348"/>
      <c r="O25" s="265">
        <f>IF(G69=0,"n/a",G25/G69)</f>
        <v>0.14676705876196283</v>
      </c>
    </row>
    <row r="26" spans="2:15" x14ac:dyDescent="0.2">
      <c r="C26" s="336" t="s">
        <v>105</v>
      </c>
      <c r="E26" s="312">
        <v>1040947.34</v>
      </c>
      <c r="F26" s="259"/>
      <c r="G26" s="312">
        <v>1040091.17</v>
      </c>
      <c r="H26" s="274"/>
      <c r="I26" s="312">
        <f>E26-G26</f>
        <v>856.16999999992549</v>
      </c>
      <c r="K26" s="257">
        <f>IF(G26=0,"n/a",IF(AND(I26/G26&lt;1,I26/G26&gt;-1),I26/G26,"n/a"))</f>
        <v>8.2316822283947039E-4</v>
      </c>
      <c r="M26" s="267">
        <f>IF(E70=0,"n/a",E26/E70)</f>
        <v>9.4860232642592579E-2</v>
      </c>
      <c r="N26" s="348"/>
      <c r="O26" s="267">
        <f>IF(G70=0,"n/a",G26/G70)</f>
        <v>8.3744612432504945E-2</v>
      </c>
    </row>
    <row r="27" spans="2:15" ht="6.95" customHeight="1" x14ac:dyDescent="0.2">
      <c r="E27" s="311"/>
      <c r="F27" s="350"/>
      <c r="G27" s="311"/>
      <c r="H27" s="349"/>
      <c r="I27" s="311"/>
      <c r="K27" s="313"/>
      <c r="M27" s="348"/>
      <c r="N27" s="348"/>
      <c r="O27" s="348"/>
    </row>
    <row r="28" spans="2:15" x14ac:dyDescent="0.2">
      <c r="C28" s="336" t="s">
        <v>106</v>
      </c>
      <c r="E28" s="312">
        <f>SUM(E25:E26)</f>
        <v>1733323.75</v>
      </c>
      <c r="F28" s="259"/>
      <c r="G28" s="312">
        <f>SUM(G25:G26)</f>
        <v>1589784.88</v>
      </c>
      <c r="H28" s="274"/>
      <c r="I28" s="312">
        <f>E28-G28</f>
        <v>143538.87000000011</v>
      </c>
      <c r="K28" s="257">
        <f>IF(G28=0,"n/a",IF(AND(I28/G28&lt;1,I28/G28&gt;-1),I28/G28,"n/a"))</f>
        <v>9.028823446855283E-2</v>
      </c>
      <c r="M28" s="267">
        <f>IF(E72=0,"n/a",E28/E72)</f>
        <v>0.12021073451268575</v>
      </c>
      <c r="N28" s="348"/>
      <c r="O28" s="267">
        <f>IF(G72=0,"n/a",G28/G72)</f>
        <v>9.8346459722665036E-2</v>
      </c>
    </row>
    <row r="29" spans="2:15" ht="6.95" customHeight="1" x14ac:dyDescent="0.2">
      <c r="E29" s="311"/>
      <c r="F29" s="350"/>
      <c r="G29" s="311"/>
      <c r="H29" s="349"/>
      <c r="I29" s="311"/>
      <c r="K29" s="313"/>
      <c r="M29" s="348"/>
      <c r="N29" s="348"/>
      <c r="O29" s="348"/>
    </row>
    <row r="30" spans="2:15" x14ac:dyDescent="0.2">
      <c r="C30" s="336" t="s">
        <v>107</v>
      </c>
      <c r="E30" s="311">
        <f>E22+E28</f>
        <v>47207666.129999995</v>
      </c>
      <c r="F30" s="350"/>
      <c r="G30" s="311">
        <f>G22+G28</f>
        <v>36243416.710000001</v>
      </c>
      <c r="H30" s="349"/>
      <c r="I30" s="311">
        <f>E30-G30</f>
        <v>10964249.419999994</v>
      </c>
      <c r="K30" s="242">
        <f>IF(G30=0,"n/a",IF(AND(I30/G30&lt;1,I30/G30&gt;-1),I30/G30,"n/a"))</f>
        <v>0.30251699247148583</v>
      </c>
      <c r="M30" s="245">
        <f>IF(E74=0,"n/a",E30/E74)</f>
        <v>1.1706801695425093</v>
      </c>
      <c r="N30" s="348"/>
      <c r="O30" s="245">
        <f>IF(G74=0,"n/a",G30/G74)</f>
        <v>0.90937512774336804</v>
      </c>
    </row>
    <row r="31" spans="2:15" ht="6.95" customHeight="1" x14ac:dyDescent="0.2">
      <c r="E31" s="311"/>
      <c r="F31" s="350"/>
      <c r="G31" s="311"/>
      <c r="H31" s="349"/>
      <c r="I31" s="311"/>
      <c r="K31" s="313"/>
      <c r="M31" s="351"/>
      <c r="N31" s="351"/>
      <c r="O31" s="351"/>
    </row>
    <row r="32" spans="2:15" x14ac:dyDescent="0.2">
      <c r="B32" s="336" t="s">
        <v>116</v>
      </c>
      <c r="E32" s="311">
        <v>1449704.37</v>
      </c>
      <c r="F32" s="350"/>
      <c r="G32" s="311">
        <v>932294.58</v>
      </c>
      <c r="H32" s="349"/>
      <c r="I32" s="311">
        <f>E32-G32</f>
        <v>517409.79000000015</v>
      </c>
      <c r="K32" s="242">
        <f>IF(G32=0,"n/a",IF(AND(I32/G32&lt;1,I32/G32&gt;-1),I32/G32,"n/a"))</f>
        <v>0.55498530303587112</v>
      </c>
      <c r="M32" s="351"/>
      <c r="N32" s="351"/>
      <c r="O32" s="351"/>
    </row>
    <row r="33" spans="2:15" x14ac:dyDescent="0.2">
      <c r="B33" s="336" t="s">
        <v>108</v>
      </c>
      <c r="E33" s="312">
        <v>2197566.7200000002</v>
      </c>
      <c r="F33" s="259"/>
      <c r="G33" s="312">
        <v>2088088.91</v>
      </c>
      <c r="H33" s="274"/>
      <c r="I33" s="312">
        <f>E33-G33</f>
        <v>109477.81000000029</v>
      </c>
      <c r="K33" s="257">
        <f>IF(G33=0,"n/a",IF(AND(I33/G33&lt;1,I33/G33&gt;-1),I33/G33,"n/a"))</f>
        <v>5.2429668811372739E-2</v>
      </c>
    </row>
    <row r="34" spans="2:15" ht="6.95" customHeight="1" x14ac:dyDescent="0.2">
      <c r="E34" s="314"/>
      <c r="F34" s="350"/>
      <c r="G34" s="314"/>
      <c r="H34" s="349"/>
      <c r="I34" s="314"/>
      <c r="K34" s="315"/>
      <c r="M34" s="351"/>
      <c r="N34" s="351"/>
      <c r="O34" s="351"/>
    </row>
    <row r="35" spans="2:15" ht="12.75" thickBot="1" x14ac:dyDescent="0.25">
      <c r="C35" s="336" t="s">
        <v>109</v>
      </c>
      <c r="E35" s="316">
        <f>SUM(E30:E33)</f>
        <v>50854937.219999991</v>
      </c>
      <c r="F35" s="350"/>
      <c r="G35" s="316">
        <f>SUM(G30:G33)</f>
        <v>39263800.199999996</v>
      </c>
      <c r="H35" s="349"/>
      <c r="I35" s="316">
        <f>E35-G35</f>
        <v>11591137.019999996</v>
      </c>
      <c r="K35" s="260">
        <f>IF(G35=0,"n/a",IF(AND(I35/G35&lt;1,I35/G35&gt;-1),I35/G35,"n/a"))</f>
        <v>0.29521179715049584</v>
      </c>
    </row>
    <row r="36" spans="2:15" ht="12.75" thickTop="1" x14ac:dyDescent="0.2">
      <c r="E36" s="314"/>
      <c r="G36" s="314"/>
      <c r="H36" s="347"/>
      <c r="I36" s="314"/>
    </row>
    <row r="37" spans="2:15" x14ac:dyDescent="0.2">
      <c r="C37" s="317" t="s">
        <v>121</v>
      </c>
      <c r="E37" s="310">
        <v>2305275.0099999998</v>
      </c>
      <c r="F37" s="352"/>
      <c r="G37" s="310">
        <v>1870191.84</v>
      </c>
      <c r="H37" s="347"/>
      <c r="I37" s="314"/>
    </row>
    <row r="38" spans="2:15" x14ac:dyDescent="0.2">
      <c r="C38" s="317" t="s">
        <v>125</v>
      </c>
      <c r="E38" s="311">
        <v>16283338.16</v>
      </c>
      <c r="G38" s="311">
        <v>9929007.2799999993</v>
      </c>
      <c r="H38" s="347"/>
      <c r="I38" s="314"/>
    </row>
    <row r="39" spans="2:15" x14ac:dyDescent="0.2">
      <c r="C39" s="317" t="s">
        <v>126</v>
      </c>
      <c r="E39" s="311">
        <v>399368.56</v>
      </c>
      <c r="G39" s="311">
        <v>25451.32</v>
      </c>
      <c r="H39" s="347"/>
      <c r="I39" s="314"/>
    </row>
    <row r="40" spans="2:15" x14ac:dyDescent="0.2">
      <c r="C40" s="317" t="s">
        <v>127</v>
      </c>
      <c r="E40" s="311">
        <v>647417.75</v>
      </c>
      <c r="G40" s="311">
        <v>561515.6</v>
      </c>
      <c r="H40" s="347"/>
      <c r="I40" s="314"/>
    </row>
    <row r="41" spans="2:15" x14ac:dyDescent="0.2">
      <c r="C41" s="317" t="s">
        <v>117</v>
      </c>
      <c r="E41" s="311">
        <v>736033.94</v>
      </c>
      <c r="G41" s="311">
        <v>527020.81999999995</v>
      </c>
      <c r="H41" s="347"/>
      <c r="I41" s="314"/>
    </row>
    <row r="42" spans="2:15" x14ac:dyDescent="0.2">
      <c r="C42" s="317" t="s">
        <v>118</v>
      </c>
      <c r="E42" s="311">
        <v>72140.960000000006</v>
      </c>
      <c r="G42" s="311">
        <v>76220.759999999995</v>
      </c>
      <c r="H42" s="347"/>
      <c r="I42" s="314"/>
    </row>
    <row r="43" spans="2:15" x14ac:dyDescent="0.2">
      <c r="C43" s="317" t="s">
        <v>119</v>
      </c>
      <c r="E43" s="311">
        <v>586842.61</v>
      </c>
      <c r="G43" s="311">
        <v>519345.98</v>
      </c>
      <c r="H43" s="347"/>
      <c r="I43" s="314"/>
    </row>
    <row r="44" spans="2:15" x14ac:dyDescent="0.2">
      <c r="C44" s="317" t="s">
        <v>129</v>
      </c>
      <c r="E44" s="311">
        <v>74497.86</v>
      </c>
      <c r="G44" s="311">
        <v>0</v>
      </c>
      <c r="H44" s="347"/>
      <c r="I44" s="314"/>
    </row>
    <row r="45" spans="2:15" x14ac:dyDescent="0.2">
      <c r="C45" s="317" t="s">
        <v>130</v>
      </c>
      <c r="E45" s="311">
        <v>-40086.949999999997</v>
      </c>
      <c r="G45" s="311">
        <v>0</v>
      </c>
      <c r="H45" s="347"/>
      <c r="I45" s="314"/>
    </row>
    <row r="46" spans="2:15" x14ac:dyDescent="0.2">
      <c r="C46" s="317" t="s">
        <v>131</v>
      </c>
      <c r="E46" s="311">
        <v>1146792.8600000001</v>
      </c>
      <c r="G46" s="311">
        <v>0</v>
      </c>
      <c r="H46" s="347"/>
      <c r="I46" s="314"/>
    </row>
    <row r="47" spans="2:15" x14ac:dyDescent="0.2">
      <c r="C47" s="317" t="s">
        <v>128</v>
      </c>
      <c r="E47" s="311">
        <v>-100396.64</v>
      </c>
      <c r="G47" s="311">
        <v>306649.15999999997</v>
      </c>
      <c r="H47" s="347"/>
      <c r="I47" s="314"/>
    </row>
    <row r="48" spans="2:15" x14ac:dyDescent="0.2">
      <c r="C48" s="317" t="s">
        <v>120</v>
      </c>
      <c r="E48" s="311">
        <v>1616.99</v>
      </c>
      <c r="G48" s="311">
        <v>538156.36</v>
      </c>
      <c r="H48" s="347"/>
      <c r="I48" s="314"/>
    </row>
    <row r="49" spans="1:15" x14ac:dyDescent="0.2">
      <c r="C49" s="317" t="s">
        <v>123</v>
      </c>
      <c r="E49" s="311">
        <v>-101.98</v>
      </c>
      <c r="G49" s="311">
        <v>73979.61</v>
      </c>
      <c r="H49" s="347"/>
      <c r="I49" s="314"/>
    </row>
    <row r="50" spans="1:15" x14ac:dyDescent="0.2">
      <c r="C50" s="317" t="s">
        <v>124</v>
      </c>
      <c r="E50" s="311">
        <v>-33711</v>
      </c>
      <c r="G50" s="311">
        <v>-30319.49</v>
      </c>
      <c r="H50" s="347"/>
      <c r="I50" s="314"/>
    </row>
    <row r="51" spans="1:15" x14ac:dyDescent="0.2">
      <c r="E51" s="318"/>
      <c r="G51" s="347"/>
      <c r="H51" s="347"/>
      <c r="I51" s="347"/>
    </row>
    <row r="52" spans="1:15" ht="12.75" x14ac:dyDescent="0.2">
      <c r="A52" s="333" t="s">
        <v>110</v>
      </c>
      <c r="E52" s="318"/>
      <c r="G52" s="347"/>
      <c r="H52" s="347"/>
      <c r="I52" s="347"/>
    </row>
    <row r="53" spans="1:15" x14ac:dyDescent="0.2">
      <c r="B53" s="346" t="s">
        <v>111</v>
      </c>
      <c r="E53" s="318"/>
      <c r="G53" s="347"/>
      <c r="H53" s="347"/>
      <c r="I53" s="347"/>
    </row>
    <row r="54" spans="1:15" x14ac:dyDescent="0.2">
      <c r="C54" s="336" t="s">
        <v>94</v>
      </c>
      <c r="E54" s="318">
        <v>12218911</v>
      </c>
      <c r="G54" s="318">
        <v>12346333</v>
      </c>
      <c r="H54" s="319"/>
      <c r="I54" s="318">
        <f>E54-G54</f>
        <v>-127422</v>
      </c>
      <c r="K54" s="242">
        <f>IF(G54=0,"n/a",IF(AND(I54/G54&lt;1,I54/G54&gt;-1),I54/G54,"n/a"))</f>
        <v>-1.0320635284987048E-2</v>
      </c>
    </row>
    <row r="55" spans="1:15" x14ac:dyDescent="0.2">
      <c r="C55" s="336" t="s">
        <v>95</v>
      </c>
      <c r="E55" s="318">
        <v>9846497</v>
      </c>
      <c r="G55" s="318">
        <v>8418719</v>
      </c>
      <c r="H55" s="319"/>
      <c r="I55" s="318">
        <f>E55-G55</f>
        <v>1427778</v>
      </c>
      <c r="K55" s="242">
        <f>IF(G55=0,"n/a",IF(AND(I55/G55&lt;1,I55/G55&gt;-1),I55/G55,"n/a"))</f>
        <v>0.16959563563055138</v>
      </c>
    </row>
    <row r="56" spans="1:15" x14ac:dyDescent="0.2">
      <c r="C56" s="336" t="s">
        <v>96</v>
      </c>
      <c r="E56" s="320">
        <v>853094</v>
      </c>
      <c r="G56" s="320">
        <v>1048673</v>
      </c>
      <c r="H56" s="319"/>
      <c r="I56" s="320">
        <f>E56-G56</f>
        <v>-195579</v>
      </c>
      <c r="K56" s="257">
        <f>IF(G56=0,"n/a",IF(AND(I56/G56&lt;1,I56/G56&gt;-1),I56/G56,"n/a"))</f>
        <v>-0.18650141655215688</v>
      </c>
    </row>
    <row r="57" spans="1:15" ht="6.95" customHeight="1" x14ac:dyDescent="0.2">
      <c r="E57" s="318"/>
      <c r="G57" s="318"/>
      <c r="H57" s="347"/>
      <c r="I57" s="318"/>
      <c r="K57" s="313"/>
      <c r="M57" s="351"/>
      <c r="N57" s="351"/>
      <c r="O57" s="351"/>
    </row>
    <row r="58" spans="1:15" x14ac:dyDescent="0.2">
      <c r="C58" s="336" t="s">
        <v>97</v>
      </c>
      <c r="E58" s="318">
        <f>SUM(E54:E56)</f>
        <v>22918502</v>
      </c>
      <c r="G58" s="318">
        <f>SUM(G54:G56)</f>
        <v>21813725</v>
      </c>
      <c r="H58" s="319"/>
      <c r="I58" s="318">
        <f>E58-G58</f>
        <v>1104777</v>
      </c>
      <c r="K58" s="242">
        <f>IF(G58=0,"n/a",IF(AND(I58/G58&lt;1,I58/G58&gt;-1),I58/G58,"n/a"))</f>
        <v>5.0645957992044001E-2</v>
      </c>
    </row>
    <row r="59" spans="1:15" ht="6.95" customHeight="1" x14ac:dyDescent="0.2">
      <c r="E59" s="318"/>
      <c r="G59" s="318"/>
      <c r="H59" s="347"/>
      <c r="I59" s="318"/>
      <c r="K59" s="313"/>
      <c r="M59" s="351"/>
      <c r="N59" s="351"/>
      <c r="O59" s="351"/>
    </row>
    <row r="60" spans="1:15" x14ac:dyDescent="0.2">
      <c r="B60" s="346" t="s">
        <v>112</v>
      </c>
      <c r="E60" s="318"/>
      <c r="G60" s="318"/>
      <c r="H60" s="319"/>
      <c r="I60" s="318"/>
      <c r="K60" s="313"/>
    </row>
    <row r="61" spans="1:15" x14ac:dyDescent="0.2">
      <c r="C61" s="336" t="s">
        <v>99</v>
      </c>
      <c r="E61" s="318">
        <v>2689796</v>
      </c>
      <c r="G61" s="318">
        <v>1533271</v>
      </c>
      <c r="H61" s="319"/>
      <c r="I61" s="318">
        <f>E61-G61</f>
        <v>1156525</v>
      </c>
      <c r="K61" s="242">
        <f>IF(G61=0,"n/a",IF(AND(I61/G61&lt;1,I61/G61&gt;-1),I61/G61,"n/a"))</f>
        <v>0.75428609815225101</v>
      </c>
    </row>
    <row r="62" spans="1:15" x14ac:dyDescent="0.2">
      <c r="C62" s="336" t="s">
        <v>100</v>
      </c>
      <c r="E62" s="320">
        <v>297649</v>
      </c>
      <c r="G62" s="320">
        <v>343156</v>
      </c>
      <c r="H62" s="319"/>
      <c r="I62" s="320">
        <f>E62-G62</f>
        <v>-45507</v>
      </c>
      <c r="K62" s="257">
        <f>IF(G62=0,"n/a",IF(AND(I62/G62&lt;1,I62/G62&gt;-1),I62/G62,"n/a"))</f>
        <v>-0.13261315553276062</v>
      </c>
    </row>
    <row r="63" spans="1:15" ht="6.95" customHeight="1" x14ac:dyDescent="0.2">
      <c r="E63" s="318"/>
      <c r="G63" s="318"/>
      <c r="H63" s="347"/>
      <c r="I63" s="318"/>
      <c r="K63" s="313"/>
      <c r="M63" s="351"/>
      <c r="N63" s="351"/>
      <c r="O63" s="351"/>
    </row>
    <row r="64" spans="1:15" x14ac:dyDescent="0.2">
      <c r="C64" s="336" t="s">
        <v>101</v>
      </c>
      <c r="E64" s="320">
        <f>SUM(E61:E62)</f>
        <v>2987445</v>
      </c>
      <c r="G64" s="320">
        <f>SUM(G61:G62)</f>
        <v>1876427</v>
      </c>
      <c r="H64" s="319"/>
      <c r="I64" s="320">
        <f>E64-G64</f>
        <v>1111018</v>
      </c>
      <c r="K64" s="257">
        <f>IF(G64=0,"n/a",IF(AND(I64/G64&lt;1,I64/G64&gt;-1),I64/G64,"n/a"))</f>
        <v>0.59209231161137632</v>
      </c>
    </row>
    <row r="65" spans="1:15" ht="6.95" customHeight="1" x14ac:dyDescent="0.2">
      <c r="E65" s="318"/>
      <c r="G65" s="318"/>
      <c r="H65" s="347"/>
      <c r="I65" s="318"/>
      <c r="K65" s="313"/>
      <c r="M65" s="351"/>
      <c r="N65" s="351"/>
      <c r="O65" s="351"/>
    </row>
    <row r="66" spans="1:15" x14ac:dyDescent="0.2">
      <c r="C66" s="336" t="s">
        <v>113</v>
      </c>
      <c r="E66" s="318">
        <f>E58+E64</f>
        <v>25905947</v>
      </c>
      <c r="G66" s="318">
        <f>G58+G64</f>
        <v>23690152</v>
      </c>
      <c r="H66" s="319"/>
      <c r="I66" s="318">
        <f>E66-G66</f>
        <v>2215795</v>
      </c>
      <c r="K66" s="242">
        <f>IF(G66=0,"n/a",IF(AND(I66/G66&lt;1,I66/G66&gt;-1),I66/G66,"n/a"))</f>
        <v>9.3532325161949148E-2</v>
      </c>
    </row>
    <row r="67" spans="1:15" ht="6.95" customHeight="1" x14ac:dyDescent="0.2">
      <c r="E67" s="318"/>
      <c r="G67" s="318"/>
      <c r="H67" s="347"/>
      <c r="I67" s="318"/>
      <c r="K67" s="313"/>
      <c r="M67" s="351"/>
      <c r="N67" s="351"/>
      <c r="O67" s="351"/>
    </row>
    <row r="68" spans="1:15" x14ac:dyDescent="0.2">
      <c r="B68" s="346" t="s">
        <v>114</v>
      </c>
      <c r="E68" s="318"/>
      <c r="G68" s="318"/>
      <c r="H68" s="319"/>
      <c r="I68" s="318"/>
      <c r="K68" s="313"/>
    </row>
    <row r="69" spans="1:15" x14ac:dyDescent="0.2">
      <c r="C69" s="336" t="s">
        <v>104</v>
      </c>
      <c r="E69" s="318">
        <v>3445558</v>
      </c>
      <c r="G69" s="318">
        <v>3745348</v>
      </c>
      <c r="H69" s="319"/>
      <c r="I69" s="318">
        <f>E69-G69</f>
        <v>-299790</v>
      </c>
      <c r="K69" s="242">
        <f>IF(G69=0,"n/a",IF(AND(I69/G69&lt;1,I69/G69&gt;-1),I69/G69,"n/a"))</f>
        <v>-8.0043296377265871E-2</v>
      </c>
    </row>
    <row r="70" spans="1:15" x14ac:dyDescent="0.2">
      <c r="C70" s="336" t="s">
        <v>105</v>
      </c>
      <c r="E70" s="320">
        <v>10973485</v>
      </c>
      <c r="G70" s="320">
        <v>12419798</v>
      </c>
      <c r="H70" s="319"/>
      <c r="I70" s="320">
        <f>E70-G70</f>
        <v>-1446313</v>
      </c>
      <c r="K70" s="257">
        <f>IF(G70=0,"n/a",IF(AND(I70/G70&lt;1,I70/G70&gt;-1),I70/G70,"n/a"))</f>
        <v>-0.1164522160505348</v>
      </c>
    </row>
    <row r="71" spans="1:15" ht="6.95" customHeight="1" x14ac:dyDescent="0.2">
      <c r="E71" s="318"/>
      <c r="G71" s="318"/>
      <c r="H71" s="347"/>
      <c r="I71" s="318"/>
      <c r="K71" s="313"/>
      <c r="M71" s="351"/>
      <c r="N71" s="351"/>
      <c r="O71" s="351"/>
    </row>
    <row r="72" spans="1:15" x14ac:dyDescent="0.2">
      <c r="C72" s="336" t="s">
        <v>106</v>
      </c>
      <c r="E72" s="320">
        <f>SUM(E69:E70)</f>
        <v>14419043</v>
      </c>
      <c r="G72" s="320">
        <f>SUM(G69:G70)</f>
        <v>16165146</v>
      </c>
      <c r="H72" s="319"/>
      <c r="I72" s="320">
        <f>E72-G72</f>
        <v>-1746103</v>
      </c>
      <c r="K72" s="257">
        <f>IF(G72=0,"n/a",IF(AND(I72/G72&lt;1,I72/G72&gt;-1),I72/G72,"n/a"))</f>
        <v>-0.10801653136940427</v>
      </c>
    </row>
    <row r="73" spans="1:15" ht="6.95" customHeight="1" x14ac:dyDescent="0.2">
      <c r="E73" s="318"/>
      <c r="G73" s="318"/>
      <c r="H73" s="347"/>
      <c r="I73" s="318"/>
      <c r="K73" s="313"/>
      <c r="M73" s="351"/>
      <c r="N73" s="351"/>
      <c r="O73" s="351"/>
    </row>
    <row r="74" spans="1:15" ht="12.75" thickBot="1" x14ac:dyDescent="0.25">
      <c r="C74" s="336" t="s">
        <v>115</v>
      </c>
      <c r="E74" s="321">
        <f>E66+E72</f>
        <v>40324990</v>
      </c>
      <c r="G74" s="321">
        <f>G66+G72</f>
        <v>39855298</v>
      </c>
      <c r="H74" s="319"/>
      <c r="I74" s="321">
        <f>E74-G74</f>
        <v>469692</v>
      </c>
      <c r="K74" s="260">
        <f>IF(G74=0,"n/a",IF(AND(I74/G74&lt;1,I74/G74&gt;-1),I74/G74,"n/a"))</f>
        <v>1.1784932582865143E-2</v>
      </c>
    </row>
    <row r="75" spans="1:15" ht="12.75" thickTop="1" x14ac:dyDescent="0.2"/>
    <row r="76" spans="1:15" ht="12.75" customHeight="1" x14ac:dyDescent="0.2">
      <c r="A76" s="336" t="s">
        <v>3</v>
      </c>
      <c r="C76" s="282" t="s">
        <v>122</v>
      </c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</row>
    <row r="77" spans="1:15" x14ac:dyDescent="0.2">
      <c r="A77" s="336" t="s">
        <v>3</v>
      </c>
    </row>
    <row r="78" spans="1:15" x14ac:dyDescent="0.2">
      <c r="A78" s="336" t="s">
        <v>3</v>
      </c>
    </row>
    <row r="79" spans="1:15" x14ac:dyDescent="0.2">
      <c r="A79" s="336" t="s">
        <v>3</v>
      </c>
    </row>
    <row r="80" spans="1:15" x14ac:dyDescent="0.2">
      <c r="A80" s="336" t="s">
        <v>3</v>
      </c>
    </row>
    <row r="81" spans="1:1" x14ac:dyDescent="0.2">
      <c r="A81" s="336" t="s">
        <v>3</v>
      </c>
    </row>
    <row r="82" spans="1:1" x14ac:dyDescent="0.2">
      <c r="A82" s="336" t="s">
        <v>3</v>
      </c>
    </row>
    <row r="83" spans="1:1" x14ac:dyDescent="0.2">
      <c r="A83" s="336" t="s">
        <v>3</v>
      </c>
    </row>
    <row r="84" spans="1:1" x14ac:dyDescent="0.2">
      <c r="A84" s="336" t="s">
        <v>3</v>
      </c>
    </row>
    <row r="85" spans="1:1" x14ac:dyDescent="0.2">
      <c r="A85" s="336" t="s">
        <v>3</v>
      </c>
    </row>
    <row r="86" spans="1:1" x14ac:dyDescent="0.2">
      <c r="A86" s="336" t="s">
        <v>3</v>
      </c>
    </row>
    <row r="87" spans="1:1" x14ac:dyDescent="0.2">
      <c r="A87" s="336" t="s">
        <v>3</v>
      </c>
    </row>
    <row r="88" spans="1:1" x14ac:dyDescent="0.2">
      <c r="A88" s="336" t="s">
        <v>3</v>
      </c>
    </row>
    <row r="89" spans="1:1" x14ac:dyDescent="0.2">
      <c r="A89" s="336" t="s">
        <v>3</v>
      </c>
    </row>
    <row r="90" spans="1:1" x14ac:dyDescent="0.2">
      <c r="A90" s="33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90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E3" sqref="E3:K3"/>
    </sheetView>
  </sheetViews>
  <sheetFormatPr defaultColWidth="9.140625" defaultRowHeight="12" x14ac:dyDescent="0.2"/>
  <cols>
    <col min="1" max="2" width="1.7109375" style="240" customWidth="1"/>
    <col min="3" max="3" width="9.140625" style="240"/>
    <col min="4" max="4" width="23.85546875" style="240" customWidth="1"/>
    <col min="5" max="5" width="16.7109375" style="240" customWidth="1"/>
    <col min="6" max="6" width="0.85546875" style="240" customWidth="1"/>
    <col min="7" max="7" width="16.7109375" style="240" customWidth="1"/>
    <col min="8" max="8" width="0.85546875" style="240" customWidth="1"/>
    <col min="9" max="9" width="16.7109375" style="240" customWidth="1"/>
    <col min="10" max="10" width="0.85546875" style="240" customWidth="1"/>
    <col min="11" max="11" width="7.7109375" style="243" customWidth="1"/>
    <col min="12" max="12" width="0.85546875" style="240" customWidth="1"/>
    <col min="13" max="13" width="7.7109375" style="243" customWidth="1"/>
    <col min="14" max="14" width="0.85546875" style="243" customWidth="1"/>
    <col min="15" max="15" width="7.7109375" style="243" customWidth="1"/>
    <col min="16" max="16384" width="9.140625" style="240"/>
  </cols>
  <sheetData>
    <row r="1" spans="1:15" s="247" customFormat="1" ht="15" x14ac:dyDescent="0.25">
      <c r="E1" s="323" t="s">
        <v>1</v>
      </c>
      <c r="F1" s="323"/>
      <c r="G1" s="323"/>
      <c r="H1" s="323"/>
      <c r="I1" s="323"/>
      <c r="J1" s="323"/>
      <c r="K1" s="323"/>
      <c r="M1" s="248"/>
      <c r="N1" s="248"/>
      <c r="O1" s="248"/>
    </row>
    <row r="2" spans="1:15" s="247" customFormat="1" ht="15" x14ac:dyDescent="0.25">
      <c r="E2" s="323" t="s">
        <v>90</v>
      </c>
      <c r="F2" s="323"/>
      <c r="G2" s="323"/>
      <c r="H2" s="323"/>
      <c r="I2" s="323"/>
      <c r="J2" s="323"/>
      <c r="K2" s="323"/>
      <c r="M2" s="248"/>
      <c r="N2" s="248"/>
      <c r="O2" s="248"/>
    </row>
    <row r="3" spans="1:15" s="247" customFormat="1" ht="15" x14ac:dyDescent="0.25">
      <c r="E3" s="323" t="str">
        <f>"MONTH OF SEPTEMBER 2023"</f>
        <v>MONTH OF SEPTEMBER 2023</v>
      </c>
      <c r="F3" s="323"/>
      <c r="G3" s="323"/>
      <c r="H3" s="323"/>
      <c r="I3" s="323"/>
      <c r="J3" s="323"/>
      <c r="K3" s="323"/>
      <c r="M3" s="248"/>
      <c r="N3" s="248"/>
      <c r="O3" s="248"/>
    </row>
    <row r="4" spans="1:15" s="239" customFormat="1" ht="12.75" x14ac:dyDescent="0.2">
      <c r="E4" s="324" t="s">
        <v>2</v>
      </c>
      <c r="F4" s="324"/>
      <c r="G4" s="324"/>
      <c r="H4" s="324"/>
      <c r="I4" s="324"/>
      <c r="J4" s="324"/>
      <c r="K4" s="324"/>
      <c r="M4" s="249"/>
      <c r="N4" s="249"/>
      <c r="O4" s="249"/>
    </row>
    <row r="5" spans="1:15" x14ac:dyDescent="0.2">
      <c r="A5" s="240" t="s">
        <v>3</v>
      </c>
    </row>
    <row r="6" spans="1:15" s="250" customFormat="1" ht="12.75" x14ac:dyDescent="0.2">
      <c r="A6" s="250" t="s">
        <v>3</v>
      </c>
      <c r="I6" s="325" t="str">
        <f>"VARIANCE FROM 2022"</f>
        <v>VARIANCE FROM 2022</v>
      </c>
      <c r="J6" s="325"/>
      <c r="K6" s="325"/>
      <c r="M6" s="322" t="s">
        <v>92</v>
      </c>
      <c r="N6" s="322"/>
      <c r="O6" s="322"/>
    </row>
    <row r="7" spans="1:15" s="250" customFormat="1" ht="12.75" x14ac:dyDescent="0.2">
      <c r="E7" s="253" t="s">
        <v>4</v>
      </c>
      <c r="G7" s="253" t="s">
        <v>4</v>
      </c>
      <c r="I7" s="253"/>
      <c r="K7" s="254"/>
      <c r="M7" s="254"/>
      <c r="N7" s="255"/>
      <c r="O7" s="254"/>
    </row>
    <row r="8" spans="1:15" s="250" customFormat="1" ht="12.75" x14ac:dyDescent="0.2">
      <c r="A8" s="256" t="s">
        <v>91</v>
      </c>
      <c r="E8" s="251">
        <v>2023</v>
      </c>
      <c r="G8" s="251">
        <f>E8-1</f>
        <v>2022</v>
      </c>
      <c r="I8" s="251" t="s">
        <v>5</v>
      </c>
      <c r="K8" s="252" t="s">
        <v>0</v>
      </c>
      <c r="M8" s="252">
        <f>E8</f>
        <v>2023</v>
      </c>
      <c r="N8" s="255"/>
      <c r="O8" s="268">
        <f>G8</f>
        <v>2022</v>
      </c>
    </row>
    <row r="9" spans="1:15" x14ac:dyDescent="0.2">
      <c r="B9" s="241" t="s">
        <v>93</v>
      </c>
    </row>
    <row r="10" spans="1:15" x14ac:dyDescent="0.2">
      <c r="C10" s="240" t="s">
        <v>94</v>
      </c>
      <c r="E10" s="275">
        <v>35763745.420000002</v>
      </c>
      <c r="G10" s="275">
        <v>24995771.059999999</v>
      </c>
      <c r="H10" s="271"/>
      <c r="I10" s="275">
        <f>E10-G10</f>
        <v>10767974.360000003</v>
      </c>
      <c r="K10" s="242">
        <f>IF(G10=0,"n/a",IF(AND(I10/G10&lt;1,I10/G10&gt;-1),I10/G10,"n/a"))</f>
        <v>0.43079184611478849</v>
      </c>
      <c r="M10" s="245">
        <f>IF(E54=0,"n/a",E10/E54)</f>
        <v>1.9342359121544315</v>
      </c>
      <c r="N10" s="266"/>
      <c r="O10" s="245">
        <f>IF(G54=0,"n/a",G10/G54)</f>
        <v>1.7370303402827461</v>
      </c>
    </row>
    <row r="11" spans="1:15" x14ac:dyDescent="0.2">
      <c r="C11" s="240" t="s">
        <v>95</v>
      </c>
      <c r="E11" s="276">
        <v>16832767.460000001</v>
      </c>
      <c r="G11" s="276">
        <v>12535398.35</v>
      </c>
      <c r="H11" s="271"/>
      <c r="I11" s="276">
        <f>E11-G11</f>
        <v>4297369.1100000013</v>
      </c>
      <c r="K11" s="242">
        <f>IF(G11=0,"n/a",IF(AND(I11/G11&lt;1,I11/G11&gt;-1),I11/G11,"n/a"))</f>
        <v>0.34281871146121184</v>
      </c>
      <c r="M11" s="265">
        <f>IF(E55=0,"n/a",E11/E55)</f>
        <v>1.4068388255102944</v>
      </c>
      <c r="N11" s="266"/>
      <c r="O11" s="265">
        <f>IF(G55=0,"n/a",G11/G55)</f>
        <v>1.2053995520114098</v>
      </c>
    </row>
    <row r="12" spans="1:15" x14ac:dyDescent="0.2">
      <c r="C12" s="240" t="s">
        <v>96</v>
      </c>
      <c r="E12" s="277">
        <v>1089515.47</v>
      </c>
      <c r="G12" s="277">
        <v>976808.18</v>
      </c>
      <c r="H12" s="271"/>
      <c r="I12" s="277">
        <f>E12-G12</f>
        <v>112707.28999999992</v>
      </c>
      <c r="K12" s="257">
        <f>IF(G12=0,"n/a",IF(AND(I12/G12&lt;1,I12/G12&gt;-1),I12/G12,"n/a"))</f>
        <v>0.11538323726977789</v>
      </c>
      <c r="M12" s="267">
        <f>IF(E56=0,"n/a",E12/E56)</f>
        <v>1.1592193282049645</v>
      </c>
      <c r="N12" s="266"/>
      <c r="O12" s="267">
        <f>IF(G56=0,"n/a",G12/G56)</f>
        <v>0.95195455059311496</v>
      </c>
    </row>
    <row r="13" spans="1:15" ht="6.95" customHeight="1" x14ac:dyDescent="0.2">
      <c r="E13" s="276"/>
      <c r="G13" s="276"/>
      <c r="H13" s="271"/>
      <c r="I13" s="276"/>
      <c r="K13" s="244"/>
      <c r="M13" s="266"/>
      <c r="N13" s="266"/>
      <c r="O13" s="266"/>
    </row>
    <row r="14" spans="1:15" x14ac:dyDescent="0.2">
      <c r="C14" s="240" t="s">
        <v>97</v>
      </c>
      <c r="E14" s="276">
        <f>SUM(E10:E12)</f>
        <v>53686028.350000001</v>
      </c>
      <c r="G14" s="276">
        <f>SUM(G10:G12)</f>
        <v>38507977.589999996</v>
      </c>
      <c r="H14" s="271"/>
      <c r="I14" s="276">
        <f>E14-G14</f>
        <v>15178050.760000005</v>
      </c>
      <c r="K14" s="242">
        <f>IF(G14=0,"n/a",IF(AND(I14/G14&lt;1,I14/G14&gt;-1),I14/G14,"n/a"))</f>
        <v>0.39415341209561577</v>
      </c>
      <c r="M14" s="265">
        <f>IF(E58=0,"n/a",E14/E58)</f>
        <v>1.7100355792708224</v>
      </c>
      <c r="N14" s="266"/>
      <c r="O14" s="265">
        <f>IF(G58=0,"n/a",G14/G58)</f>
        <v>1.4916654515662631</v>
      </c>
    </row>
    <row r="15" spans="1:15" ht="6.95" customHeight="1" x14ac:dyDescent="0.2">
      <c r="E15" s="276"/>
      <c r="G15" s="276"/>
      <c r="H15" s="271"/>
      <c r="I15" s="276"/>
      <c r="K15" s="244"/>
      <c r="M15" s="266"/>
      <c r="N15" s="266"/>
      <c r="O15" s="266"/>
    </row>
    <row r="16" spans="1:15" x14ac:dyDescent="0.2">
      <c r="B16" s="241" t="s">
        <v>98</v>
      </c>
      <c r="E16" s="276"/>
      <c r="G16" s="276"/>
      <c r="H16" s="271"/>
      <c r="I16" s="276"/>
      <c r="K16" s="244"/>
      <c r="M16" s="266"/>
      <c r="N16" s="266"/>
      <c r="O16" s="266"/>
    </row>
    <row r="17" spans="2:15" x14ac:dyDescent="0.2">
      <c r="C17" s="240" t="s">
        <v>99</v>
      </c>
      <c r="E17" s="276">
        <v>1517179.82</v>
      </c>
      <c r="G17" s="276">
        <v>1105787.47</v>
      </c>
      <c r="H17" s="271"/>
      <c r="I17" s="276">
        <f>E17-G17</f>
        <v>411392.35000000009</v>
      </c>
      <c r="K17" s="242">
        <f>IF(G17=0,"n/a",IF(AND(I17/G17&lt;1,I17/G17&gt;-1),I17/G17,"n/a"))</f>
        <v>0.37203564080898849</v>
      </c>
      <c r="M17" s="265">
        <f>IF(E61=0,"n/a",E17/E61)</f>
        <v>0.81279478801534966</v>
      </c>
      <c r="N17" s="266"/>
      <c r="O17" s="265">
        <f>IF(G61=0,"n/a",G17/G61)</f>
        <v>0.59730161696749051</v>
      </c>
    </row>
    <row r="18" spans="2:15" x14ac:dyDescent="0.2">
      <c r="C18" s="240" t="s">
        <v>100</v>
      </c>
      <c r="E18" s="277">
        <v>430670.3</v>
      </c>
      <c r="F18" s="259"/>
      <c r="G18" s="277">
        <v>176644.76</v>
      </c>
      <c r="H18" s="274"/>
      <c r="I18" s="277">
        <f>E18-G18</f>
        <v>254025.53999999998</v>
      </c>
      <c r="K18" s="257" t="str">
        <f>IF(G18=0,"n/a",IF(AND(I18/G18&lt;1,I18/G18&gt;-1),I18/G18,"n/a"))</f>
        <v>n/a</v>
      </c>
      <c r="M18" s="267">
        <f>IF(E62=0,"n/a",E18/E62)</f>
        <v>0.72788936400358306</v>
      </c>
      <c r="N18" s="266"/>
      <c r="O18" s="267">
        <f>IF(G62=0,"n/a",G18/G62)</f>
        <v>0.57962684902019979</v>
      </c>
    </row>
    <row r="19" spans="2:15" ht="6.95" customHeight="1" x14ac:dyDescent="0.2">
      <c r="E19" s="276"/>
      <c r="F19" s="258"/>
      <c r="G19" s="276"/>
      <c r="H19" s="272"/>
      <c r="I19" s="276"/>
      <c r="K19" s="244"/>
      <c r="M19" s="266"/>
      <c r="N19" s="266"/>
      <c r="O19" s="266"/>
    </row>
    <row r="20" spans="2:15" x14ac:dyDescent="0.2">
      <c r="C20" s="240" t="s">
        <v>101</v>
      </c>
      <c r="E20" s="277">
        <f>SUM(E17:E18)</f>
        <v>1947850.12</v>
      </c>
      <c r="F20" s="259"/>
      <c r="G20" s="277">
        <f>SUM(G17:G18)</f>
        <v>1282432.23</v>
      </c>
      <c r="H20" s="274"/>
      <c r="I20" s="277">
        <f>E20-G20</f>
        <v>665417.89000000013</v>
      </c>
      <c r="K20" s="257">
        <f>IF(G20=0,"n/a",IF(AND(I20/G20&lt;1,I20/G20&gt;-1),I20/G20,"n/a"))</f>
        <v>0.51887177695151976</v>
      </c>
      <c r="M20" s="267">
        <f>IF(E64=0,"n/a",E20/E64)</f>
        <v>0.7923594562238564</v>
      </c>
      <c r="N20" s="266"/>
      <c r="O20" s="267">
        <f>IF(G64=0,"n/a",G20/G64)</f>
        <v>0.59480331493403937</v>
      </c>
    </row>
    <row r="21" spans="2:15" ht="6.95" customHeight="1" x14ac:dyDescent="0.2">
      <c r="E21" s="276"/>
      <c r="F21" s="258"/>
      <c r="G21" s="276"/>
      <c r="H21" s="272"/>
      <c r="I21" s="276"/>
      <c r="K21" s="244"/>
      <c r="M21" s="266"/>
      <c r="N21" s="266"/>
      <c r="O21" s="266"/>
    </row>
    <row r="22" spans="2:15" x14ac:dyDescent="0.2">
      <c r="C22" s="240" t="s">
        <v>102</v>
      </c>
      <c r="E22" s="276">
        <f>E14+E20</f>
        <v>55633878.469999999</v>
      </c>
      <c r="F22" s="258"/>
      <c r="G22" s="276">
        <f>G14+G20</f>
        <v>39790409.819999993</v>
      </c>
      <c r="H22" s="272"/>
      <c r="I22" s="276">
        <f>E22-G22</f>
        <v>15843468.650000006</v>
      </c>
      <c r="K22" s="242">
        <f>IF(G22=0,"n/a",IF(AND(I22/G22&lt;1,I22/G22&gt;-1),I22/G22,"n/a"))</f>
        <v>0.39817304525565728</v>
      </c>
      <c r="M22" s="265">
        <f>IF(E66=0,"n/a",E22/E66)</f>
        <v>1.6433969784517615</v>
      </c>
      <c r="N22" s="266"/>
      <c r="O22" s="265">
        <f>IF(G66=0,"n/a",G22/G66)</f>
        <v>1.4225347133863389</v>
      </c>
    </row>
    <row r="23" spans="2:15" ht="6.95" customHeight="1" x14ac:dyDescent="0.2">
      <c r="E23" s="276"/>
      <c r="F23" s="258"/>
      <c r="G23" s="276"/>
      <c r="H23" s="272"/>
      <c r="I23" s="276"/>
      <c r="K23" s="244"/>
      <c r="M23" s="266"/>
      <c r="N23" s="266"/>
      <c r="O23" s="266"/>
    </row>
    <row r="24" spans="2:15" x14ac:dyDescent="0.2">
      <c r="B24" s="241" t="s">
        <v>103</v>
      </c>
      <c r="E24" s="276"/>
      <c r="F24" s="258"/>
      <c r="G24" s="276"/>
      <c r="H24" s="272"/>
      <c r="I24" s="276"/>
      <c r="K24" s="244"/>
      <c r="M24" s="266"/>
      <c r="N24" s="266"/>
      <c r="O24" s="266"/>
    </row>
    <row r="25" spans="2:15" x14ac:dyDescent="0.2">
      <c r="C25" s="240" t="s">
        <v>104</v>
      </c>
      <c r="E25" s="276">
        <v>690876.82</v>
      </c>
      <c r="F25" s="258"/>
      <c r="G25" s="276">
        <v>525117.6</v>
      </c>
      <c r="H25" s="272"/>
      <c r="I25" s="276">
        <f>E25-G25</f>
        <v>165759.21999999997</v>
      </c>
      <c r="K25" s="242">
        <f>IF(G25=0,"n/a",IF(AND(I25/G25&lt;1,I25/G25&gt;-1),I25/G25,"n/a"))</f>
        <v>0.31566113952379427</v>
      </c>
      <c r="M25" s="265">
        <f>IF(E69=0,"n/a",E25/E69)</f>
        <v>0.19827513499319113</v>
      </c>
      <c r="N25" s="266"/>
      <c r="O25" s="265">
        <f>IF(G69=0,"n/a",G25/G69)</f>
        <v>0.14841825808422784</v>
      </c>
    </row>
    <row r="26" spans="2:15" x14ac:dyDescent="0.2">
      <c r="C26" s="240" t="s">
        <v>105</v>
      </c>
      <c r="E26" s="277">
        <v>1121671.3999999999</v>
      </c>
      <c r="F26" s="259"/>
      <c r="G26" s="277">
        <v>1043995.26</v>
      </c>
      <c r="H26" s="274"/>
      <c r="I26" s="277">
        <f>E26-G26</f>
        <v>77676.139999999898</v>
      </c>
      <c r="K26" s="257">
        <f>IF(G26=0,"n/a",IF(AND(I26/G26&lt;1,I26/G26&gt;-1),I26/G26,"n/a"))</f>
        <v>7.4402770755874786E-2</v>
      </c>
      <c r="M26" s="267">
        <f>IF(E70=0,"n/a",E26/E70)</f>
        <v>0.10489470610965287</v>
      </c>
      <c r="N26" s="266"/>
      <c r="O26" s="267">
        <f>IF(G70=0,"n/a",G26/G70)</f>
        <v>8.3971022144320784E-2</v>
      </c>
    </row>
    <row r="27" spans="2:15" ht="6.95" customHeight="1" x14ac:dyDescent="0.2">
      <c r="E27" s="276"/>
      <c r="F27" s="258"/>
      <c r="G27" s="276"/>
      <c r="H27" s="272"/>
      <c r="I27" s="276"/>
      <c r="K27" s="244"/>
      <c r="M27" s="266"/>
      <c r="N27" s="266"/>
      <c r="O27" s="266"/>
    </row>
    <row r="28" spans="2:15" x14ac:dyDescent="0.2">
      <c r="C28" s="240" t="s">
        <v>106</v>
      </c>
      <c r="E28" s="277">
        <f>SUM(E25:E26)</f>
        <v>1812548.2199999997</v>
      </c>
      <c r="F28" s="259"/>
      <c r="G28" s="277">
        <f>SUM(G25:G26)</f>
        <v>1569112.8599999999</v>
      </c>
      <c r="H28" s="274"/>
      <c r="I28" s="277">
        <f>E28-G28</f>
        <v>243435.35999999987</v>
      </c>
      <c r="K28" s="257">
        <f>IF(G28=0,"n/a",IF(AND(I28/G28&lt;1,I28/G28&gt;-1),I28/G28,"n/a"))</f>
        <v>0.1551420335692105</v>
      </c>
      <c r="M28" s="267">
        <f>IF(E72=0,"n/a",E28/E72)</f>
        <v>0.12784462378814454</v>
      </c>
      <c r="N28" s="266"/>
      <c r="O28" s="267">
        <f>IF(G72=0,"n/a",G28/G72)</f>
        <v>9.8248261196600281E-2</v>
      </c>
    </row>
    <row r="29" spans="2:15" ht="6.95" customHeight="1" x14ac:dyDescent="0.2">
      <c r="E29" s="276"/>
      <c r="F29" s="258"/>
      <c r="G29" s="276"/>
      <c r="H29" s="272"/>
      <c r="I29" s="276"/>
      <c r="K29" s="244"/>
      <c r="M29" s="266"/>
      <c r="N29" s="266"/>
      <c r="O29" s="266"/>
    </row>
    <row r="30" spans="2:15" x14ac:dyDescent="0.2">
      <c r="C30" s="240" t="s">
        <v>107</v>
      </c>
      <c r="E30" s="276">
        <f>E22+E28</f>
        <v>57446426.689999998</v>
      </c>
      <c r="F30" s="258"/>
      <c r="G30" s="276">
        <f>G22+G28</f>
        <v>41359522.679999992</v>
      </c>
      <c r="H30" s="272"/>
      <c r="I30" s="276">
        <f>E30-G30</f>
        <v>16086904.010000005</v>
      </c>
      <c r="K30" s="242">
        <f>IF(G30=0,"n/a",IF(AND(I30/G30&lt;1,I30/G30&gt;-1),I30/G30,"n/a"))</f>
        <v>0.38895284489777404</v>
      </c>
      <c r="M30" s="245">
        <f>IF(E74=0,"n/a",E30/E74)</f>
        <v>1.1960351184832356</v>
      </c>
      <c r="N30" s="266"/>
      <c r="O30" s="245">
        <f>IF(G74=0,"n/a",G30/G74)</f>
        <v>0.94122166019080011</v>
      </c>
    </row>
    <row r="31" spans="2:15" ht="6.95" customHeight="1" x14ac:dyDescent="0.2">
      <c r="E31" s="276"/>
      <c r="F31" s="258"/>
      <c r="G31" s="276"/>
      <c r="H31" s="272"/>
      <c r="I31" s="276"/>
      <c r="K31" s="244"/>
      <c r="M31" s="246"/>
      <c r="N31" s="246"/>
      <c r="O31" s="246"/>
    </row>
    <row r="32" spans="2:15" x14ac:dyDescent="0.2">
      <c r="B32" s="269" t="s">
        <v>116</v>
      </c>
      <c r="E32" s="276">
        <v>1345879.19</v>
      </c>
      <c r="F32" s="258"/>
      <c r="G32" s="276">
        <v>1977042.88</v>
      </c>
      <c r="H32" s="272"/>
      <c r="I32" s="276">
        <f>E32-G32</f>
        <v>-631163.68999999994</v>
      </c>
      <c r="K32" s="242">
        <f>IF(G32=0,"n/a",IF(AND(I32/G32&lt;1,I32/G32&gt;-1),I32/G32,"n/a"))</f>
        <v>-0.31924633319030488</v>
      </c>
      <c r="M32" s="246"/>
      <c r="N32" s="246"/>
      <c r="O32" s="246"/>
    </row>
    <row r="33" spans="2:15" x14ac:dyDescent="0.2">
      <c r="B33" s="269" t="s">
        <v>108</v>
      </c>
      <c r="E33" s="277">
        <v>666995.79</v>
      </c>
      <c r="F33" s="259"/>
      <c r="G33" s="277">
        <v>2197063.38</v>
      </c>
      <c r="H33" s="274"/>
      <c r="I33" s="277">
        <f>E33-G33</f>
        <v>-1530067.5899999999</v>
      </c>
      <c r="K33" s="257">
        <f>IF(G33=0,"n/a",IF(AND(I33/G33&lt;1,I33/G33&gt;-1),I33/G33,"n/a"))</f>
        <v>-0.69641486173239109</v>
      </c>
    </row>
    <row r="34" spans="2:15" ht="6.95" customHeight="1" x14ac:dyDescent="0.2">
      <c r="E34" s="270"/>
      <c r="F34" s="258"/>
      <c r="G34" s="270"/>
      <c r="H34" s="272"/>
      <c r="I34" s="270"/>
      <c r="K34" s="261"/>
      <c r="M34" s="246"/>
      <c r="N34" s="246"/>
      <c r="O34" s="246"/>
    </row>
    <row r="35" spans="2:15" ht="12.75" thickBot="1" x14ac:dyDescent="0.25">
      <c r="C35" s="240" t="s">
        <v>109</v>
      </c>
      <c r="E35" s="278">
        <f>SUM(E30:E33)</f>
        <v>59459301.669999994</v>
      </c>
      <c r="F35" s="258"/>
      <c r="G35" s="278">
        <f>SUM(G30:G33)</f>
        <v>45533628.939999998</v>
      </c>
      <c r="H35" s="272"/>
      <c r="I35" s="278">
        <f>E35-G35</f>
        <v>13925672.729999997</v>
      </c>
      <c r="K35" s="260">
        <f>IF(G35=0,"n/a",IF(AND(I35/G35&lt;1,I35/G35&gt;-1),I35/G35,"n/a"))</f>
        <v>0.30583270110866762</v>
      </c>
    </row>
    <row r="36" spans="2:15" ht="12.75" thickTop="1" x14ac:dyDescent="0.2">
      <c r="E36" s="270"/>
      <c r="G36" s="270"/>
      <c r="H36" s="271"/>
      <c r="I36" s="270"/>
    </row>
    <row r="37" spans="2:15" x14ac:dyDescent="0.2">
      <c r="C37" s="281" t="s">
        <v>121</v>
      </c>
      <c r="E37" s="275">
        <v>2453932.19</v>
      </c>
      <c r="F37" s="279"/>
      <c r="G37" s="275">
        <v>1926472.92</v>
      </c>
      <c r="H37" s="271"/>
      <c r="I37" s="270"/>
    </row>
    <row r="38" spans="2:15" x14ac:dyDescent="0.2">
      <c r="C38" s="281" t="s">
        <v>125</v>
      </c>
      <c r="E38" s="276">
        <v>21590221.789999999</v>
      </c>
      <c r="G38" s="276">
        <v>12404404.76</v>
      </c>
      <c r="H38" s="271"/>
      <c r="I38" s="270"/>
    </row>
    <row r="39" spans="2:15" x14ac:dyDescent="0.2">
      <c r="C39" s="281" t="s">
        <v>126</v>
      </c>
      <c r="E39" s="276">
        <v>521298.22</v>
      </c>
      <c r="G39" s="276">
        <v>33696.65</v>
      </c>
      <c r="H39" s="271"/>
      <c r="I39" s="270"/>
    </row>
    <row r="40" spans="2:15" x14ac:dyDescent="0.2">
      <c r="C40" s="281" t="s">
        <v>127</v>
      </c>
      <c r="E40" s="276">
        <v>845222.41</v>
      </c>
      <c r="G40" s="276">
        <v>698022.16</v>
      </c>
      <c r="H40" s="271"/>
      <c r="I40" s="270"/>
    </row>
    <row r="41" spans="2:15" x14ac:dyDescent="0.2">
      <c r="C41" s="281" t="s">
        <v>117</v>
      </c>
      <c r="E41" s="276">
        <v>966413.76</v>
      </c>
      <c r="G41" s="276">
        <v>655277.19999999995</v>
      </c>
      <c r="H41" s="271"/>
      <c r="I41" s="270"/>
    </row>
    <row r="42" spans="2:15" x14ac:dyDescent="0.2">
      <c r="C42" s="281" t="s">
        <v>118</v>
      </c>
      <c r="E42" s="276">
        <v>96057.64</v>
      </c>
      <c r="G42" s="276">
        <v>91266.44</v>
      </c>
      <c r="H42" s="271"/>
      <c r="I42" s="270"/>
    </row>
    <row r="43" spans="2:15" x14ac:dyDescent="0.2">
      <c r="C43" s="281" t="s">
        <v>119</v>
      </c>
      <c r="E43" s="276">
        <v>775870.78</v>
      </c>
      <c r="G43" s="276">
        <v>646438.57999999996</v>
      </c>
      <c r="H43" s="271"/>
      <c r="I43" s="270"/>
    </row>
    <row r="44" spans="2:15" x14ac:dyDescent="0.2">
      <c r="C44" s="281" t="s">
        <v>129</v>
      </c>
      <c r="E44" s="276">
        <v>100102.33</v>
      </c>
      <c r="G44" s="276">
        <v>0</v>
      </c>
      <c r="H44" s="271"/>
      <c r="I44" s="270"/>
    </row>
    <row r="45" spans="2:15" x14ac:dyDescent="0.2">
      <c r="C45" s="281" t="s">
        <v>130</v>
      </c>
      <c r="E45" s="276">
        <v>-53349.66</v>
      </c>
      <c r="G45" s="276">
        <v>0</v>
      </c>
      <c r="H45" s="271"/>
      <c r="I45" s="270"/>
    </row>
    <row r="46" spans="2:15" x14ac:dyDescent="0.2">
      <c r="C46" s="281" t="s">
        <v>131</v>
      </c>
      <c r="E46" s="276">
        <v>1525930.87</v>
      </c>
      <c r="G46" s="276">
        <v>0</v>
      </c>
      <c r="H46" s="271"/>
      <c r="I46" s="270"/>
    </row>
    <row r="47" spans="2:15" x14ac:dyDescent="0.2">
      <c r="C47" s="281" t="s">
        <v>128</v>
      </c>
      <c r="E47" s="276">
        <v>-133819.68</v>
      </c>
      <c r="G47" s="276">
        <v>398061.72</v>
      </c>
      <c r="H47" s="271"/>
      <c r="I47" s="270"/>
    </row>
    <row r="48" spans="2:15" x14ac:dyDescent="0.2">
      <c r="C48" s="281" t="s">
        <v>120</v>
      </c>
      <c r="E48" s="276">
        <v>1159.99</v>
      </c>
      <c r="G48" s="276">
        <v>660887.11</v>
      </c>
      <c r="H48" s="271"/>
      <c r="I48" s="270"/>
    </row>
    <row r="49" spans="1:15" x14ac:dyDescent="0.2">
      <c r="C49" s="281" t="s">
        <v>123</v>
      </c>
      <c r="E49" s="276">
        <v>0</v>
      </c>
      <c r="G49" s="276">
        <v>90253.21</v>
      </c>
      <c r="H49" s="271"/>
      <c r="I49" s="270"/>
    </row>
    <row r="50" spans="1:15" x14ac:dyDescent="0.2">
      <c r="C50" s="281" t="s">
        <v>124</v>
      </c>
      <c r="E50" s="276">
        <v>-45101.19</v>
      </c>
      <c r="G50" s="276">
        <v>-37656.300000000003</v>
      </c>
      <c r="H50" s="271"/>
      <c r="I50" s="270"/>
    </row>
    <row r="51" spans="1:15" x14ac:dyDescent="0.2">
      <c r="E51" s="262"/>
      <c r="G51" s="271"/>
      <c r="H51" s="271"/>
      <c r="I51" s="271"/>
    </row>
    <row r="52" spans="1:15" ht="12.75" x14ac:dyDescent="0.2">
      <c r="A52" s="256" t="s">
        <v>110</v>
      </c>
      <c r="E52" s="262"/>
      <c r="G52" s="271"/>
      <c r="H52" s="271"/>
      <c r="I52" s="271"/>
    </row>
    <row r="53" spans="1:15" x14ac:dyDescent="0.2">
      <c r="B53" s="241" t="s">
        <v>111</v>
      </c>
      <c r="E53" s="262"/>
      <c r="G53" s="271"/>
      <c r="H53" s="271"/>
      <c r="I53" s="271"/>
    </row>
    <row r="54" spans="1:15" x14ac:dyDescent="0.2">
      <c r="C54" s="240" t="s">
        <v>94</v>
      </c>
      <c r="E54" s="262">
        <v>18489857</v>
      </c>
      <c r="G54" s="262">
        <v>14389945</v>
      </c>
      <c r="H54" s="273"/>
      <c r="I54" s="262">
        <f>E54-G54</f>
        <v>4099912</v>
      </c>
      <c r="K54" s="242">
        <f>IF(G54=0,"n/a",IF(AND(I54/G54&lt;1,I54/G54&gt;-1),I54/G54,"n/a"))</f>
        <v>0.28491505700681968</v>
      </c>
    </row>
    <row r="55" spans="1:15" x14ac:dyDescent="0.2">
      <c r="C55" s="240" t="s">
        <v>95</v>
      </c>
      <c r="E55" s="262">
        <v>11964958</v>
      </c>
      <c r="G55" s="262">
        <v>10399372</v>
      </c>
      <c r="H55" s="273"/>
      <c r="I55" s="262">
        <f>E55-G55</f>
        <v>1565586</v>
      </c>
      <c r="K55" s="242">
        <f>IF(G55=0,"n/a",IF(AND(I55/G55&lt;1,I55/G55&gt;-1),I55/G55,"n/a"))</f>
        <v>0.15054620605936589</v>
      </c>
    </row>
    <row r="56" spans="1:15" x14ac:dyDescent="0.2">
      <c r="C56" s="240" t="s">
        <v>96</v>
      </c>
      <c r="E56" s="263">
        <v>939870</v>
      </c>
      <c r="G56" s="263">
        <v>1026108</v>
      </c>
      <c r="H56" s="273"/>
      <c r="I56" s="263">
        <f>E56-G56</f>
        <v>-86238</v>
      </c>
      <c r="K56" s="257">
        <f>IF(G56=0,"n/a",IF(AND(I56/G56&lt;1,I56/G56&gt;-1),I56/G56,"n/a"))</f>
        <v>-8.4043784864751073E-2</v>
      </c>
    </row>
    <row r="57" spans="1:15" ht="6.95" customHeight="1" x14ac:dyDescent="0.2">
      <c r="E57" s="262"/>
      <c r="G57" s="262"/>
      <c r="H57" s="271"/>
      <c r="I57" s="262"/>
      <c r="K57" s="244"/>
      <c r="M57" s="246"/>
      <c r="N57" s="246"/>
      <c r="O57" s="246"/>
    </row>
    <row r="58" spans="1:15" x14ac:dyDescent="0.2">
      <c r="C58" s="240" t="s">
        <v>97</v>
      </c>
      <c r="E58" s="262">
        <f>SUM(E54:E56)</f>
        <v>31394685</v>
      </c>
      <c r="G58" s="262">
        <f>SUM(G54:G56)</f>
        <v>25815425</v>
      </c>
      <c r="H58" s="273"/>
      <c r="I58" s="262">
        <f>E58-G58</f>
        <v>5579260</v>
      </c>
      <c r="K58" s="242">
        <f>IF(G58=0,"n/a",IF(AND(I58/G58&lt;1,I58/G58&gt;-1),I58/G58,"n/a"))</f>
        <v>0.21612117561496663</v>
      </c>
    </row>
    <row r="59" spans="1:15" ht="6.95" customHeight="1" x14ac:dyDescent="0.2">
      <c r="E59" s="262"/>
      <c r="G59" s="262"/>
      <c r="H59" s="271"/>
      <c r="I59" s="262"/>
      <c r="K59" s="244"/>
      <c r="M59" s="246"/>
      <c r="N59" s="246"/>
      <c r="O59" s="246"/>
    </row>
    <row r="60" spans="1:15" x14ac:dyDescent="0.2">
      <c r="B60" s="241" t="s">
        <v>112</v>
      </c>
      <c r="E60" s="262"/>
      <c r="G60" s="262"/>
      <c r="H60" s="273"/>
      <c r="I60" s="262"/>
      <c r="K60" s="244"/>
    </row>
    <row r="61" spans="1:15" x14ac:dyDescent="0.2">
      <c r="C61" s="240" t="s">
        <v>99</v>
      </c>
      <c r="E61" s="262">
        <v>1866621</v>
      </c>
      <c r="G61" s="262">
        <v>1851305</v>
      </c>
      <c r="H61" s="273"/>
      <c r="I61" s="262">
        <f>E61-G61</f>
        <v>15316</v>
      </c>
      <c r="K61" s="242">
        <f>IF(G61=0,"n/a",IF(AND(I61/G61&lt;1,I61/G61&gt;-1),I61/G61,"n/a"))</f>
        <v>8.2730830414221319E-3</v>
      </c>
    </row>
    <row r="62" spans="1:15" x14ac:dyDescent="0.2">
      <c r="C62" s="240" t="s">
        <v>100</v>
      </c>
      <c r="E62" s="263">
        <v>591670</v>
      </c>
      <c r="G62" s="263">
        <v>304756</v>
      </c>
      <c r="H62" s="273"/>
      <c r="I62" s="263">
        <f>E62-G62</f>
        <v>286914</v>
      </c>
      <c r="K62" s="257">
        <f>IF(G62=0,"n/a",IF(AND(I62/G62&lt;1,I62/G62&gt;-1),I62/G62,"n/a"))</f>
        <v>0.94145480318681174</v>
      </c>
    </row>
    <row r="63" spans="1:15" ht="6.95" customHeight="1" x14ac:dyDescent="0.2">
      <c r="E63" s="262"/>
      <c r="G63" s="262"/>
      <c r="H63" s="271"/>
      <c r="I63" s="262"/>
      <c r="K63" s="244"/>
      <c r="M63" s="246"/>
      <c r="N63" s="246"/>
      <c r="O63" s="246"/>
    </row>
    <row r="64" spans="1:15" x14ac:dyDescent="0.2">
      <c r="C64" s="240" t="s">
        <v>101</v>
      </c>
      <c r="E64" s="263">
        <f>SUM(E61:E62)</f>
        <v>2458291</v>
      </c>
      <c r="G64" s="263">
        <f>SUM(G61:G62)</f>
        <v>2156061</v>
      </c>
      <c r="H64" s="273"/>
      <c r="I64" s="263">
        <f>E64-G64</f>
        <v>302230</v>
      </c>
      <c r="K64" s="257">
        <f>IF(G64=0,"n/a",IF(AND(I64/G64&lt;1,I64/G64&gt;-1),I64/G64,"n/a"))</f>
        <v>0.1401769244933237</v>
      </c>
    </row>
    <row r="65" spans="1:15" ht="6.95" customHeight="1" x14ac:dyDescent="0.2">
      <c r="E65" s="262"/>
      <c r="G65" s="262"/>
      <c r="H65" s="271"/>
      <c r="I65" s="262"/>
      <c r="K65" s="244"/>
      <c r="M65" s="246"/>
      <c r="N65" s="246"/>
      <c r="O65" s="246"/>
    </row>
    <row r="66" spans="1:15" x14ac:dyDescent="0.2">
      <c r="C66" s="240" t="s">
        <v>113</v>
      </c>
      <c r="E66" s="262">
        <f>E58+E64</f>
        <v>33852976</v>
      </c>
      <c r="G66" s="262">
        <f>G58+G64</f>
        <v>27971486</v>
      </c>
      <c r="H66" s="273"/>
      <c r="I66" s="262">
        <f>E66-G66</f>
        <v>5881490</v>
      </c>
      <c r="K66" s="242">
        <f>IF(G66=0,"n/a",IF(AND(I66/G66&lt;1,I66/G66&gt;-1),I66/G66,"n/a"))</f>
        <v>0.21026734153487592</v>
      </c>
    </row>
    <row r="67" spans="1:15" ht="6.95" customHeight="1" x14ac:dyDescent="0.2">
      <c r="E67" s="262"/>
      <c r="G67" s="262"/>
      <c r="H67" s="271"/>
      <c r="I67" s="262"/>
      <c r="K67" s="244"/>
      <c r="M67" s="246"/>
      <c r="N67" s="246"/>
      <c r="O67" s="246"/>
    </row>
    <row r="68" spans="1:15" x14ac:dyDescent="0.2">
      <c r="B68" s="241" t="s">
        <v>114</v>
      </c>
      <c r="E68" s="262"/>
      <c r="G68" s="262"/>
      <c r="H68" s="273"/>
      <c r="I68" s="262"/>
      <c r="K68" s="244"/>
    </row>
    <row r="69" spans="1:15" x14ac:dyDescent="0.2">
      <c r="C69" s="240" t="s">
        <v>104</v>
      </c>
      <c r="E69" s="262">
        <v>3484435</v>
      </c>
      <c r="G69" s="262">
        <v>3538093</v>
      </c>
      <c r="H69" s="273"/>
      <c r="I69" s="262">
        <f>E69-G69</f>
        <v>-53658</v>
      </c>
      <c r="K69" s="242">
        <f>IF(G69=0,"n/a",IF(AND(I69/G69&lt;1,I69/G69&gt;-1),I69/G69,"n/a"))</f>
        <v>-1.5165796942024983E-2</v>
      </c>
    </row>
    <row r="70" spans="1:15" x14ac:dyDescent="0.2">
      <c r="C70" s="240" t="s">
        <v>105</v>
      </c>
      <c r="E70" s="263">
        <v>10693308</v>
      </c>
      <c r="G70" s="263">
        <v>12432804</v>
      </c>
      <c r="H70" s="273"/>
      <c r="I70" s="263">
        <f>E70-G70</f>
        <v>-1739496</v>
      </c>
      <c r="K70" s="257">
        <f>IF(G70=0,"n/a",IF(AND(I70/G70&lt;1,I70/G70&gt;-1),I70/G70,"n/a"))</f>
        <v>-0.13991180107078016</v>
      </c>
    </row>
    <row r="71" spans="1:15" ht="6.95" customHeight="1" x14ac:dyDescent="0.2">
      <c r="E71" s="262"/>
      <c r="G71" s="262"/>
      <c r="H71" s="271"/>
      <c r="I71" s="262"/>
      <c r="K71" s="244"/>
      <c r="M71" s="246"/>
      <c r="N71" s="246"/>
      <c r="O71" s="246"/>
    </row>
    <row r="72" spans="1:15" x14ac:dyDescent="0.2">
      <c r="C72" s="240" t="s">
        <v>106</v>
      </c>
      <c r="E72" s="263">
        <f>SUM(E69:E70)</f>
        <v>14177743</v>
      </c>
      <c r="G72" s="263">
        <f>SUM(G69:G70)</f>
        <v>15970897</v>
      </c>
      <c r="H72" s="273"/>
      <c r="I72" s="263">
        <f>E72-G72</f>
        <v>-1793154</v>
      </c>
      <c r="K72" s="257">
        <f>IF(G72=0,"n/a",IF(AND(I72/G72&lt;1,I72/G72&gt;-1),I72/G72,"n/a"))</f>
        <v>-0.11227634866094247</v>
      </c>
    </row>
    <row r="73" spans="1:15" ht="6.95" customHeight="1" x14ac:dyDescent="0.2">
      <c r="E73" s="262"/>
      <c r="G73" s="262"/>
      <c r="H73" s="271"/>
      <c r="I73" s="262"/>
      <c r="K73" s="244"/>
      <c r="M73" s="246"/>
      <c r="N73" s="246"/>
      <c r="O73" s="246"/>
    </row>
    <row r="74" spans="1:15" ht="12.75" thickBot="1" x14ac:dyDescent="0.25">
      <c r="C74" s="240" t="s">
        <v>115</v>
      </c>
      <c r="E74" s="264">
        <f>E66+E72</f>
        <v>48030719</v>
      </c>
      <c r="G74" s="264">
        <f>G66+G72</f>
        <v>43942383</v>
      </c>
      <c r="H74" s="273"/>
      <c r="I74" s="264">
        <f>E74-G74</f>
        <v>4088336</v>
      </c>
      <c r="K74" s="260">
        <f>IF(G74=0,"n/a",IF(AND(I74/G74&lt;1,I74/G74&gt;-1),I74/G74,"n/a"))</f>
        <v>9.3038559151423353E-2</v>
      </c>
    </row>
    <row r="75" spans="1:15" ht="12.75" thickTop="1" x14ac:dyDescent="0.2"/>
    <row r="76" spans="1:15" ht="12.75" customHeight="1" x14ac:dyDescent="0.2">
      <c r="A76" s="240" t="s">
        <v>3</v>
      </c>
      <c r="C76" s="282" t="s">
        <v>122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 s="240" t="s">
        <v>3</v>
      </c>
    </row>
    <row r="78" spans="1:15" x14ac:dyDescent="0.2">
      <c r="A78" s="240" t="s">
        <v>3</v>
      </c>
    </row>
    <row r="79" spans="1:15" x14ac:dyDescent="0.2">
      <c r="A79" s="240" t="s">
        <v>3</v>
      </c>
    </row>
    <row r="80" spans="1:15" x14ac:dyDescent="0.2">
      <c r="A80" s="240" t="s">
        <v>3</v>
      </c>
    </row>
    <row r="81" spans="1:1" x14ac:dyDescent="0.2">
      <c r="A81" s="240" t="s">
        <v>3</v>
      </c>
    </row>
    <row r="82" spans="1:1" x14ac:dyDescent="0.2">
      <c r="A82" s="240" t="s">
        <v>3</v>
      </c>
    </row>
    <row r="83" spans="1:1" x14ac:dyDescent="0.2">
      <c r="A83" s="240" t="s">
        <v>3</v>
      </c>
    </row>
    <row r="84" spans="1:1" x14ac:dyDescent="0.2">
      <c r="A84" s="240" t="s">
        <v>3</v>
      </c>
    </row>
    <row r="85" spans="1:1" x14ac:dyDescent="0.2">
      <c r="A85" s="240" t="s">
        <v>3</v>
      </c>
    </row>
    <row r="86" spans="1:1" x14ac:dyDescent="0.2">
      <c r="A86" s="240" t="s">
        <v>3</v>
      </c>
    </row>
    <row r="87" spans="1:1" x14ac:dyDescent="0.2">
      <c r="A87" s="240" t="s">
        <v>3</v>
      </c>
    </row>
    <row r="88" spans="1:1" x14ac:dyDescent="0.2">
      <c r="A88" s="240" t="s">
        <v>3</v>
      </c>
    </row>
    <row r="89" spans="1:1" x14ac:dyDescent="0.2">
      <c r="A89" s="240" t="s">
        <v>3</v>
      </c>
    </row>
    <row r="90" spans="1:1" x14ac:dyDescent="0.2">
      <c r="A90" s="240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honeticPr fontId="0" type="noConversion"/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X36"/>
  <sheetViews>
    <sheetView zoomScale="75" zoomScaleNormal="75" workbookViewId="0">
      <pane xSplit="3" ySplit="10" topLeftCell="D11" activePane="bottomRight" state="frozen"/>
      <selection activeCell="B34" sqref="B34"/>
      <selection pane="topRight" activeCell="B34" sqref="B34"/>
      <selection pane="bottomLeft" activeCell="B34" sqref="B34"/>
      <selection pane="bottomRight" activeCell="E28" sqref="E28"/>
    </sheetView>
  </sheetViews>
  <sheetFormatPr defaultColWidth="9.140625" defaultRowHeight="12.75" x14ac:dyDescent="0.2"/>
  <cols>
    <col min="1" max="1" width="44.85546875" customWidth="1"/>
    <col min="2" max="2" width="11.140625" bestFit="1" customWidth="1"/>
    <col min="3" max="3" width="15.140625" bestFit="1" customWidth="1"/>
    <col min="4" max="4" width="17.28515625" customWidth="1"/>
    <col min="5" max="5" width="17.140625" customWidth="1"/>
    <col min="6" max="6" width="17.140625" style="3" hidden="1" customWidth="1"/>
    <col min="7" max="7" width="17.140625" style="4" hidden="1" customWidth="1"/>
    <col min="8" max="10" width="15.140625" hidden="1" customWidth="1"/>
    <col min="11" max="11" width="17.140625" style="4" hidden="1" customWidth="1"/>
    <col min="12" max="14" width="15.140625" hidden="1" customWidth="1"/>
    <col min="15" max="15" width="17.140625" style="4" hidden="1" customWidth="1"/>
    <col min="16" max="17" width="15.140625" hidden="1" customWidth="1"/>
    <col min="18" max="18" width="17.140625" hidden="1" customWidth="1"/>
    <col min="19" max="19" width="17.140625" style="4" hidden="1" customWidth="1"/>
    <col min="20" max="20" width="18.42578125" bestFit="1" customWidth="1"/>
    <col min="21" max="21" width="17.28515625" bestFit="1" customWidth="1"/>
    <col min="22" max="22" width="65.140625" style="5" bestFit="1" customWidth="1"/>
    <col min="23" max="23" width="3.7109375" style="6" customWidth="1"/>
    <col min="24" max="24" width="17.140625" style="6" bestFit="1" customWidth="1"/>
    <col min="25" max="16384" width="9.140625" style="6"/>
  </cols>
  <sheetData>
    <row r="1" spans="1:24" ht="18" x14ac:dyDescent="0.25">
      <c r="A1" s="1" t="s">
        <v>20</v>
      </c>
      <c r="B1" s="2"/>
      <c r="C1" s="2"/>
    </row>
    <row r="2" spans="1:24" x14ac:dyDescent="0.2">
      <c r="V2" s="7"/>
    </row>
    <row r="3" spans="1:24" ht="15" x14ac:dyDescent="0.2">
      <c r="A3" s="8" t="s">
        <v>21</v>
      </c>
      <c r="V3" s="7"/>
    </row>
    <row r="4" spans="1:24" ht="15" x14ac:dyDescent="0.2">
      <c r="A4" s="8" t="s">
        <v>22</v>
      </c>
      <c r="V4" s="7"/>
    </row>
    <row r="5" spans="1:24" ht="15" x14ac:dyDescent="0.2">
      <c r="A5" s="9" t="s">
        <v>23</v>
      </c>
      <c r="C5" s="10"/>
      <c r="D5" s="10"/>
      <c r="E5" s="10"/>
      <c r="F5" s="11"/>
      <c r="G5" s="12"/>
      <c r="H5" s="10"/>
      <c r="I5" s="10"/>
      <c r="J5" s="10"/>
      <c r="K5" s="12"/>
      <c r="L5" s="10"/>
      <c r="M5" s="10"/>
      <c r="N5" s="10"/>
      <c r="O5" s="12"/>
      <c r="P5" s="10"/>
      <c r="Q5" s="10"/>
      <c r="R5" s="10"/>
      <c r="S5" s="12"/>
      <c r="T5" s="10"/>
      <c r="U5" s="10"/>
      <c r="V5" s="13"/>
    </row>
    <row r="6" spans="1:24" ht="15" x14ac:dyDescent="0.2">
      <c r="A6" s="14" t="s">
        <v>24</v>
      </c>
      <c r="B6" s="10"/>
      <c r="C6" s="10"/>
      <c r="D6" s="10"/>
      <c r="E6" s="10"/>
      <c r="F6" s="11"/>
      <c r="G6" s="12"/>
      <c r="H6" s="10"/>
      <c r="I6" s="10"/>
      <c r="J6" s="10"/>
      <c r="K6" s="12"/>
      <c r="L6" s="10"/>
      <c r="M6" s="10"/>
      <c r="N6" s="10"/>
      <c r="O6" s="12"/>
      <c r="P6" s="10"/>
      <c r="Q6" s="10"/>
      <c r="R6" s="10"/>
      <c r="S6" s="12"/>
      <c r="T6" s="10"/>
      <c r="U6" s="10"/>
    </row>
    <row r="7" spans="1:24" x14ac:dyDescent="0.2">
      <c r="A7" s="15"/>
      <c r="B7" s="10"/>
      <c r="C7" s="10"/>
      <c r="D7" s="10"/>
      <c r="E7" s="10"/>
      <c r="F7" s="11"/>
      <c r="G7" s="12"/>
      <c r="H7" s="10"/>
      <c r="I7" s="10"/>
      <c r="J7" s="10"/>
      <c r="K7" s="12"/>
      <c r="L7" s="10"/>
      <c r="M7" s="10"/>
      <c r="N7" s="10"/>
      <c r="O7" s="12"/>
      <c r="P7" s="10"/>
      <c r="Q7" s="10"/>
      <c r="R7" s="10"/>
      <c r="S7" s="12"/>
      <c r="T7" s="10"/>
      <c r="U7" s="10"/>
    </row>
    <row r="8" spans="1:24" s="21" customFormat="1" ht="14.25" x14ac:dyDescent="0.2">
      <c r="A8" s="16"/>
      <c r="B8" s="17"/>
      <c r="C8" s="17"/>
      <c r="D8" s="17"/>
      <c r="E8" s="17"/>
      <c r="F8" s="18"/>
      <c r="G8" s="19"/>
      <c r="H8" s="17"/>
      <c r="I8" s="17"/>
      <c r="J8" s="17"/>
      <c r="K8" s="19"/>
      <c r="L8" s="17"/>
      <c r="M8" s="17"/>
      <c r="N8" s="17"/>
      <c r="O8" s="19"/>
      <c r="P8" s="17"/>
      <c r="Q8" s="17"/>
      <c r="R8" s="17"/>
      <c r="S8" s="19"/>
      <c r="T8" s="17"/>
      <c r="U8" s="17"/>
      <c r="V8" s="20"/>
    </row>
    <row r="9" spans="1:24" s="21" customFormat="1" ht="18" x14ac:dyDescent="0.25">
      <c r="A9" s="22">
        <v>2009</v>
      </c>
      <c r="B9" s="23"/>
      <c r="C9" s="23"/>
      <c r="D9" s="24"/>
      <c r="E9" s="24"/>
      <c r="F9" s="25"/>
      <c r="G9" s="26"/>
      <c r="H9" s="24"/>
      <c r="I9" s="24"/>
      <c r="J9" s="24"/>
      <c r="K9" s="26"/>
      <c r="L9" s="24"/>
      <c r="M9" s="24"/>
      <c r="N9" s="24"/>
      <c r="O9" s="26"/>
      <c r="P9" s="24"/>
      <c r="Q9" s="24"/>
      <c r="R9" s="24"/>
      <c r="S9" s="26"/>
      <c r="T9" s="24"/>
      <c r="U9" s="24"/>
      <c r="V9" s="20"/>
    </row>
    <row r="10" spans="1:24" s="21" customFormat="1" ht="34.9" customHeight="1" x14ac:dyDescent="0.25">
      <c r="A10" s="27" t="s">
        <v>25</v>
      </c>
      <c r="B10" s="27" t="s">
        <v>26</v>
      </c>
      <c r="C10" s="28" t="s">
        <v>27</v>
      </c>
      <c r="D10" s="29" t="s">
        <v>28</v>
      </c>
      <c r="E10" s="29" t="s">
        <v>29</v>
      </c>
      <c r="F10" s="29" t="s">
        <v>30</v>
      </c>
      <c r="G10" s="30" t="s">
        <v>31</v>
      </c>
      <c r="H10" s="29" t="s">
        <v>32</v>
      </c>
      <c r="I10" s="29" t="s">
        <v>33</v>
      </c>
      <c r="J10" s="29" t="s">
        <v>34</v>
      </c>
      <c r="K10" s="30" t="s">
        <v>35</v>
      </c>
      <c r="L10" s="29" t="s">
        <v>36</v>
      </c>
      <c r="M10" s="29" t="s">
        <v>37</v>
      </c>
      <c r="N10" s="29" t="s">
        <v>38</v>
      </c>
      <c r="O10" s="30" t="s">
        <v>39</v>
      </c>
      <c r="P10" s="29" t="s">
        <v>40</v>
      </c>
      <c r="Q10" s="29" t="s">
        <v>41</v>
      </c>
      <c r="R10" s="29" t="s">
        <v>42</v>
      </c>
      <c r="S10" s="30" t="s">
        <v>43</v>
      </c>
      <c r="T10" s="29" t="s">
        <v>44</v>
      </c>
      <c r="U10" s="29" t="s">
        <v>45</v>
      </c>
      <c r="V10" s="31"/>
    </row>
    <row r="11" spans="1:24" s="21" customFormat="1" ht="14.25" x14ac:dyDescent="0.2">
      <c r="A11" s="32" t="s">
        <v>6</v>
      </c>
      <c r="B11" s="33">
        <v>44099999</v>
      </c>
      <c r="C11" s="34" t="s">
        <v>46</v>
      </c>
      <c r="D11" s="35">
        <v>-123353000</v>
      </c>
      <c r="E11" s="35">
        <v>-112578000</v>
      </c>
      <c r="F11" s="35"/>
      <c r="G11" s="36">
        <f t="shared" ref="G11:G33" si="0">SUM(D11:F11)</f>
        <v>-235931000</v>
      </c>
      <c r="H11" s="35"/>
      <c r="I11" s="35"/>
      <c r="J11" s="35"/>
      <c r="K11" s="36">
        <f t="shared" ref="K11:K24" si="1">SUM(H11:J11)</f>
        <v>0</v>
      </c>
      <c r="L11" s="35"/>
      <c r="M11" s="35"/>
      <c r="N11" s="35"/>
      <c r="O11" s="36">
        <f t="shared" ref="O11:O24" si="2">SUM(L11:N11)</f>
        <v>0</v>
      </c>
      <c r="P11" s="35"/>
      <c r="Q11" s="35"/>
      <c r="R11" s="35"/>
      <c r="S11" s="36">
        <f t="shared" ref="S11:S24" si="3">SUM(P11:R11)</f>
        <v>0</v>
      </c>
      <c r="T11" s="35">
        <f t="shared" ref="T11:T33" si="4">+G11+K11+O11+S11</f>
        <v>-235931000</v>
      </c>
      <c r="U11" s="35"/>
      <c r="V11" s="20" t="str">
        <f t="shared" ref="V11:V33" si="5">CONCATENATE("Feb-09 Budget Elec ",A11)</f>
        <v>Feb-09 Budget Elec Residential</v>
      </c>
      <c r="X11" s="37"/>
    </row>
    <row r="12" spans="1:24" s="21" customFormat="1" ht="14.25" x14ac:dyDescent="0.2">
      <c r="A12" s="32" t="s">
        <v>7</v>
      </c>
      <c r="B12" s="33">
        <v>44299999</v>
      </c>
      <c r="C12" s="34" t="s">
        <v>46</v>
      </c>
      <c r="D12" s="35">
        <v>-76975000</v>
      </c>
      <c r="E12" s="35">
        <v>-75663000</v>
      </c>
      <c r="F12" s="35"/>
      <c r="G12" s="36">
        <f t="shared" si="0"/>
        <v>-152638000</v>
      </c>
      <c r="H12" s="35"/>
      <c r="I12" s="35"/>
      <c r="J12" s="35"/>
      <c r="K12" s="36">
        <f t="shared" si="1"/>
        <v>0</v>
      </c>
      <c r="L12" s="35"/>
      <c r="M12" s="35"/>
      <c r="N12" s="35"/>
      <c r="O12" s="36">
        <f t="shared" si="2"/>
        <v>0</v>
      </c>
      <c r="P12" s="35"/>
      <c r="Q12" s="35"/>
      <c r="R12" s="35"/>
      <c r="S12" s="36">
        <f t="shared" si="3"/>
        <v>0</v>
      </c>
      <c r="T12" s="35">
        <f t="shared" si="4"/>
        <v>-152638000</v>
      </c>
      <c r="U12" s="35"/>
      <c r="V12" s="20" t="str">
        <f t="shared" si="5"/>
        <v>Feb-09 Budget Elec Commercial</v>
      </c>
      <c r="X12" s="38"/>
    </row>
    <row r="13" spans="1:24" s="21" customFormat="1" ht="14.25" x14ac:dyDescent="0.2">
      <c r="A13" s="32" t="s">
        <v>8</v>
      </c>
      <c r="B13" s="33">
        <v>44299998</v>
      </c>
      <c r="C13" s="34" t="s">
        <v>46</v>
      </c>
      <c r="D13" s="35">
        <v>-9186000</v>
      </c>
      <c r="E13" s="35">
        <v>-9522000</v>
      </c>
      <c r="F13" s="35"/>
      <c r="G13" s="36">
        <f t="shared" si="0"/>
        <v>-18708000</v>
      </c>
      <c r="H13" s="35"/>
      <c r="I13" s="35"/>
      <c r="J13" s="35"/>
      <c r="K13" s="36">
        <f t="shared" si="1"/>
        <v>0</v>
      </c>
      <c r="L13" s="35"/>
      <c r="M13" s="35"/>
      <c r="N13" s="35"/>
      <c r="O13" s="36">
        <f t="shared" si="2"/>
        <v>0</v>
      </c>
      <c r="P13" s="35"/>
      <c r="Q13" s="35"/>
      <c r="R13" s="35"/>
      <c r="S13" s="36">
        <f t="shared" si="3"/>
        <v>0</v>
      </c>
      <c r="T13" s="35">
        <f t="shared" si="4"/>
        <v>-18708000</v>
      </c>
      <c r="U13" s="35"/>
      <c r="V13" s="20" t="str">
        <f t="shared" si="5"/>
        <v>Feb-09 Budget Elec Industrial</v>
      </c>
      <c r="X13" s="38"/>
    </row>
    <row r="14" spans="1:24" s="21" customFormat="1" ht="14.25" x14ac:dyDescent="0.2">
      <c r="A14" s="32" t="s">
        <v>9</v>
      </c>
      <c r="B14" s="33">
        <v>44499999</v>
      </c>
      <c r="C14" s="34" t="s">
        <v>46</v>
      </c>
      <c r="D14" s="35">
        <v>-1578000</v>
      </c>
      <c r="E14" s="35">
        <v>-1571000</v>
      </c>
      <c r="F14" s="35"/>
      <c r="G14" s="36">
        <f t="shared" si="0"/>
        <v>-3149000</v>
      </c>
      <c r="H14" s="35"/>
      <c r="I14" s="35"/>
      <c r="J14" s="35"/>
      <c r="K14" s="36">
        <f t="shared" si="1"/>
        <v>0</v>
      </c>
      <c r="L14" s="35"/>
      <c r="M14" s="35"/>
      <c r="N14" s="35"/>
      <c r="O14" s="36">
        <f t="shared" si="2"/>
        <v>0</v>
      </c>
      <c r="P14" s="35"/>
      <c r="Q14" s="35"/>
      <c r="R14" s="35"/>
      <c r="S14" s="36">
        <f t="shared" si="3"/>
        <v>0</v>
      </c>
      <c r="T14" s="35">
        <f t="shared" si="4"/>
        <v>-3149000</v>
      </c>
      <c r="U14" s="35"/>
      <c r="V14" s="20" t="str">
        <f t="shared" si="5"/>
        <v>Feb-09 Budget Elec Public street &amp; hwy lighting</v>
      </c>
      <c r="X14" s="38"/>
    </row>
    <row r="15" spans="1:24" s="21" customFormat="1" ht="14.25" x14ac:dyDescent="0.2">
      <c r="A15" s="32" t="s">
        <v>10</v>
      </c>
      <c r="B15" s="33">
        <v>44799998</v>
      </c>
      <c r="C15" s="34" t="s">
        <v>46</v>
      </c>
      <c r="D15" s="35">
        <v>-46000</v>
      </c>
      <c r="E15" s="35">
        <v>-43000</v>
      </c>
      <c r="F15" s="35"/>
      <c r="G15" s="36">
        <f t="shared" si="0"/>
        <v>-89000</v>
      </c>
      <c r="H15" s="35"/>
      <c r="I15" s="35"/>
      <c r="J15" s="35"/>
      <c r="K15" s="36">
        <f t="shared" si="1"/>
        <v>0</v>
      </c>
      <c r="L15" s="35"/>
      <c r="M15" s="35"/>
      <c r="N15" s="35"/>
      <c r="O15" s="36">
        <f t="shared" si="2"/>
        <v>0</v>
      </c>
      <c r="P15" s="35"/>
      <c r="Q15" s="35"/>
      <c r="R15" s="35"/>
      <c r="S15" s="36">
        <f t="shared" si="3"/>
        <v>0</v>
      </c>
      <c r="T15" s="35">
        <f t="shared" si="4"/>
        <v>-89000</v>
      </c>
      <c r="U15" s="35"/>
      <c r="V15" s="20" t="str">
        <f t="shared" si="5"/>
        <v>Feb-09 Budget Elec Sales for resale firm</v>
      </c>
      <c r="X15" s="38"/>
    </row>
    <row r="16" spans="1:24" s="21" customFormat="1" ht="14.25" x14ac:dyDescent="0.2">
      <c r="A16" s="32" t="s">
        <v>11</v>
      </c>
      <c r="B16" s="33">
        <v>45699999</v>
      </c>
      <c r="C16" s="34" t="s">
        <v>46</v>
      </c>
      <c r="D16" s="35">
        <v>1428000</v>
      </c>
      <c r="E16" s="35">
        <v>17190000</v>
      </c>
      <c r="F16" s="35"/>
      <c r="G16" s="36">
        <f t="shared" si="0"/>
        <v>18618000</v>
      </c>
      <c r="H16" s="35"/>
      <c r="I16" s="35"/>
      <c r="J16" s="35"/>
      <c r="K16" s="36">
        <f t="shared" si="1"/>
        <v>0</v>
      </c>
      <c r="L16" s="35"/>
      <c r="M16" s="35"/>
      <c r="N16" s="35"/>
      <c r="O16" s="36">
        <f t="shared" si="2"/>
        <v>0</v>
      </c>
      <c r="P16" s="35"/>
      <c r="Q16" s="35"/>
      <c r="R16" s="35"/>
      <c r="S16" s="36">
        <f t="shared" si="3"/>
        <v>0</v>
      </c>
      <c r="T16" s="35">
        <f t="shared" si="4"/>
        <v>18618000</v>
      </c>
      <c r="U16" s="35">
        <f>SUM(E11:E16)</f>
        <v>-182187000</v>
      </c>
      <c r="V16" s="20" t="str">
        <f t="shared" si="5"/>
        <v>Feb-09 Budget Elec Unbilled revenue change</v>
      </c>
      <c r="X16" s="38"/>
    </row>
    <row r="17" spans="1:24" s="21" customFormat="1" ht="14.25" x14ac:dyDescent="0.2">
      <c r="A17" s="32" t="s">
        <v>12</v>
      </c>
      <c r="B17" s="33">
        <v>44299996</v>
      </c>
      <c r="C17" s="34" t="s">
        <v>46</v>
      </c>
      <c r="D17" s="35">
        <v>-887000</v>
      </c>
      <c r="E17" s="35">
        <v>-887000</v>
      </c>
      <c r="F17" s="35"/>
      <c r="G17" s="36">
        <f t="shared" si="0"/>
        <v>-1774000</v>
      </c>
      <c r="H17" s="35"/>
      <c r="I17" s="35"/>
      <c r="J17" s="35"/>
      <c r="K17" s="36">
        <f t="shared" si="1"/>
        <v>0</v>
      </c>
      <c r="L17" s="35"/>
      <c r="M17" s="35"/>
      <c r="N17" s="35"/>
      <c r="O17" s="36">
        <f t="shared" si="2"/>
        <v>0</v>
      </c>
      <c r="P17" s="35"/>
      <c r="Q17" s="35"/>
      <c r="R17" s="35"/>
      <c r="S17" s="36">
        <f t="shared" si="3"/>
        <v>0</v>
      </c>
      <c r="T17" s="35">
        <f t="shared" si="4"/>
        <v>-1774000</v>
      </c>
      <c r="U17" s="35"/>
      <c r="V17" s="20" t="str">
        <f t="shared" si="5"/>
        <v>Feb-09 Budget Elec Transportation (Billed plus Change in Unbilled)</v>
      </c>
      <c r="X17" s="38"/>
    </row>
    <row r="18" spans="1:24" s="21" customFormat="1" ht="14.25" x14ac:dyDescent="0.2">
      <c r="A18" s="32" t="s">
        <v>13</v>
      </c>
      <c r="B18" s="33">
        <v>44799997</v>
      </c>
      <c r="C18" s="34" t="s">
        <v>46</v>
      </c>
      <c r="D18" s="35">
        <v>-3432000</v>
      </c>
      <c r="E18" s="35">
        <v>0</v>
      </c>
      <c r="F18" s="35"/>
      <c r="G18" s="36">
        <f t="shared" si="0"/>
        <v>-3432000</v>
      </c>
      <c r="H18" s="35"/>
      <c r="I18" s="35"/>
      <c r="J18" s="35"/>
      <c r="K18" s="36">
        <f t="shared" si="1"/>
        <v>0</v>
      </c>
      <c r="L18" s="35"/>
      <c r="M18" s="35"/>
      <c r="N18" s="35"/>
      <c r="O18" s="36">
        <f t="shared" si="2"/>
        <v>0</v>
      </c>
      <c r="P18" s="35"/>
      <c r="Q18" s="35"/>
      <c r="R18" s="35"/>
      <c r="S18" s="36">
        <f t="shared" si="3"/>
        <v>0</v>
      </c>
      <c r="T18" s="35">
        <f t="shared" si="4"/>
        <v>-3432000</v>
      </c>
      <c r="U18" s="35">
        <f>+U16+SUM(E17:E18)</f>
        <v>-183074000</v>
      </c>
      <c r="V18" s="20" t="str">
        <f t="shared" si="5"/>
        <v>Feb-09 Budget Elec Sales to other utilities and marketers</v>
      </c>
      <c r="X18" s="38"/>
    </row>
    <row r="19" spans="1:24" s="21" customFormat="1" ht="14.25" x14ac:dyDescent="0.2">
      <c r="A19" s="39" t="s">
        <v>14</v>
      </c>
      <c r="B19" s="40">
        <v>45699989</v>
      </c>
      <c r="C19" s="41" t="s">
        <v>46</v>
      </c>
      <c r="D19" s="42">
        <v>-3624000</v>
      </c>
      <c r="E19" s="42">
        <v>-3337000</v>
      </c>
      <c r="F19" s="42"/>
      <c r="G19" s="43">
        <f t="shared" si="0"/>
        <v>-6961000</v>
      </c>
      <c r="H19" s="42"/>
      <c r="I19" s="42"/>
      <c r="J19" s="42"/>
      <c r="K19" s="43">
        <f t="shared" si="1"/>
        <v>0</v>
      </c>
      <c r="L19" s="42"/>
      <c r="M19" s="42"/>
      <c r="N19" s="42"/>
      <c r="O19" s="43">
        <f t="shared" si="2"/>
        <v>0</v>
      </c>
      <c r="P19" s="42"/>
      <c r="Q19" s="42"/>
      <c r="R19" s="42"/>
      <c r="S19" s="43">
        <f t="shared" si="3"/>
        <v>0</v>
      </c>
      <c r="T19" s="42">
        <f t="shared" si="4"/>
        <v>-6961000</v>
      </c>
      <c r="U19" s="42">
        <f>+U18+E19</f>
        <v>-186411000</v>
      </c>
      <c r="V19" s="20" t="str">
        <f t="shared" si="5"/>
        <v>Feb-09 Budget Elec Other operating revenues</v>
      </c>
      <c r="X19" s="38"/>
    </row>
    <row r="20" spans="1:24" s="21" customFormat="1" ht="14.25" x14ac:dyDescent="0.2">
      <c r="A20" s="44" t="s">
        <v>15</v>
      </c>
      <c r="B20" s="45">
        <v>40819991</v>
      </c>
      <c r="C20" s="34" t="s">
        <v>46</v>
      </c>
      <c r="D20" s="35">
        <v>-7507369</v>
      </c>
      <c r="E20" s="35">
        <v>-7158077</v>
      </c>
      <c r="F20" s="35"/>
      <c r="G20" s="36">
        <f t="shared" si="0"/>
        <v>-14665446</v>
      </c>
      <c r="H20" s="35"/>
      <c r="I20" s="35"/>
      <c r="J20" s="35"/>
      <c r="K20" s="36">
        <f t="shared" si="1"/>
        <v>0</v>
      </c>
      <c r="L20" s="35"/>
      <c r="M20" s="35"/>
      <c r="N20" s="35"/>
      <c r="O20" s="36">
        <f t="shared" si="2"/>
        <v>0</v>
      </c>
      <c r="P20" s="35"/>
      <c r="Q20" s="35"/>
      <c r="R20" s="35"/>
      <c r="S20" s="36">
        <f t="shared" si="3"/>
        <v>0</v>
      </c>
      <c r="T20" s="35">
        <f t="shared" si="4"/>
        <v>-14665446</v>
      </c>
      <c r="U20" s="35"/>
      <c r="V20" s="20" t="str">
        <f t="shared" si="5"/>
        <v>Feb-09 Budget Elec SCH. 81 (B &amp; O tax) in above-billed</v>
      </c>
      <c r="X20" s="38"/>
    </row>
    <row r="21" spans="1:24" s="21" customFormat="1" ht="14.25" x14ac:dyDescent="0.2">
      <c r="A21" s="32" t="s">
        <v>16</v>
      </c>
      <c r="B21" s="45">
        <v>55599997</v>
      </c>
      <c r="C21" s="34" t="s">
        <v>46</v>
      </c>
      <c r="D21" s="35">
        <v>12258108</v>
      </c>
      <c r="E21" s="35">
        <v>11248004</v>
      </c>
      <c r="F21" s="35"/>
      <c r="G21" s="36">
        <f t="shared" si="0"/>
        <v>23506112</v>
      </c>
      <c r="H21" s="35"/>
      <c r="I21" s="35"/>
      <c r="J21" s="35"/>
      <c r="K21" s="36">
        <f t="shared" si="1"/>
        <v>0</v>
      </c>
      <c r="L21" s="35"/>
      <c r="M21" s="35"/>
      <c r="N21" s="35"/>
      <c r="O21" s="36">
        <f t="shared" si="2"/>
        <v>0</v>
      </c>
      <c r="P21" s="35"/>
      <c r="Q21" s="35"/>
      <c r="R21" s="35"/>
      <c r="S21" s="36">
        <f t="shared" si="3"/>
        <v>0</v>
      </c>
      <c r="T21" s="35">
        <f t="shared" si="4"/>
        <v>23506112</v>
      </c>
      <c r="U21" s="35"/>
      <c r="V21" s="20" t="str">
        <f t="shared" si="5"/>
        <v>Feb-09 Budget Elec SCH. 94 (Res/farm credit) in above</v>
      </c>
      <c r="X21" s="38"/>
    </row>
    <row r="22" spans="1:24" s="21" customFormat="1" ht="14.25" x14ac:dyDescent="0.2">
      <c r="A22" s="46" t="s">
        <v>17</v>
      </c>
      <c r="B22" s="45">
        <v>44099995</v>
      </c>
      <c r="C22" s="34" t="s">
        <v>46</v>
      </c>
      <c r="D22" s="35">
        <v>-6577000</v>
      </c>
      <c r="E22" s="35">
        <v>-5705000</v>
      </c>
      <c r="F22" s="35"/>
      <c r="G22" s="36">
        <f t="shared" si="0"/>
        <v>-12282000</v>
      </c>
      <c r="H22" s="35"/>
      <c r="I22" s="35"/>
      <c r="J22" s="35"/>
      <c r="K22" s="36">
        <f t="shared" si="1"/>
        <v>0</v>
      </c>
      <c r="L22" s="35"/>
      <c r="M22" s="35"/>
      <c r="N22" s="35"/>
      <c r="O22" s="36">
        <f t="shared" si="2"/>
        <v>0</v>
      </c>
      <c r="P22" s="35"/>
      <c r="Q22" s="35"/>
      <c r="R22" s="35"/>
      <c r="S22" s="36">
        <f t="shared" si="3"/>
        <v>0</v>
      </c>
      <c r="T22" s="35">
        <f t="shared" si="4"/>
        <v>-12282000</v>
      </c>
      <c r="U22" s="35"/>
      <c r="V22" s="20" t="str">
        <f t="shared" si="5"/>
        <v>Feb-09 Budget Elec SCH. 120 (Cons. Rider rev) in above</v>
      </c>
      <c r="X22" s="38"/>
    </row>
    <row r="23" spans="1:24" s="21" customFormat="1" ht="14.25" x14ac:dyDescent="0.2">
      <c r="A23" s="47" t="s">
        <v>18</v>
      </c>
      <c r="B23" s="45">
        <v>44099994</v>
      </c>
      <c r="C23" s="34" t="s">
        <v>46</v>
      </c>
      <c r="D23" s="35">
        <v>3313458</v>
      </c>
      <c r="E23" s="35">
        <v>3382426</v>
      </c>
      <c r="F23" s="35"/>
      <c r="G23" s="36">
        <f t="shared" si="0"/>
        <v>6695884</v>
      </c>
      <c r="H23" s="35"/>
      <c r="I23" s="35"/>
      <c r="J23" s="35"/>
      <c r="K23" s="36">
        <f t="shared" si="1"/>
        <v>0</v>
      </c>
      <c r="L23" s="35"/>
      <c r="M23" s="35"/>
      <c r="N23" s="35"/>
      <c r="O23" s="36">
        <f t="shared" si="2"/>
        <v>0</v>
      </c>
      <c r="P23" s="35"/>
      <c r="Q23" s="35"/>
      <c r="R23" s="35"/>
      <c r="S23" s="36">
        <f t="shared" si="3"/>
        <v>0</v>
      </c>
      <c r="T23" s="35">
        <f t="shared" si="4"/>
        <v>6695884</v>
      </c>
      <c r="U23" s="35"/>
      <c r="V23" s="20" t="str">
        <f t="shared" si="5"/>
        <v>Feb-09 Budget Elec SCH. 95a (Production Tax Credit) in above</v>
      </c>
      <c r="X23" s="38"/>
    </row>
    <row r="24" spans="1:24" s="21" customFormat="1" ht="14.25" x14ac:dyDescent="0.2">
      <c r="A24" s="48" t="s">
        <v>19</v>
      </c>
      <c r="B24" s="45">
        <v>44299995</v>
      </c>
      <c r="C24" s="49" t="s">
        <v>46</v>
      </c>
      <c r="D24" s="50">
        <v>-1130000</v>
      </c>
      <c r="E24" s="50">
        <v>-980000</v>
      </c>
      <c r="F24" s="50"/>
      <c r="G24" s="51">
        <f t="shared" si="0"/>
        <v>-2110000</v>
      </c>
      <c r="H24" s="50"/>
      <c r="I24" s="50"/>
      <c r="J24" s="50"/>
      <c r="K24" s="51">
        <f t="shared" si="1"/>
        <v>0</v>
      </c>
      <c r="L24" s="50"/>
      <c r="M24" s="50"/>
      <c r="N24" s="50"/>
      <c r="O24" s="51">
        <f t="shared" si="2"/>
        <v>0</v>
      </c>
      <c r="P24" s="50"/>
      <c r="Q24" s="50"/>
      <c r="R24" s="50"/>
      <c r="S24" s="51">
        <f t="shared" si="3"/>
        <v>0</v>
      </c>
      <c r="T24" s="50">
        <f t="shared" si="4"/>
        <v>-2110000</v>
      </c>
      <c r="U24" s="50"/>
      <c r="V24" s="20" t="str">
        <f t="shared" si="5"/>
        <v>Feb-09 Budget Elec Low Income Surcharge included in above</v>
      </c>
      <c r="X24" s="38"/>
    </row>
    <row r="25" spans="1:24" s="21" customFormat="1" ht="14.25" x14ac:dyDescent="0.2">
      <c r="A25" s="52" t="s">
        <v>47</v>
      </c>
      <c r="B25" s="53">
        <v>45699995</v>
      </c>
      <c r="C25" s="41" t="s">
        <v>46</v>
      </c>
      <c r="D25" s="42">
        <v>0</v>
      </c>
      <c r="E25" s="42">
        <v>487184</v>
      </c>
      <c r="F25" s="42"/>
      <c r="G25" s="43">
        <f t="shared" si="0"/>
        <v>487184</v>
      </c>
      <c r="H25" s="42"/>
      <c r="I25" s="42"/>
      <c r="J25" s="42"/>
      <c r="K25" s="43"/>
      <c r="L25" s="42"/>
      <c r="M25" s="42"/>
      <c r="N25" s="42"/>
      <c r="O25" s="43"/>
      <c r="P25" s="42"/>
      <c r="Q25" s="42"/>
      <c r="R25" s="42"/>
      <c r="S25" s="43"/>
      <c r="T25" s="42">
        <f t="shared" si="4"/>
        <v>487184</v>
      </c>
      <c r="U25" s="42"/>
      <c r="V25" s="20" t="str">
        <f t="shared" si="5"/>
        <v>Feb-09 Budget Elec SCH. 132 (Merger Credit) in above</v>
      </c>
      <c r="X25" s="38"/>
    </row>
    <row r="26" spans="1:24" s="21" customFormat="1" ht="14.25" x14ac:dyDescent="0.2">
      <c r="A26" s="32" t="s">
        <v>6</v>
      </c>
      <c r="B26" s="33">
        <v>44099999</v>
      </c>
      <c r="C26" s="34" t="s">
        <v>48</v>
      </c>
      <c r="D26" s="35">
        <v>-1285968000</v>
      </c>
      <c r="E26" s="35">
        <v>-1178147000</v>
      </c>
      <c r="F26" s="35"/>
      <c r="G26" s="36">
        <f t="shared" si="0"/>
        <v>-2464115000</v>
      </c>
      <c r="H26" s="35"/>
      <c r="I26" s="35"/>
      <c r="J26" s="35"/>
      <c r="K26" s="36">
        <f t="shared" ref="K26:K33" si="6">SUM(H26:J26)</f>
        <v>0</v>
      </c>
      <c r="L26" s="35"/>
      <c r="M26" s="35"/>
      <c r="N26" s="35"/>
      <c r="O26" s="36">
        <f t="shared" ref="O26:O33" si="7">SUM(L26:N26)</f>
        <v>0</v>
      </c>
      <c r="P26" s="35"/>
      <c r="Q26" s="35"/>
      <c r="R26" s="35"/>
      <c r="S26" s="36">
        <f t="shared" ref="S26:S33" si="8">SUM(P26:R26)</f>
        <v>0</v>
      </c>
      <c r="T26" s="35">
        <f t="shared" si="4"/>
        <v>-2464115000</v>
      </c>
      <c r="U26" s="35"/>
      <c r="V26" s="20" t="str">
        <f t="shared" si="5"/>
        <v>Feb-09 Budget Elec Residential</v>
      </c>
      <c r="X26" s="38"/>
    </row>
    <row r="27" spans="1:24" s="21" customFormat="1" ht="14.25" x14ac:dyDescent="0.2">
      <c r="A27" s="32" t="s">
        <v>7</v>
      </c>
      <c r="B27" s="33">
        <v>44299999</v>
      </c>
      <c r="C27" s="34" t="s">
        <v>48</v>
      </c>
      <c r="D27" s="35">
        <v>-843377000</v>
      </c>
      <c r="E27" s="35">
        <v>-831165000</v>
      </c>
      <c r="F27" s="35"/>
      <c r="G27" s="36">
        <f t="shared" si="0"/>
        <v>-1674542000</v>
      </c>
      <c r="H27" s="35"/>
      <c r="I27" s="35"/>
      <c r="J27" s="35"/>
      <c r="K27" s="36">
        <f t="shared" si="6"/>
        <v>0</v>
      </c>
      <c r="L27" s="35"/>
      <c r="M27" s="35"/>
      <c r="N27" s="35"/>
      <c r="O27" s="36">
        <f t="shared" si="7"/>
        <v>0</v>
      </c>
      <c r="P27" s="35"/>
      <c r="Q27" s="35"/>
      <c r="R27" s="35"/>
      <c r="S27" s="36">
        <f t="shared" si="8"/>
        <v>0</v>
      </c>
      <c r="T27" s="35">
        <f t="shared" si="4"/>
        <v>-1674542000</v>
      </c>
      <c r="U27" s="35"/>
      <c r="V27" s="20" t="str">
        <f t="shared" si="5"/>
        <v>Feb-09 Budget Elec Commercial</v>
      </c>
      <c r="X27" s="38"/>
    </row>
    <row r="28" spans="1:24" s="21" customFormat="1" ht="14.25" x14ac:dyDescent="0.2">
      <c r="A28" s="32" t="s">
        <v>8</v>
      </c>
      <c r="B28" s="33">
        <v>44299998</v>
      </c>
      <c r="C28" s="34" t="s">
        <v>48</v>
      </c>
      <c r="D28" s="35">
        <v>-102669000</v>
      </c>
      <c r="E28" s="35">
        <v>-107910000</v>
      </c>
      <c r="F28" s="35"/>
      <c r="G28" s="36">
        <f t="shared" si="0"/>
        <v>-210579000</v>
      </c>
      <c r="H28" s="35"/>
      <c r="I28" s="35"/>
      <c r="J28" s="35"/>
      <c r="K28" s="36">
        <f t="shared" si="6"/>
        <v>0</v>
      </c>
      <c r="L28" s="35"/>
      <c r="M28" s="35"/>
      <c r="N28" s="35"/>
      <c r="O28" s="36">
        <f t="shared" si="7"/>
        <v>0</v>
      </c>
      <c r="P28" s="35"/>
      <c r="Q28" s="35"/>
      <c r="R28" s="35"/>
      <c r="S28" s="36">
        <f t="shared" si="8"/>
        <v>0</v>
      </c>
      <c r="T28" s="35">
        <f t="shared" si="4"/>
        <v>-210579000</v>
      </c>
      <c r="U28" s="35"/>
      <c r="V28" s="20" t="str">
        <f t="shared" si="5"/>
        <v>Feb-09 Budget Elec Industrial</v>
      </c>
      <c r="X28" s="38"/>
    </row>
    <row r="29" spans="1:24" s="21" customFormat="1" ht="14.25" x14ac:dyDescent="0.2">
      <c r="A29" s="32" t="s">
        <v>9</v>
      </c>
      <c r="B29" s="33">
        <v>44499999</v>
      </c>
      <c r="C29" s="34" t="s">
        <v>48</v>
      </c>
      <c r="D29" s="35">
        <v>-8435000</v>
      </c>
      <c r="E29" s="35">
        <v>-8367000</v>
      </c>
      <c r="F29" s="35"/>
      <c r="G29" s="36">
        <f t="shared" si="0"/>
        <v>-16802000</v>
      </c>
      <c r="H29" s="35"/>
      <c r="I29" s="35"/>
      <c r="J29" s="35"/>
      <c r="K29" s="36">
        <f t="shared" si="6"/>
        <v>0</v>
      </c>
      <c r="L29" s="35"/>
      <c r="M29" s="35"/>
      <c r="N29" s="35"/>
      <c r="O29" s="36">
        <f t="shared" si="7"/>
        <v>0</v>
      </c>
      <c r="P29" s="35"/>
      <c r="Q29" s="35"/>
      <c r="R29" s="35"/>
      <c r="S29" s="36">
        <f t="shared" si="8"/>
        <v>0</v>
      </c>
      <c r="T29" s="35">
        <f t="shared" si="4"/>
        <v>-16802000</v>
      </c>
      <c r="U29" s="35"/>
      <c r="V29" s="20" t="str">
        <f t="shared" si="5"/>
        <v>Feb-09 Budget Elec Public street &amp; hwy lighting</v>
      </c>
      <c r="X29" s="38"/>
    </row>
    <row r="30" spans="1:24" s="21" customFormat="1" ht="14.25" x14ac:dyDescent="0.2">
      <c r="A30" s="32" t="s">
        <v>10</v>
      </c>
      <c r="B30" s="33">
        <v>44799998</v>
      </c>
      <c r="C30" s="34" t="s">
        <v>48</v>
      </c>
      <c r="D30" s="35">
        <v>-1030000</v>
      </c>
      <c r="E30" s="35">
        <v>-962000</v>
      </c>
      <c r="F30" s="35"/>
      <c r="G30" s="36">
        <f t="shared" si="0"/>
        <v>-1992000</v>
      </c>
      <c r="H30" s="35"/>
      <c r="I30" s="35"/>
      <c r="J30" s="35"/>
      <c r="K30" s="36">
        <f t="shared" si="6"/>
        <v>0</v>
      </c>
      <c r="L30" s="35"/>
      <c r="M30" s="35"/>
      <c r="N30" s="35"/>
      <c r="O30" s="36">
        <f t="shared" si="7"/>
        <v>0</v>
      </c>
      <c r="P30" s="35"/>
      <c r="Q30" s="35"/>
      <c r="R30" s="35"/>
      <c r="S30" s="36">
        <f t="shared" si="8"/>
        <v>0</v>
      </c>
      <c r="T30" s="35">
        <f t="shared" si="4"/>
        <v>-1992000</v>
      </c>
      <c r="U30" s="35"/>
      <c r="V30" s="20" t="str">
        <f t="shared" si="5"/>
        <v>Feb-09 Budget Elec Sales for resale firm</v>
      </c>
      <c r="X30" s="38"/>
    </row>
    <row r="31" spans="1:24" s="21" customFormat="1" ht="14.25" x14ac:dyDescent="0.2">
      <c r="A31" s="32" t="s">
        <v>11</v>
      </c>
      <c r="B31" s="33">
        <v>45699999</v>
      </c>
      <c r="C31" s="34" t="s">
        <v>48</v>
      </c>
      <c r="D31" s="35">
        <v>12680000</v>
      </c>
      <c r="E31" s="35">
        <v>189718000</v>
      </c>
      <c r="F31" s="35"/>
      <c r="G31" s="36">
        <f t="shared" si="0"/>
        <v>202398000</v>
      </c>
      <c r="H31" s="35"/>
      <c r="I31" s="35"/>
      <c r="J31" s="35"/>
      <c r="K31" s="36">
        <f t="shared" si="6"/>
        <v>0</v>
      </c>
      <c r="L31" s="35"/>
      <c r="M31" s="35"/>
      <c r="N31" s="35"/>
      <c r="O31" s="36">
        <f t="shared" si="7"/>
        <v>0</v>
      </c>
      <c r="P31" s="35"/>
      <c r="Q31" s="35"/>
      <c r="R31" s="35"/>
      <c r="S31" s="36">
        <f t="shared" si="8"/>
        <v>0</v>
      </c>
      <c r="T31" s="35">
        <f t="shared" si="4"/>
        <v>202398000</v>
      </c>
      <c r="U31" s="35">
        <f>SUM(E26:E31)</f>
        <v>-1936833000</v>
      </c>
      <c r="V31" s="20" t="str">
        <f t="shared" si="5"/>
        <v>Feb-09 Budget Elec Unbilled revenue change</v>
      </c>
      <c r="X31" s="38"/>
    </row>
    <row r="32" spans="1:24" s="21" customFormat="1" ht="14.25" x14ac:dyDescent="0.2">
      <c r="A32" s="54" t="s">
        <v>12</v>
      </c>
      <c r="B32" s="33">
        <v>44299996</v>
      </c>
      <c r="C32" s="34" t="s">
        <v>48</v>
      </c>
      <c r="D32" s="35">
        <v>-174538000</v>
      </c>
      <c r="E32" s="35">
        <v>-174207000</v>
      </c>
      <c r="F32" s="35"/>
      <c r="G32" s="36">
        <f t="shared" si="0"/>
        <v>-348745000</v>
      </c>
      <c r="H32" s="35"/>
      <c r="I32" s="35"/>
      <c r="J32" s="35"/>
      <c r="K32" s="36">
        <f t="shared" si="6"/>
        <v>0</v>
      </c>
      <c r="L32" s="35"/>
      <c r="M32" s="35"/>
      <c r="N32" s="35"/>
      <c r="O32" s="36">
        <f t="shared" si="7"/>
        <v>0</v>
      </c>
      <c r="P32" s="35"/>
      <c r="Q32" s="35"/>
      <c r="R32" s="35"/>
      <c r="S32" s="36">
        <f t="shared" si="8"/>
        <v>0</v>
      </c>
      <c r="T32" s="35">
        <f t="shared" si="4"/>
        <v>-348745000</v>
      </c>
      <c r="U32" s="35"/>
      <c r="V32" s="20" t="str">
        <f t="shared" si="5"/>
        <v>Feb-09 Budget Elec Transportation (Billed plus Change in Unbilled)</v>
      </c>
      <c r="X32" s="38"/>
    </row>
    <row r="33" spans="1:24" s="21" customFormat="1" ht="14.25" x14ac:dyDescent="0.2">
      <c r="A33" s="32" t="s">
        <v>13</v>
      </c>
      <c r="B33" s="33">
        <v>44799997</v>
      </c>
      <c r="C33" s="34" t="s">
        <v>48</v>
      </c>
      <c r="D33" s="35">
        <v>-37200000</v>
      </c>
      <c r="E33" s="35">
        <v>0</v>
      </c>
      <c r="F33" s="35"/>
      <c r="G33" s="36">
        <f t="shared" si="0"/>
        <v>-37200000</v>
      </c>
      <c r="H33" s="35"/>
      <c r="I33" s="35"/>
      <c r="J33" s="35"/>
      <c r="K33" s="36">
        <f t="shared" si="6"/>
        <v>0</v>
      </c>
      <c r="L33" s="35"/>
      <c r="M33" s="35"/>
      <c r="N33" s="35"/>
      <c r="O33" s="36">
        <f t="shared" si="7"/>
        <v>0</v>
      </c>
      <c r="P33" s="35"/>
      <c r="Q33" s="35"/>
      <c r="R33" s="35"/>
      <c r="S33" s="36">
        <f t="shared" si="8"/>
        <v>0</v>
      </c>
      <c r="T33" s="35">
        <f t="shared" si="4"/>
        <v>-37200000</v>
      </c>
      <c r="U33" s="35">
        <f>+U31+SUM(E32:E33)</f>
        <v>-2111040000</v>
      </c>
      <c r="V33" s="20" t="str">
        <f t="shared" si="5"/>
        <v>Feb-09 Budget Elec Sales to other utilities and marketers</v>
      </c>
      <c r="X33" s="38"/>
    </row>
    <row r="34" spans="1:24" s="21" customFormat="1" ht="14.25" x14ac:dyDescent="0.2">
      <c r="A34" s="23"/>
      <c r="B34" s="23"/>
      <c r="C34" s="23"/>
      <c r="D34" s="35"/>
      <c r="E34" s="35"/>
      <c r="F34" s="35"/>
      <c r="G34" s="36"/>
      <c r="H34" s="35"/>
      <c r="I34" s="35"/>
      <c r="J34" s="35"/>
      <c r="K34" s="36"/>
      <c r="L34" s="35"/>
      <c r="M34" s="35"/>
      <c r="N34" s="35"/>
      <c r="O34" s="36"/>
      <c r="P34" s="35"/>
      <c r="Q34" s="35"/>
      <c r="R34" s="35"/>
      <c r="S34" s="36"/>
      <c r="T34" s="35"/>
      <c r="U34" s="35"/>
      <c r="V34" s="20"/>
      <c r="X34" s="55"/>
    </row>
    <row r="35" spans="1:24" s="21" customFormat="1" ht="14.25" x14ac:dyDescent="0.2">
      <c r="A35" s="23"/>
      <c r="B35" s="23"/>
      <c r="C35" s="23"/>
      <c r="D35" s="56"/>
      <c r="E35" s="56"/>
      <c r="F35" s="57"/>
      <c r="G35" s="58"/>
      <c r="H35" s="56"/>
      <c r="I35" s="56"/>
      <c r="J35" s="56"/>
      <c r="K35" s="58"/>
      <c r="L35" s="56"/>
      <c r="M35" s="56"/>
      <c r="N35" s="56"/>
      <c r="O35" s="58"/>
      <c r="P35" s="56"/>
      <c r="Q35" s="56"/>
      <c r="R35" s="56"/>
      <c r="S35" s="58"/>
      <c r="T35" s="56"/>
      <c r="U35" s="56"/>
      <c r="V35" s="20"/>
    </row>
    <row r="36" spans="1:24" s="21" customFormat="1" ht="14.25" x14ac:dyDescent="0.2">
      <c r="A36" s="23"/>
      <c r="B36" s="23"/>
      <c r="C36" s="23"/>
      <c r="D36" s="23"/>
      <c r="E36" s="23"/>
      <c r="F36" s="59"/>
      <c r="G36" s="60"/>
      <c r="H36" s="23"/>
      <c r="I36" s="23"/>
      <c r="J36" s="23"/>
      <c r="K36" s="60"/>
      <c r="L36" s="23"/>
      <c r="M36" s="23"/>
      <c r="N36" s="23"/>
      <c r="O36" s="60"/>
      <c r="P36" s="23"/>
      <c r="Q36" s="23"/>
      <c r="R36" s="23"/>
      <c r="S36" s="60"/>
      <c r="T36" s="23"/>
      <c r="U36" s="23"/>
      <c r="V36" s="20"/>
    </row>
  </sheetData>
  <phoneticPr fontId="33" type="noConversion"/>
  <pageMargins left="0.2" right="0.28999999999999998" top="0.55000000000000004" bottom="0.43" header="0.2" footer="0.17"/>
  <pageSetup scale="96" orientation="landscape" r:id="rId1"/>
  <headerFooter alignWithMargins="0">
    <oddHeader>&amp;A</oddHeader>
    <oddFooter>&amp;R&amp;8&amp;Z&amp;F\&amp;A</oddFooter>
  </headerFooter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EG85"/>
  <sheetViews>
    <sheetView workbookViewId="0">
      <pane xSplit="9" ySplit="4" topLeftCell="J5" activePane="bottomRight" state="frozen"/>
      <selection activeCell="B34" sqref="B34"/>
      <selection pane="topRight" activeCell="B34" sqref="B34"/>
      <selection pane="bottomLeft" activeCell="B34" sqref="B34"/>
      <selection pane="bottomRight" activeCell="J5" sqref="J5"/>
    </sheetView>
  </sheetViews>
  <sheetFormatPr defaultColWidth="8.140625" defaultRowHeight="11.25" outlineLevelCol="1" x14ac:dyDescent="0.2"/>
  <cols>
    <col min="1" max="1" width="1.5703125" style="62" customWidth="1"/>
    <col min="2" max="2" width="1.140625" style="62" customWidth="1"/>
    <col min="3" max="3" width="1.42578125" style="62" customWidth="1"/>
    <col min="4" max="4" width="1.5703125" style="62" customWidth="1"/>
    <col min="5" max="6" width="1.7109375" style="62" customWidth="1"/>
    <col min="7" max="7" width="30.28515625" style="62" customWidth="1"/>
    <col min="8" max="8" width="1.7109375" style="62" customWidth="1"/>
    <col min="9" max="9" width="0.28515625" style="62" hidden="1" customWidth="1"/>
    <col min="10" max="10" width="11.28515625" style="65" customWidth="1"/>
    <col min="11" max="11" width="1.7109375" style="62" customWidth="1"/>
    <col min="12" max="12" width="11.28515625" style="64" customWidth="1"/>
    <col min="13" max="13" width="2.7109375" style="68" customWidth="1" outlineLevel="1"/>
    <col min="14" max="14" width="3" style="68" customWidth="1" outlineLevel="1"/>
    <col min="15" max="15" width="11.28515625" style="64" customWidth="1" outlineLevel="1"/>
    <col min="16" max="16" width="1.85546875" style="178" customWidth="1" outlineLevel="1"/>
    <col min="17" max="17" width="10.7109375" style="177" customWidth="1" outlineLevel="1"/>
    <col min="18" max="18" width="12.7109375" style="178" customWidth="1"/>
    <col min="19" max="20" width="12.28515625" style="62" customWidth="1"/>
    <col min="21" max="21" width="14.140625" style="62" customWidth="1"/>
    <col min="22" max="22" width="9.85546875" style="62" customWidth="1"/>
    <col min="23" max="31" width="8.140625" style="62" customWidth="1"/>
    <col min="32" max="32" width="10.7109375" style="62" customWidth="1"/>
    <col min="33" max="33" width="9.5703125" style="62" customWidth="1"/>
    <col min="34" max="16384" width="8.140625" style="62"/>
  </cols>
  <sheetData>
    <row r="1" spans="1:137" s="72" customFormat="1" ht="13.5" customHeight="1" x14ac:dyDescent="0.25">
      <c r="A1" s="61"/>
      <c r="B1" s="62"/>
      <c r="C1" s="62"/>
      <c r="D1" s="62"/>
      <c r="E1" s="62"/>
      <c r="F1" s="63"/>
      <c r="G1" s="64"/>
      <c r="H1" s="62"/>
      <c r="I1" s="62"/>
      <c r="J1" s="65"/>
      <c r="K1" s="66"/>
      <c r="L1" s="67"/>
      <c r="M1" s="68"/>
      <c r="N1" s="68"/>
      <c r="O1" s="64"/>
      <c r="P1" s="69"/>
      <c r="Q1" s="70"/>
      <c r="R1" s="69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</row>
    <row r="2" spans="1:137" s="74" customFormat="1" ht="16.5" customHeight="1" x14ac:dyDescent="0.25">
      <c r="A2" s="73" t="s">
        <v>82</v>
      </c>
      <c r="J2" s="75"/>
      <c r="L2" s="76"/>
      <c r="M2" s="77"/>
      <c r="N2" s="77"/>
      <c r="O2" s="76"/>
      <c r="P2" s="78"/>
      <c r="Q2" s="79"/>
      <c r="R2" s="80"/>
    </row>
    <row r="3" spans="1:137" s="83" customFormat="1" ht="13.5" customHeight="1" x14ac:dyDescent="0.2">
      <c r="A3" s="179"/>
      <c r="B3" s="180"/>
      <c r="C3" s="180"/>
      <c r="D3" s="180"/>
      <c r="E3" s="180"/>
      <c r="F3" s="180"/>
      <c r="G3" s="180"/>
      <c r="H3" s="180"/>
      <c r="I3" s="181"/>
      <c r="J3" s="326" t="str">
        <f>"Three months ended 9/30"</f>
        <v>Three months ended 9/30</v>
      </c>
      <c r="K3" s="327"/>
      <c r="L3" s="327"/>
      <c r="M3" s="182"/>
      <c r="N3" s="183"/>
      <c r="O3" s="326" t="str">
        <f>"Nine months ended 9/30"</f>
        <v>Nine months ended 9/30</v>
      </c>
      <c r="P3" s="327"/>
      <c r="Q3" s="327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</row>
    <row r="4" spans="1:137" s="85" customFormat="1" ht="11.25" customHeight="1" x14ac:dyDescent="0.2">
      <c r="A4" s="184" t="s">
        <v>3</v>
      </c>
      <c r="B4" s="184"/>
      <c r="C4" s="184"/>
      <c r="D4" s="184"/>
      <c r="E4" s="184"/>
      <c r="F4" s="184"/>
      <c r="G4" s="184"/>
      <c r="H4" s="184"/>
      <c r="I4" s="185"/>
      <c r="J4" s="186" t="e">
        <f>#REF!</f>
        <v>#REF!</v>
      </c>
      <c r="K4" s="185"/>
      <c r="L4" s="187" t="e">
        <f>#REF!</f>
        <v>#REF!</v>
      </c>
      <c r="M4" s="188"/>
      <c r="N4" s="189"/>
      <c r="O4" s="186" t="e">
        <f>J4</f>
        <v>#REF!</v>
      </c>
      <c r="P4" s="185"/>
      <c r="Q4" s="187" t="e">
        <f>L4</f>
        <v>#REF!</v>
      </c>
      <c r="R4" s="84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</row>
    <row r="5" spans="1:137" s="88" customFormat="1" ht="12" x14ac:dyDescent="0.2">
      <c r="A5" s="190" t="s">
        <v>83</v>
      </c>
      <c r="B5" s="180"/>
      <c r="C5" s="180"/>
      <c r="D5" s="180"/>
      <c r="E5" s="180"/>
      <c r="F5" s="180"/>
      <c r="G5" s="180"/>
      <c r="H5" s="180"/>
      <c r="I5" s="180" t="s">
        <v>3</v>
      </c>
      <c r="J5" s="191" t="s">
        <v>3</v>
      </c>
      <c r="K5" s="192" t="s">
        <v>3</v>
      </c>
      <c r="L5" s="191"/>
      <c r="M5" s="193"/>
      <c r="N5" s="194"/>
      <c r="O5" s="191" t="s">
        <v>3</v>
      </c>
      <c r="P5" s="192" t="s">
        <v>3</v>
      </c>
      <c r="Q5" s="191"/>
      <c r="R5" s="87"/>
    </row>
    <row r="6" spans="1:137" s="91" customFormat="1" ht="12" x14ac:dyDescent="0.2">
      <c r="A6" s="195"/>
      <c r="B6" s="196" t="s">
        <v>49</v>
      </c>
      <c r="C6" s="184"/>
      <c r="D6" s="184"/>
      <c r="E6" s="184"/>
      <c r="F6" s="184"/>
      <c r="G6" s="184"/>
      <c r="H6" s="184"/>
      <c r="I6" s="184"/>
      <c r="J6" s="197"/>
      <c r="K6" s="184"/>
      <c r="L6" s="198"/>
      <c r="M6" s="193"/>
      <c r="N6" s="194"/>
      <c r="O6" s="197"/>
      <c r="P6" s="184"/>
      <c r="Q6" s="198"/>
      <c r="R6" s="89"/>
      <c r="S6" s="90"/>
    </row>
    <row r="7" spans="1:137" s="91" customFormat="1" ht="12" customHeight="1" x14ac:dyDescent="0.25">
      <c r="A7" s="184"/>
      <c r="B7" s="199"/>
      <c r="C7" s="184" t="s">
        <v>6</v>
      </c>
      <c r="D7" s="199"/>
      <c r="E7" s="199"/>
      <c r="F7" s="199"/>
      <c r="G7" s="199"/>
      <c r="H7" s="199"/>
      <c r="I7" s="184" t="s">
        <v>50</v>
      </c>
      <c r="J7" s="200" t="e">
        <f>ROUND(#REF!/1000,0)</f>
        <v>#REF!</v>
      </c>
      <c r="K7" s="201"/>
      <c r="L7" s="200" t="e">
        <f>ROUND(#REF!/1000,0)</f>
        <v>#REF!</v>
      </c>
      <c r="M7" s="202"/>
      <c r="N7" s="203"/>
      <c r="O7" s="200" t="e">
        <f>ROUND(#REF!/1000,0)</f>
        <v>#REF!</v>
      </c>
      <c r="P7" s="201"/>
      <c r="Q7" s="200" t="e">
        <f>ROUND(#REF!/1000,0)</f>
        <v>#REF!</v>
      </c>
      <c r="R7" s="67"/>
      <c r="S7" s="92"/>
    </row>
    <row r="8" spans="1:137" s="91" customFormat="1" ht="12" x14ac:dyDescent="0.2">
      <c r="A8" s="184"/>
      <c r="B8" s="199"/>
      <c r="C8" s="184" t="s">
        <v>7</v>
      </c>
      <c r="D8" s="199"/>
      <c r="E8" s="199"/>
      <c r="F8" s="199"/>
      <c r="G8" s="199"/>
      <c r="H8" s="199"/>
      <c r="I8" s="184"/>
      <c r="J8" s="204" t="e">
        <f>ROUND(#REF!/1000,0)</f>
        <v>#REF!</v>
      </c>
      <c r="K8" s="205"/>
      <c r="L8" s="204" t="e">
        <f>ROUND(#REF!/1000,0)</f>
        <v>#REF!</v>
      </c>
      <c r="M8" s="206"/>
      <c r="N8" s="207"/>
      <c r="O8" s="204" t="e">
        <f>ROUND(#REF!/1000,0)</f>
        <v>#REF!</v>
      </c>
      <c r="P8" s="205"/>
      <c r="Q8" s="204" t="e">
        <f>ROUND(#REF!/1000,0)</f>
        <v>#REF!</v>
      </c>
      <c r="R8" s="93"/>
    </row>
    <row r="9" spans="1:137" s="91" customFormat="1" ht="12" x14ac:dyDescent="0.2">
      <c r="A9" s="184"/>
      <c r="B9" s="199"/>
      <c r="C9" s="184" t="s">
        <v>51</v>
      </c>
      <c r="D9" s="199"/>
      <c r="E9" s="199"/>
      <c r="F9" s="199"/>
      <c r="G9" s="199"/>
      <c r="H9" s="199"/>
      <c r="I9" s="184"/>
      <c r="J9" s="204" t="e">
        <f>ROUND(#REF!/1000,0)</f>
        <v>#REF!</v>
      </c>
      <c r="K9" s="205"/>
      <c r="L9" s="204" t="e">
        <f>ROUND(#REF!/1000,0)</f>
        <v>#REF!</v>
      </c>
      <c r="M9" s="206"/>
      <c r="N9" s="207"/>
      <c r="O9" s="204" t="e">
        <f>ROUND(#REF!/1000,0)</f>
        <v>#REF!</v>
      </c>
      <c r="P9" s="205"/>
      <c r="Q9" s="204" t="e">
        <f>ROUND(#REF!/1000,0)</f>
        <v>#REF!</v>
      </c>
      <c r="R9" s="93"/>
    </row>
    <row r="10" spans="1:137" s="91" customFormat="1" ht="12" x14ac:dyDescent="0.2">
      <c r="A10" s="184"/>
      <c r="B10" s="199"/>
      <c r="C10" s="184" t="s">
        <v>52</v>
      </c>
      <c r="D10" s="199"/>
      <c r="E10" s="199"/>
      <c r="F10" s="199"/>
      <c r="G10" s="199"/>
      <c r="H10" s="199"/>
      <c r="I10" s="184"/>
      <c r="J10" s="208" t="e">
        <f>ROUND((#REF!+#REF!+#REF!)/1000,0)</f>
        <v>#REF!</v>
      </c>
      <c r="K10" s="205"/>
      <c r="L10" s="208" t="e">
        <f>ROUND((#REF!+#REF!+#REF!)/1000,0)</f>
        <v>#REF!</v>
      </c>
      <c r="M10" s="206"/>
      <c r="N10" s="207"/>
      <c r="O10" s="208" t="e">
        <f>ROUND((#REF!+#REF!+#REF!)/1000,0)</f>
        <v>#REF!</v>
      </c>
      <c r="P10" s="205"/>
      <c r="Q10" s="208" t="e">
        <f>ROUND((#REF!+#REF!+#REF!)/1000,0)</f>
        <v>#REF!</v>
      </c>
      <c r="R10" s="93"/>
    </row>
    <row r="11" spans="1:137" s="91" customFormat="1" ht="12" x14ac:dyDescent="0.2">
      <c r="A11" s="184"/>
      <c r="B11" s="199"/>
      <c r="C11" s="184"/>
      <c r="D11" s="199" t="s">
        <v>53</v>
      </c>
      <c r="E11" s="199"/>
      <c r="F11" s="199"/>
      <c r="G11" s="199"/>
      <c r="H11" s="199"/>
      <c r="I11" s="184"/>
      <c r="J11" s="204" t="e">
        <f>SUM(J7:J10)</f>
        <v>#REF!</v>
      </c>
      <c r="K11" s="205"/>
      <c r="L11" s="204" t="e">
        <f>SUM(L7:L10)</f>
        <v>#REF!</v>
      </c>
      <c r="M11" s="206"/>
      <c r="N11" s="207"/>
      <c r="O11" s="204" t="e">
        <f>SUM(O7:O10)</f>
        <v>#REF!</v>
      </c>
      <c r="P11" s="205"/>
      <c r="Q11" s="204" t="e">
        <f>SUM(Q7:Q10)</f>
        <v>#REF!</v>
      </c>
      <c r="R11" s="93"/>
    </row>
    <row r="12" spans="1:137" s="91" customFormat="1" ht="12" x14ac:dyDescent="0.2">
      <c r="A12" s="184"/>
      <c r="B12" s="199"/>
      <c r="C12" s="184" t="s">
        <v>54</v>
      </c>
      <c r="D12" s="199"/>
      <c r="E12" s="199"/>
      <c r="F12" s="199"/>
      <c r="G12" s="199"/>
      <c r="H12" s="199"/>
      <c r="I12" s="184"/>
      <c r="J12" s="204" t="e">
        <f>ROUND(#REF!/1000,0)</f>
        <v>#REF!</v>
      </c>
      <c r="K12" s="205"/>
      <c r="L12" s="204" t="e">
        <f>ROUND(#REF!/1000,0)</f>
        <v>#REF!</v>
      </c>
      <c r="M12" s="206"/>
      <c r="N12" s="207"/>
      <c r="O12" s="204" t="e">
        <f>ROUND(#REF!/1000,0)</f>
        <v>#REF!</v>
      </c>
      <c r="P12" s="205"/>
      <c r="Q12" s="204" t="e">
        <f>ROUND(#REF!/1000,0)</f>
        <v>#REF!</v>
      </c>
      <c r="R12" s="93"/>
    </row>
    <row r="13" spans="1:137" s="91" customFormat="1" ht="12" x14ac:dyDescent="0.2">
      <c r="A13" s="184"/>
      <c r="B13" s="199"/>
      <c r="C13" s="184" t="s">
        <v>55</v>
      </c>
      <c r="D13" s="199"/>
      <c r="E13" s="199"/>
      <c r="F13" s="199"/>
      <c r="G13" s="199"/>
      <c r="H13" s="199"/>
      <c r="I13" s="184"/>
      <c r="J13" s="204" t="e">
        <f>ROUND(#REF!/1000,0)</f>
        <v>#REF!</v>
      </c>
      <c r="K13" s="209"/>
      <c r="L13" s="204" t="e">
        <f>ROUND(#REF!/1000,0)</f>
        <v>#REF!</v>
      </c>
      <c r="M13" s="206"/>
      <c r="N13" s="207"/>
      <c r="O13" s="204" t="e">
        <f>ROUND(#REF!/1000,0)</f>
        <v>#REF!</v>
      </c>
      <c r="P13" s="209"/>
      <c r="Q13" s="204" t="e">
        <f>ROUND(#REF!/1000,0)</f>
        <v>#REF!</v>
      </c>
      <c r="R13" s="93"/>
    </row>
    <row r="14" spans="1:137" s="91" customFormat="1" ht="13.5" x14ac:dyDescent="0.2">
      <c r="A14" s="184"/>
      <c r="B14" s="199"/>
      <c r="C14" s="184" t="s">
        <v>84</v>
      </c>
      <c r="D14" s="199"/>
      <c r="E14" s="199"/>
      <c r="F14" s="199"/>
      <c r="G14" s="199"/>
      <c r="H14" s="199"/>
      <c r="I14" s="184"/>
      <c r="J14" s="204" t="e">
        <f>ROUND(#REF!/1000,0)</f>
        <v>#REF!</v>
      </c>
      <c r="K14" s="209"/>
      <c r="L14" s="204" t="e">
        <f>ROUND(#REF!/1000,0)-2</f>
        <v>#REF!</v>
      </c>
      <c r="M14" s="206"/>
      <c r="N14" s="207"/>
      <c r="O14" s="204" t="e">
        <f>ROUND(#REF!/1000,0)+1</f>
        <v>#REF!</v>
      </c>
      <c r="P14" s="209"/>
      <c r="Q14" s="204" t="e">
        <f>ROUND(#REF!/1000,0)</f>
        <v>#REF!</v>
      </c>
      <c r="R14" s="93"/>
    </row>
    <row r="15" spans="1:137" s="91" customFormat="1" ht="12" x14ac:dyDescent="0.2">
      <c r="A15" s="184"/>
      <c r="B15" s="199"/>
      <c r="C15" s="184"/>
      <c r="D15" s="210" t="s">
        <v>56</v>
      </c>
      <c r="E15" s="211"/>
      <c r="F15" s="199"/>
      <c r="G15" s="199"/>
      <c r="H15" s="199"/>
      <c r="I15" s="212"/>
      <c r="J15" s="213" t="e">
        <f>SUM(J11:J14)</f>
        <v>#REF!</v>
      </c>
      <c r="K15" s="209"/>
      <c r="L15" s="213" t="e">
        <f>SUM(L11:L14)</f>
        <v>#REF!</v>
      </c>
      <c r="M15" s="214"/>
      <c r="N15" s="215"/>
      <c r="O15" s="213" t="e">
        <f>SUM(O11:O14)</f>
        <v>#REF!</v>
      </c>
      <c r="P15" s="209"/>
      <c r="Q15" s="213" t="e">
        <f>SUM(Q11:Q14)</f>
        <v>#REF!</v>
      </c>
      <c r="R15" s="94"/>
    </row>
    <row r="16" spans="1:137" s="91" customFormat="1" ht="10.5" customHeight="1" x14ac:dyDescent="0.2">
      <c r="A16" s="184"/>
      <c r="B16" s="216" t="s">
        <v>57</v>
      </c>
      <c r="C16" s="184"/>
      <c r="D16" s="199"/>
      <c r="E16" s="199"/>
      <c r="F16" s="199"/>
      <c r="G16" s="199"/>
      <c r="H16" s="199"/>
      <c r="I16" s="212"/>
      <c r="J16" s="217"/>
      <c r="K16" s="209"/>
      <c r="L16" s="217"/>
      <c r="M16" s="218"/>
      <c r="N16" s="219"/>
      <c r="O16" s="217"/>
      <c r="P16" s="209"/>
      <c r="Q16" s="217"/>
      <c r="R16" s="95"/>
      <c r="S16" s="92"/>
    </row>
    <row r="17" spans="1:29" s="91" customFormat="1" ht="12" x14ac:dyDescent="0.2">
      <c r="A17" s="184"/>
      <c r="B17" s="199"/>
      <c r="C17" s="184" t="s">
        <v>6</v>
      </c>
      <c r="D17" s="199"/>
      <c r="E17" s="184"/>
      <c r="F17" s="199"/>
      <c r="G17" s="184"/>
      <c r="H17" s="184"/>
      <c r="I17" s="184"/>
      <c r="J17" s="204">
        <v>0</v>
      </c>
      <c r="K17" s="205"/>
      <c r="L17" s="204">
        <v>0</v>
      </c>
      <c r="M17" s="206"/>
      <c r="N17" s="207"/>
      <c r="O17" s="204">
        <v>0</v>
      </c>
      <c r="P17" s="205"/>
      <c r="Q17" s="204">
        <v>0</v>
      </c>
      <c r="R17" s="93"/>
    </row>
    <row r="18" spans="1:29" s="91" customFormat="1" ht="12" x14ac:dyDescent="0.2">
      <c r="A18" s="184"/>
      <c r="B18" s="199"/>
      <c r="C18" s="184" t="s">
        <v>7</v>
      </c>
      <c r="D18" s="199"/>
      <c r="E18" s="184"/>
      <c r="F18" s="199"/>
      <c r="G18" s="184"/>
      <c r="H18" s="184"/>
      <c r="I18" s="184"/>
      <c r="J18" s="204">
        <v>0</v>
      </c>
      <c r="K18" s="205"/>
      <c r="L18" s="204">
        <v>0</v>
      </c>
      <c r="M18" s="206"/>
      <c r="N18" s="207"/>
      <c r="O18" s="204">
        <v>0</v>
      </c>
      <c r="P18" s="205"/>
      <c r="Q18" s="204">
        <v>0</v>
      </c>
      <c r="R18" s="93"/>
    </row>
    <row r="19" spans="1:29" s="91" customFormat="1" ht="12" x14ac:dyDescent="0.2">
      <c r="A19" s="184"/>
      <c r="B19" s="199"/>
      <c r="C19" s="184" t="s">
        <v>51</v>
      </c>
      <c r="D19" s="199"/>
      <c r="E19" s="184"/>
      <c r="F19" s="199"/>
      <c r="G19" s="184"/>
      <c r="H19" s="184"/>
      <c r="I19" s="198"/>
      <c r="J19" s="208">
        <v>0</v>
      </c>
      <c r="K19" s="197"/>
      <c r="L19" s="208">
        <v>0</v>
      </c>
      <c r="M19" s="206"/>
      <c r="N19" s="207"/>
      <c r="O19" s="208">
        <v>0</v>
      </c>
      <c r="P19" s="197"/>
      <c r="Q19" s="208">
        <v>0</v>
      </c>
      <c r="R19" s="93"/>
    </row>
    <row r="20" spans="1:29" s="91" customFormat="1" ht="12" x14ac:dyDescent="0.2">
      <c r="A20" s="184"/>
      <c r="B20" s="199"/>
      <c r="C20" s="184"/>
      <c r="D20" s="199" t="s">
        <v>53</v>
      </c>
      <c r="E20" s="184"/>
      <c r="F20" s="199"/>
      <c r="G20" s="184"/>
      <c r="H20" s="184"/>
      <c r="I20" s="198"/>
      <c r="J20" s="204">
        <f>SUM(J17:J19)</f>
        <v>0</v>
      </c>
      <c r="K20" s="197"/>
      <c r="L20" s="204">
        <f>SUM(L17:L19)</f>
        <v>0</v>
      </c>
      <c r="M20" s="206"/>
      <c r="N20" s="207"/>
      <c r="O20" s="204">
        <f>SUM(O17:O19)</f>
        <v>0</v>
      </c>
      <c r="P20" s="197"/>
      <c r="Q20" s="204">
        <f>SUM(Q17:Q19)</f>
        <v>0</v>
      </c>
      <c r="R20" s="93"/>
    </row>
    <row r="21" spans="1:29" s="91" customFormat="1" ht="12" x14ac:dyDescent="0.2">
      <c r="A21" s="184"/>
      <c r="B21" s="199"/>
      <c r="C21" s="184" t="s">
        <v>58</v>
      </c>
      <c r="D21" s="199"/>
      <c r="E21" s="184"/>
      <c r="F21" s="184"/>
      <c r="G21" s="184"/>
      <c r="H21" s="184"/>
      <c r="I21" s="184"/>
      <c r="J21" s="204">
        <v>0</v>
      </c>
      <c r="K21" s="205"/>
      <c r="L21" s="204">
        <v>0</v>
      </c>
      <c r="M21" s="206"/>
      <c r="N21" s="207"/>
      <c r="O21" s="204">
        <v>0</v>
      </c>
      <c r="P21" s="205"/>
      <c r="Q21" s="204">
        <v>0</v>
      </c>
      <c r="R21" s="93"/>
    </row>
    <row r="22" spans="1:29" s="91" customFormat="1" ht="12" x14ac:dyDescent="0.2">
      <c r="A22" s="184"/>
      <c r="B22" s="199"/>
      <c r="C22" s="184" t="s">
        <v>59</v>
      </c>
      <c r="D22" s="199"/>
      <c r="E22" s="184"/>
      <c r="F22" s="184"/>
      <c r="G22" s="184"/>
      <c r="H22" s="184"/>
      <c r="I22" s="184"/>
      <c r="J22" s="204">
        <v>0</v>
      </c>
      <c r="K22" s="209"/>
      <c r="L22" s="204">
        <v>0</v>
      </c>
      <c r="M22" s="206"/>
      <c r="N22" s="207"/>
      <c r="O22" s="204">
        <v>0</v>
      </c>
      <c r="P22" s="209"/>
      <c r="Q22" s="204">
        <v>0</v>
      </c>
      <c r="R22" s="93"/>
    </row>
    <row r="23" spans="1:29" s="91" customFormat="1" ht="12" x14ac:dyDescent="0.2">
      <c r="A23" s="184"/>
      <c r="B23" s="199"/>
      <c r="C23" s="184"/>
      <c r="D23" s="179" t="s">
        <v>60</v>
      </c>
      <c r="E23" s="184"/>
      <c r="F23" s="184"/>
      <c r="G23" s="184"/>
      <c r="H23" s="184"/>
      <c r="I23" s="212"/>
      <c r="J23" s="213">
        <f>SUM(J20:J22)</f>
        <v>0</v>
      </c>
      <c r="K23" s="209"/>
      <c r="L23" s="213">
        <f>SUM(L20:L22)</f>
        <v>0</v>
      </c>
      <c r="M23" s="214"/>
      <c r="N23" s="215"/>
      <c r="O23" s="213">
        <f>SUM(O20:O22)</f>
        <v>0</v>
      </c>
      <c r="P23" s="209"/>
      <c r="Q23" s="213">
        <f>SUM(Q20:Q22)</f>
        <v>0</v>
      </c>
      <c r="R23" s="94"/>
    </row>
    <row r="24" spans="1:29" s="91" customFormat="1" ht="12.75" thickBot="1" x14ac:dyDescent="0.25">
      <c r="A24" s="220"/>
      <c r="B24" s="221" t="s">
        <v>61</v>
      </c>
      <c r="C24" s="220"/>
      <c r="D24" s="220"/>
      <c r="E24" s="222"/>
      <c r="F24" s="220"/>
      <c r="G24" s="220"/>
      <c r="H24" s="220"/>
      <c r="I24" s="223" t="s">
        <v>50</v>
      </c>
      <c r="J24" s="224">
        <v>0</v>
      </c>
      <c r="K24" s="225"/>
      <c r="L24" s="224">
        <v>0</v>
      </c>
      <c r="M24" s="202"/>
      <c r="N24" s="203"/>
      <c r="O24" s="224">
        <v>0</v>
      </c>
      <c r="P24" s="225"/>
      <c r="Q24" s="224">
        <v>0</v>
      </c>
      <c r="R24" s="96"/>
    </row>
    <row r="25" spans="1:29" s="88" customFormat="1" ht="12.75" customHeight="1" x14ac:dyDescent="0.2">
      <c r="A25" s="190" t="s">
        <v>85</v>
      </c>
      <c r="B25" s="180"/>
      <c r="C25" s="180"/>
      <c r="D25" s="180"/>
      <c r="E25" s="180"/>
      <c r="F25" s="180"/>
      <c r="G25" s="180"/>
      <c r="H25" s="180"/>
      <c r="I25" s="180"/>
      <c r="J25" s="191"/>
      <c r="K25" s="226"/>
      <c r="L25" s="227"/>
      <c r="M25" s="228"/>
      <c r="N25" s="229"/>
      <c r="O25" s="230"/>
      <c r="P25" s="226"/>
      <c r="Q25" s="227"/>
      <c r="R25" s="87"/>
    </row>
    <row r="26" spans="1:29" s="91" customFormat="1" ht="12" x14ac:dyDescent="0.2">
      <c r="A26" s="184"/>
      <c r="B26" s="196" t="s">
        <v>62</v>
      </c>
      <c r="C26" s="184"/>
      <c r="D26" s="184"/>
      <c r="E26" s="184"/>
      <c r="F26" s="184"/>
      <c r="G26" s="184"/>
      <c r="H26" s="184"/>
      <c r="I26" s="184"/>
      <c r="J26" s="197"/>
      <c r="K26" s="205"/>
      <c r="L26" s="198"/>
      <c r="M26" s="193"/>
      <c r="N26" s="194"/>
      <c r="O26" s="197"/>
      <c r="P26" s="205"/>
      <c r="Q26" s="198"/>
      <c r="R26" s="89"/>
      <c r="S26" s="97"/>
    </row>
    <row r="27" spans="1:29" s="91" customFormat="1" ht="12" customHeight="1" x14ac:dyDescent="0.2">
      <c r="A27" s="184"/>
      <c r="B27" s="184"/>
      <c r="C27" s="184" t="s">
        <v>63</v>
      </c>
      <c r="D27" s="199"/>
      <c r="E27" s="199"/>
      <c r="F27" s="199"/>
      <c r="G27" s="184"/>
      <c r="H27" s="184"/>
      <c r="I27" s="184"/>
      <c r="J27" s="204" t="e">
        <f>ROUND(#REF!/1000,0)</f>
        <v>#REF!</v>
      </c>
      <c r="K27" s="205"/>
      <c r="L27" s="204" t="e">
        <f>ROUND(#REF!/1000,0)</f>
        <v>#REF!</v>
      </c>
      <c r="M27" s="206"/>
      <c r="N27" s="207"/>
      <c r="O27" s="204" t="e">
        <f>ROUND(#REF!/1000,0)</f>
        <v>#REF!</v>
      </c>
      <c r="P27" s="205"/>
      <c r="Q27" s="204" t="e">
        <f>ROUND(#REF!/1000,0)</f>
        <v>#REF!</v>
      </c>
      <c r="R27" s="93"/>
      <c r="S27" s="97"/>
    </row>
    <row r="28" spans="1:29" s="91" customFormat="1" ht="12" x14ac:dyDescent="0.2">
      <c r="A28" s="184"/>
      <c r="B28" s="184"/>
      <c r="C28" s="184" t="s">
        <v>64</v>
      </c>
      <c r="D28" s="199"/>
      <c r="E28" s="199"/>
      <c r="F28" s="199"/>
      <c r="G28" s="184"/>
      <c r="H28" s="184"/>
      <c r="I28" s="184"/>
      <c r="J28" s="204" t="e">
        <f>ROUND(#REF!/1000,0)</f>
        <v>#REF!</v>
      </c>
      <c r="K28" s="205"/>
      <c r="L28" s="204" t="e">
        <f>ROUND(#REF!/1000,0)</f>
        <v>#REF!</v>
      </c>
      <c r="M28" s="206"/>
      <c r="N28" s="207"/>
      <c r="O28" s="204" t="e">
        <f>ROUND(#REF!/1000,0)</f>
        <v>#REF!</v>
      </c>
      <c r="P28" s="205"/>
      <c r="Q28" s="204" t="e">
        <f>ROUND(#REF!/1000,0)</f>
        <v>#REF!</v>
      </c>
      <c r="R28" s="98"/>
      <c r="S28" s="99"/>
      <c r="V28" s="66"/>
      <c r="AC28" s="66"/>
    </row>
    <row r="29" spans="1:29" s="91" customFormat="1" ht="12" x14ac:dyDescent="0.2">
      <c r="A29" s="184"/>
      <c r="B29" s="184"/>
      <c r="C29" s="184" t="s">
        <v>51</v>
      </c>
      <c r="D29" s="199"/>
      <c r="E29" s="199"/>
      <c r="F29" s="199"/>
      <c r="G29" s="184"/>
      <c r="H29" s="184"/>
      <c r="I29" s="184"/>
      <c r="J29" s="204" t="e">
        <f>ROUND(#REF!/1000,0)</f>
        <v>#REF!</v>
      </c>
      <c r="K29" s="205"/>
      <c r="L29" s="204" t="e">
        <f>ROUND(#REF!/1000,0)</f>
        <v>#REF!</v>
      </c>
      <c r="M29" s="206"/>
      <c r="N29" s="207"/>
      <c r="O29" s="204" t="e">
        <f>ROUND(#REF!/1000,0)</f>
        <v>#REF!</v>
      </c>
      <c r="P29" s="205"/>
      <c r="Q29" s="204" t="e">
        <f>ROUND(#REF!/1000,0)</f>
        <v>#REF!</v>
      </c>
      <c r="R29" s="98"/>
      <c r="S29" s="97"/>
      <c r="T29" s="66"/>
      <c r="AA29" s="66"/>
    </row>
    <row r="30" spans="1:29" s="91" customFormat="1" ht="12" x14ac:dyDescent="0.2">
      <c r="A30" s="184"/>
      <c r="B30" s="184"/>
      <c r="C30" s="184" t="s">
        <v>65</v>
      </c>
      <c r="D30" s="199"/>
      <c r="E30" s="199"/>
      <c r="F30" s="199"/>
      <c r="G30" s="184"/>
      <c r="H30" s="184"/>
      <c r="I30" s="184"/>
      <c r="J30" s="208" t="e">
        <f>ROUND((#REF!+#REF!+#REF!)/1000,0)</f>
        <v>#REF!</v>
      </c>
      <c r="K30" s="205"/>
      <c r="L30" s="208" t="e">
        <f>ROUND((#REF!+#REF!+#REF!)/1000,0)</f>
        <v>#REF!</v>
      </c>
      <c r="M30" s="206"/>
      <c r="N30" s="207"/>
      <c r="O30" s="208" t="e">
        <f>ROUND((#REF!+#REF!+#REF!)/1000,0)</f>
        <v>#REF!</v>
      </c>
      <c r="P30" s="205"/>
      <c r="Q30" s="208" t="e">
        <f>ROUND((#REF!+#REF!+#REF!)/1000,0)</f>
        <v>#REF!</v>
      </c>
      <c r="R30" s="93"/>
      <c r="S30" s="97"/>
      <c r="T30" s="66"/>
      <c r="AA30" s="66"/>
    </row>
    <row r="31" spans="1:29" s="91" customFormat="1" ht="12" x14ac:dyDescent="0.2">
      <c r="A31" s="184"/>
      <c r="B31" s="184"/>
      <c r="C31" s="211"/>
      <c r="D31" s="199" t="s">
        <v>53</v>
      </c>
      <c r="E31" s="199"/>
      <c r="F31" s="199"/>
      <c r="G31" s="199"/>
      <c r="H31" s="211"/>
      <c r="I31" s="211"/>
      <c r="J31" s="204" t="e">
        <f>SUM(J27:J30)</f>
        <v>#REF!</v>
      </c>
      <c r="K31" s="231"/>
      <c r="L31" s="204" t="e">
        <f>SUM(L27:L30)</f>
        <v>#REF!</v>
      </c>
      <c r="M31" s="232"/>
      <c r="N31" s="233"/>
      <c r="O31" s="204" t="e">
        <f>SUM(O27:O30)</f>
        <v>#REF!</v>
      </c>
      <c r="P31" s="231"/>
      <c r="Q31" s="204" t="e">
        <f>SUM(Q27:Q30)</f>
        <v>#REF!</v>
      </c>
      <c r="R31" s="100"/>
      <c r="S31" s="97"/>
      <c r="T31" s="66"/>
      <c r="AA31" s="66"/>
    </row>
    <row r="32" spans="1:29" s="91" customFormat="1" ht="12" x14ac:dyDescent="0.2">
      <c r="A32" s="184"/>
      <c r="B32" s="184"/>
      <c r="C32" s="184" t="s">
        <v>54</v>
      </c>
      <c r="D32" s="199"/>
      <c r="E32" s="199"/>
      <c r="F32" s="199"/>
      <c r="G32" s="184"/>
      <c r="H32" s="184"/>
      <c r="I32" s="184"/>
      <c r="J32" s="204" t="e">
        <f>ROUND(#REF!/1000,0)</f>
        <v>#REF!</v>
      </c>
      <c r="K32" s="205"/>
      <c r="L32" s="204" t="e">
        <f>ROUND(#REF!/1000,0)</f>
        <v>#REF!</v>
      </c>
      <c r="M32" s="206"/>
      <c r="N32" s="207"/>
      <c r="O32" s="204" t="e">
        <f>ROUND(#REF!/1000,0)</f>
        <v>#REF!</v>
      </c>
      <c r="P32" s="205"/>
      <c r="Q32" s="204" t="e">
        <f>ROUND(#REF!/1000,0)</f>
        <v>#REF!</v>
      </c>
      <c r="R32" s="93"/>
      <c r="S32" s="97"/>
      <c r="T32" s="66"/>
      <c r="AA32" s="66"/>
    </row>
    <row r="33" spans="1:132" s="91" customFormat="1" ht="12" x14ac:dyDescent="0.2">
      <c r="A33" s="184"/>
      <c r="B33" s="184"/>
      <c r="C33" s="184" t="s">
        <v>55</v>
      </c>
      <c r="D33" s="199"/>
      <c r="E33" s="199"/>
      <c r="F33" s="199"/>
      <c r="G33" s="184"/>
      <c r="H33" s="184"/>
      <c r="I33" s="212"/>
      <c r="J33" s="208" t="e">
        <f>ROUND(#REF!/1000,0)</f>
        <v>#REF!</v>
      </c>
      <c r="K33" s="205"/>
      <c r="L33" s="208" t="e">
        <f>ROUND(#REF!/1000,0)-1</f>
        <v>#REF!</v>
      </c>
      <c r="M33" s="206"/>
      <c r="N33" s="207"/>
      <c r="O33" s="208" t="e">
        <f>ROUND(#REF!/1000,0)</f>
        <v>#REF!</v>
      </c>
      <c r="P33" s="205"/>
      <c r="Q33" s="208" t="e">
        <f>ROUND(#REF!/1000,0)+1</f>
        <v>#REF!</v>
      </c>
      <c r="R33" s="93"/>
      <c r="S33" s="97"/>
      <c r="T33" s="66"/>
      <c r="AA33" s="66"/>
    </row>
    <row r="34" spans="1:132" s="91" customFormat="1" ht="12" customHeight="1" x14ac:dyDescent="0.2">
      <c r="A34" s="184"/>
      <c r="B34" s="184"/>
      <c r="C34" s="184"/>
      <c r="D34" s="179" t="s">
        <v>66</v>
      </c>
      <c r="E34" s="196"/>
      <c r="F34" s="184"/>
      <c r="G34" s="199"/>
      <c r="H34" s="199"/>
      <c r="I34" s="234"/>
      <c r="J34" s="213" t="e">
        <f>SUM(J31:J33)</f>
        <v>#REF!</v>
      </c>
      <c r="K34" s="217"/>
      <c r="L34" s="213" t="e">
        <f>SUM(L31:L33)</f>
        <v>#REF!</v>
      </c>
      <c r="M34" s="214"/>
      <c r="N34" s="215"/>
      <c r="O34" s="213" t="e">
        <f>SUM(O31:O33)</f>
        <v>#REF!</v>
      </c>
      <c r="P34" s="217"/>
      <c r="Q34" s="213" t="e">
        <f>SUM(Q31:Q33)</f>
        <v>#REF!</v>
      </c>
      <c r="R34" s="94"/>
      <c r="S34" s="97"/>
      <c r="T34" s="66"/>
      <c r="AA34" s="66"/>
    </row>
    <row r="35" spans="1:132" s="91" customFormat="1" ht="12" customHeight="1" x14ac:dyDescent="0.2">
      <c r="A35" s="184"/>
      <c r="B35" s="196" t="s">
        <v>67</v>
      </c>
      <c r="C35" s="184"/>
      <c r="D35" s="184"/>
      <c r="E35" s="184"/>
      <c r="F35" s="184"/>
      <c r="G35" s="184"/>
      <c r="H35" s="184"/>
      <c r="I35" s="184"/>
      <c r="J35" s="197"/>
      <c r="K35" s="205"/>
      <c r="L35" s="197"/>
      <c r="M35" s="218"/>
      <c r="N35" s="219"/>
      <c r="O35" s="197"/>
      <c r="P35" s="205"/>
      <c r="Q35" s="197"/>
      <c r="R35" s="95"/>
      <c r="S35" s="97"/>
      <c r="T35" s="66"/>
      <c r="U35" s="92"/>
      <c r="AA35" s="66"/>
      <c r="AB35" s="92"/>
    </row>
    <row r="36" spans="1:132" s="91" customFormat="1" ht="12" x14ac:dyDescent="0.2">
      <c r="A36" s="184"/>
      <c r="B36" s="199"/>
      <c r="C36" s="184" t="s">
        <v>63</v>
      </c>
      <c r="D36" s="199"/>
      <c r="E36" s="184"/>
      <c r="F36" s="199"/>
      <c r="G36" s="184"/>
      <c r="H36" s="184"/>
      <c r="I36" s="184"/>
      <c r="J36" s="204">
        <v>0</v>
      </c>
      <c r="K36" s="205"/>
      <c r="L36" s="204">
        <v>0</v>
      </c>
      <c r="M36" s="206"/>
      <c r="N36" s="207"/>
      <c r="O36" s="204">
        <v>0</v>
      </c>
      <c r="P36" s="205"/>
      <c r="Q36" s="204">
        <v>0</v>
      </c>
      <c r="R36" s="93"/>
    </row>
    <row r="37" spans="1:132" s="91" customFormat="1" ht="12" x14ac:dyDescent="0.2">
      <c r="A37" s="184"/>
      <c r="B37" s="199"/>
      <c r="C37" s="184" t="s">
        <v>64</v>
      </c>
      <c r="D37" s="199"/>
      <c r="E37" s="184"/>
      <c r="F37" s="199"/>
      <c r="G37" s="184"/>
      <c r="H37" s="184"/>
      <c r="I37" s="184"/>
      <c r="J37" s="204">
        <v>0</v>
      </c>
      <c r="K37" s="205"/>
      <c r="L37" s="204">
        <v>0</v>
      </c>
      <c r="M37" s="206"/>
      <c r="N37" s="207"/>
      <c r="O37" s="204">
        <v>0</v>
      </c>
      <c r="P37" s="205"/>
      <c r="Q37" s="204">
        <v>0</v>
      </c>
      <c r="R37" s="93"/>
    </row>
    <row r="38" spans="1:132" s="91" customFormat="1" ht="12" x14ac:dyDescent="0.2">
      <c r="A38" s="184"/>
      <c r="B38" s="199"/>
      <c r="C38" s="184" t="s">
        <v>51</v>
      </c>
      <c r="D38" s="199"/>
      <c r="E38" s="184"/>
      <c r="F38" s="199"/>
      <c r="G38" s="184"/>
      <c r="H38" s="184"/>
      <c r="I38" s="198"/>
      <c r="J38" s="204">
        <v>0</v>
      </c>
      <c r="K38" s="197"/>
      <c r="L38" s="204">
        <v>0</v>
      </c>
      <c r="M38" s="206"/>
      <c r="N38" s="207"/>
      <c r="O38" s="204">
        <v>0</v>
      </c>
      <c r="P38" s="197"/>
      <c r="Q38" s="204">
        <v>0</v>
      </c>
      <c r="R38" s="93"/>
    </row>
    <row r="39" spans="1:132" s="91" customFormat="1" ht="12" x14ac:dyDescent="0.2">
      <c r="A39" s="184"/>
      <c r="B39" s="199"/>
      <c r="C39" s="184" t="s">
        <v>68</v>
      </c>
      <c r="D39" s="199"/>
      <c r="E39" s="184"/>
      <c r="F39" s="184"/>
      <c r="G39" s="184"/>
      <c r="H39" s="184"/>
      <c r="I39" s="184"/>
      <c r="J39" s="204">
        <v>0</v>
      </c>
      <c r="K39" s="205"/>
      <c r="L39" s="204">
        <v>0</v>
      </c>
      <c r="M39" s="206"/>
      <c r="N39" s="207"/>
      <c r="O39" s="204">
        <v>0</v>
      </c>
      <c r="P39" s="205"/>
      <c r="Q39" s="204">
        <v>0</v>
      </c>
      <c r="R39" s="93"/>
      <c r="T39" s="66"/>
      <c r="AA39" s="66"/>
    </row>
    <row r="40" spans="1:132" s="91" customFormat="1" ht="12.75" thickBot="1" x14ac:dyDescent="0.25">
      <c r="A40" s="220"/>
      <c r="B40" s="235"/>
      <c r="C40" s="220"/>
      <c r="D40" s="236" t="s">
        <v>69</v>
      </c>
      <c r="E40" s="220"/>
      <c r="F40" s="220"/>
      <c r="G40" s="220"/>
      <c r="H40" s="220"/>
      <c r="I40" s="223"/>
      <c r="J40" s="237">
        <f>SUM(J36:J39)</f>
        <v>0</v>
      </c>
      <c r="K40" s="238"/>
      <c r="L40" s="237">
        <f>SUM(L36:L39)</f>
        <v>0</v>
      </c>
      <c r="M40" s="214"/>
      <c r="N40" s="215"/>
      <c r="O40" s="237">
        <f>SUM(O36:O39)</f>
        <v>0</v>
      </c>
      <c r="P40" s="238"/>
      <c r="Q40" s="237">
        <f>SUM(Q36:Q39)</f>
        <v>0</v>
      </c>
      <c r="R40" s="94"/>
      <c r="T40" s="66"/>
      <c r="U40" s="66"/>
      <c r="AA40" s="66"/>
      <c r="AB40" s="66"/>
    </row>
    <row r="41" spans="1:132" s="91" customFormat="1" ht="15" customHeight="1" x14ac:dyDescent="0.2">
      <c r="A41" s="101" t="s">
        <v>86</v>
      </c>
      <c r="B41" s="85"/>
      <c r="D41" s="102"/>
      <c r="I41" s="103"/>
      <c r="J41" s="104"/>
      <c r="K41" s="105"/>
      <c r="L41" s="94"/>
      <c r="M41" s="106"/>
      <c r="N41" s="107"/>
      <c r="O41" s="104"/>
      <c r="P41" s="105"/>
      <c r="Q41" s="94"/>
      <c r="R41" s="94"/>
      <c r="T41" s="66"/>
      <c r="U41" s="66"/>
      <c r="AA41" s="66"/>
      <c r="AB41" s="66"/>
    </row>
    <row r="42" spans="1:132" s="91" customFormat="1" ht="12" x14ac:dyDescent="0.2">
      <c r="B42" s="108" t="s">
        <v>70</v>
      </c>
      <c r="D42" s="102"/>
      <c r="I42" s="103"/>
      <c r="J42" s="96"/>
      <c r="K42" s="109"/>
      <c r="L42" s="96"/>
      <c r="M42" s="110"/>
      <c r="N42" s="111"/>
      <c r="O42" s="96"/>
      <c r="P42" s="109"/>
      <c r="Q42" s="96"/>
      <c r="R42" s="96"/>
      <c r="S42" s="90"/>
      <c r="T42" s="66"/>
      <c r="U42" s="66"/>
      <c r="AA42" s="66"/>
      <c r="AB42" s="66"/>
    </row>
    <row r="43" spans="1:132" s="91" customFormat="1" ht="12.75" thickBot="1" x14ac:dyDescent="0.25">
      <c r="A43" s="112"/>
      <c r="B43" s="113" t="s">
        <v>57</v>
      </c>
      <c r="C43" s="112"/>
      <c r="D43" s="114"/>
      <c r="E43" s="112"/>
      <c r="F43" s="112"/>
      <c r="G43" s="112"/>
      <c r="H43" s="112"/>
      <c r="I43" s="112"/>
      <c r="J43" s="115"/>
      <c r="K43" s="116"/>
      <c r="L43" s="115"/>
      <c r="M43" s="117"/>
      <c r="N43" s="118"/>
      <c r="O43" s="115"/>
      <c r="P43" s="116"/>
      <c r="Q43" s="115"/>
      <c r="R43" s="119"/>
      <c r="T43" s="66"/>
      <c r="U43" s="66"/>
      <c r="AA43" s="66"/>
      <c r="AB43" s="66"/>
    </row>
    <row r="44" spans="1:132" s="91" customFormat="1" ht="13.5" customHeight="1" x14ac:dyDescent="0.2">
      <c r="A44" s="120" t="s">
        <v>87</v>
      </c>
      <c r="C44" s="88"/>
      <c r="D44" s="88"/>
      <c r="E44" s="88"/>
      <c r="F44" s="88"/>
      <c r="G44" s="121"/>
      <c r="H44" s="122"/>
      <c r="I44" s="121"/>
      <c r="J44" s="123"/>
      <c r="K44" s="124"/>
      <c r="L44" s="125"/>
      <c r="M44" s="126"/>
      <c r="N44" s="127"/>
      <c r="O44" s="123"/>
      <c r="P44" s="124"/>
      <c r="Q44" s="125"/>
      <c r="R44" s="89"/>
      <c r="S44" s="92"/>
      <c r="T44" s="128"/>
      <c r="U44" s="129"/>
      <c r="V44" s="129"/>
      <c r="W44" s="129"/>
      <c r="AC44" s="128"/>
    </row>
    <row r="45" spans="1:132" s="91" customFormat="1" ht="10.5" customHeight="1" x14ac:dyDescent="0.2">
      <c r="A45" s="130"/>
      <c r="B45" s="131" t="s">
        <v>71</v>
      </c>
      <c r="C45" s="132"/>
      <c r="D45" s="132"/>
      <c r="E45" s="132"/>
      <c r="F45" s="132"/>
      <c r="G45" s="132"/>
      <c r="H45" s="132"/>
      <c r="I45" s="133"/>
      <c r="J45" s="134"/>
      <c r="K45" s="135"/>
      <c r="L45" s="134"/>
      <c r="M45" s="106"/>
      <c r="N45" s="107"/>
      <c r="O45" s="134"/>
      <c r="P45" s="136"/>
      <c r="Q45" s="134">
        <v>0</v>
      </c>
      <c r="R45" s="94"/>
      <c r="S45" s="92"/>
      <c r="T45" s="128"/>
      <c r="U45" s="129"/>
      <c r="V45" s="129"/>
      <c r="W45" s="129"/>
      <c r="AC45" s="128"/>
    </row>
    <row r="46" spans="1:132" s="91" customFormat="1" ht="17.25" customHeight="1" thickBot="1" x14ac:dyDescent="0.25">
      <c r="A46" s="137"/>
      <c r="B46" s="137" t="s">
        <v>88</v>
      </c>
      <c r="C46" s="138"/>
      <c r="D46" s="138"/>
      <c r="E46" s="138"/>
      <c r="F46" s="138"/>
      <c r="G46" s="138"/>
      <c r="H46" s="138"/>
      <c r="I46" s="139"/>
      <c r="J46" s="140"/>
      <c r="K46" s="141"/>
      <c r="L46" s="140"/>
      <c r="M46" s="142"/>
      <c r="N46" s="143"/>
      <c r="O46" s="140"/>
      <c r="P46" s="144"/>
      <c r="Q46" s="140">
        <f>O46</f>
        <v>0</v>
      </c>
      <c r="R46" s="93"/>
      <c r="S46" s="145"/>
      <c r="T46" s="128"/>
      <c r="U46" s="146"/>
      <c r="V46" s="129"/>
      <c r="W46" s="129"/>
      <c r="AC46" s="128"/>
    </row>
    <row r="47" spans="1:132" s="153" customFormat="1" ht="15" customHeight="1" x14ac:dyDescent="0.2">
      <c r="A47" s="147" t="s">
        <v>89</v>
      </c>
      <c r="B47" s="88"/>
      <c r="C47" s="88"/>
      <c r="D47" s="88"/>
      <c r="E47" s="88"/>
      <c r="F47" s="88"/>
      <c r="G47" s="148"/>
      <c r="H47" s="88"/>
      <c r="I47" s="88"/>
      <c r="J47" s="149"/>
      <c r="K47" s="150"/>
      <c r="L47" s="151"/>
      <c r="M47" s="66"/>
      <c r="N47" s="66"/>
      <c r="O47" s="149"/>
      <c r="P47" s="150"/>
      <c r="Q47" s="151"/>
      <c r="R47" s="87"/>
      <c r="S47" s="91"/>
      <c r="T47" s="91"/>
      <c r="U47" s="91"/>
      <c r="V47" s="91"/>
      <c r="W47" s="91"/>
      <c r="X47" s="91"/>
      <c r="Y47" s="91"/>
      <c r="Z47" s="91"/>
      <c r="AA47" s="91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</row>
    <row r="48" spans="1:132" s="91" customFormat="1" ht="10.5" customHeight="1" x14ac:dyDescent="0.2">
      <c r="B48" s="108" t="s">
        <v>72</v>
      </c>
      <c r="J48" s="154"/>
      <c r="K48" s="99"/>
      <c r="L48" s="155"/>
      <c r="M48" s="66"/>
      <c r="N48" s="66"/>
      <c r="O48" s="154"/>
      <c r="P48" s="99"/>
      <c r="Q48" s="155"/>
      <c r="R48" s="89"/>
      <c r="S48" s="156"/>
      <c r="U48" s="152"/>
      <c r="V48" s="156"/>
      <c r="Z48" s="156"/>
    </row>
    <row r="49" spans="1:116" s="91" customFormat="1" ht="12" customHeight="1" x14ac:dyDescent="0.2">
      <c r="C49" s="91" t="s">
        <v>63</v>
      </c>
      <c r="D49" s="85"/>
      <c r="E49" s="85"/>
      <c r="F49" s="85"/>
      <c r="J49" s="66"/>
      <c r="K49" s="66"/>
      <c r="L49" s="66"/>
      <c r="M49" s="66"/>
      <c r="N49" s="66"/>
      <c r="O49" s="66"/>
      <c r="P49" s="66"/>
      <c r="Q49" s="66"/>
      <c r="R49" s="100"/>
      <c r="S49" s="90"/>
    </row>
    <row r="50" spans="1:116" s="91" customFormat="1" ht="12" x14ac:dyDescent="0.2">
      <c r="C50" s="91" t="s">
        <v>7</v>
      </c>
      <c r="D50" s="85"/>
      <c r="E50" s="85"/>
      <c r="F50" s="85"/>
      <c r="J50" s="66"/>
      <c r="K50" s="66"/>
      <c r="L50" s="66"/>
      <c r="M50" s="66"/>
      <c r="N50" s="66"/>
      <c r="O50" s="66"/>
      <c r="P50" s="66"/>
      <c r="Q50" s="66"/>
      <c r="R50" s="100"/>
    </row>
    <row r="51" spans="1:116" s="91" customFormat="1" ht="12" x14ac:dyDescent="0.2">
      <c r="C51" s="91" t="s">
        <v>51</v>
      </c>
      <c r="D51" s="85"/>
      <c r="E51" s="85"/>
      <c r="F51" s="85"/>
      <c r="J51" s="66"/>
      <c r="K51" s="66"/>
      <c r="L51" s="66"/>
      <c r="M51" s="66"/>
      <c r="N51" s="66"/>
      <c r="O51" s="66"/>
      <c r="P51" s="66"/>
      <c r="Q51" s="66"/>
      <c r="R51" s="100"/>
    </row>
    <row r="52" spans="1:116" s="91" customFormat="1" ht="12" x14ac:dyDescent="0.2">
      <c r="C52" s="91" t="s">
        <v>59</v>
      </c>
      <c r="D52" s="85"/>
      <c r="E52" s="85"/>
      <c r="F52" s="85"/>
      <c r="J52" s="66"/>
      <c r="K52" s="66"/>
      <c r="L52" s="66"/>
      <c r="M52" s="66"/>
      <c r="N52" s="66"/>
      <c r="O52" s="66"/>
      <c r="P52" s="66"/>
      <c r="Q52" s="66"/>
      <c r="R52" s="100"/>
    </row>
    <row r="53" spans="1:116" s="91" customFormat="1" ht="12" x14ac:dyDescent="0.2">
      <c r="C53" s="91" t="s">
        <v>68</v>
      </c>
      <c r="D53" s="85"/>
      <c r="E53" s="85"/>
      <c r="F53" s="85"/>
      <c r="J53" s="66"/>
      <c r="K53" s="66"/>
      <c r="L53" s="66"/>
      <c r="M53" s="66"/>
      <c r="N53" s="66"/>
      <c r="O53" s="66"/>
      <c r="P53" s="66"/>
      <c r="Q53" s="66"/>
      <c r="R53" s="157"/>
    </row>
    <row r="54" spans="1:116" s="91" customFormat="1" ht="12" customHeight="1" x14ac:dyDescent="0.2">
      <c r="D54" s="102" t="s">
        <v>73</v>
      </c>
      <c r="E54" s="108"/>
      <c r="G54" s="85"/>
      <c r="H54" s="85"/>
      <c r="J54" s="66"/>
      <c r="K54" s="66"/>
      <c r="L54" s="66"/>
      <c r="M54" s="66"/>
      <c r="N54" s="66"/>
      <c r="O54" s="66"/>
      <c r="P54" s="66"/>
      <c r="Q54" s="66"/>
      <c r="R54" s="100"/>
      <c r="U54" s="66"/>
      <c r="V54" s="66"/>
    </row>
    <row r="55" spans="1:116" s="91" customFormat="1" ht="12" customHeight="1" x14ac:dyDescent="0.2">
      <c r="B55" s="108" t="s">
        <v>57</v>
      </c>
      <c r="J55" s="66"/>
      <c r="K55" s="66"/>
      <c r="L55" s="66"/>
      <c r="M55" s="66"/>
      <c r="N55" s="66"/>
      <c r="O55" s="66"/>
      <c r="P55" s="66"/>
      <c r="Q55" s="66"/>
      <c r="R55" s="158"/>
      <c r="S55" s="129"/>
      <c r="T55" s="129"/>
      <c r="U55" s="66"/>
    </row>
    <row r="56" spans="1:116" s="91" customFormat="1" ht="12" x14ac:dyDescent="0.2">
      <c r="B56" s="85"/>
      <c r="C56" s="91" t="s">
        <v>63</v>
      </c>
      <c r="D56" s="85"/>
      <c r="F56" s="85"/>
      <c r="J56" s="66"/>
      <c r="K56" s="66"/>
      <c r="L56" s="66"/>
      <c r="M56" s="66"/>
      <c r="N56" s="66"/>
      <c r="O56" s="66"/>
      <c r="P56" s="66"/>
      <c r="Q56" s="66"/>
      <c r="R56" s="100"/>
      <c r="S56" s="129"/>
      <c r="T56" s="129"/>
    </row>
    <row r="57" spans="1:116" s="91" customFormat="1" ht="12" x14ac:dyDescent="0.2">
      <c r="C57" s="91" t="s">
        <v>64</v>
      </c>
      <c r="D57" s="85"/>
      <c r="E57" s="85"/>
      <c r="F57" s="85"/>
      <c r="J57" s="66"/>
      <c r="K57" s="66"/>
      <c r="L57" s="66"/>
      <c r="M57" s="66"/>
      <c r="N57" s="66"/>
      <c r="O57" s="66"/>
      <c r="P57" s="66"/>
      <c r="Q57" s="66"/>
      <c r="R57" s="100"/>
    </row>
    <row r="58" spans="1:116" s="91" customFormat="1" ht="12" x14ac:dyDescent="0.2">
      <c r="C58" s="91" t="s">
        <v>51</v>
      </c>
      <c r="D58" s="85"/>
      <c r="E58" s="85"/>
      <c r="F58" s="85"/>
      <c r="J58" s="66"/>
      <c r="K58" s="66"/>
      <c r="L58" s="66"/>
      <c r="M58" s="66"/>
      <c r="N58" s="66"/>
      <c r="O58" s="66"/>
      <c r="P58" s="66"/>
      <c r="Q58" s="66"/>
      <c r="R58" s="100"/>
    </row>
    <row r="59" spans="1:116" s="91" customFormat="1" ht="12" x14ac:dyDescent="0.2">
      <c r="B59" s="85"/>
      <c r="C59" s="91" t="s">
        <v>68</v>
      </c>
      <c r="D59" s="85"/>
      <c r="J59" s="66"/>
      <c r="K59" s="66"/>
      <c r="L59" s="66"/>
      <c r="M59" s="66"/>
      <c r="N59" s="66"/>
      <c r="O59" s="66"/>
      <c r="P59" s="66"/>
      <c r="Q59" s="66"/>
      <c r="R59" s="100"/>
    </row>
    <row r="60" spans="1:116" s="103" customFormat="1" ht="12" x14ac:dyDescent="0.2">
      <c r="B60" s="159"/>
      <c r="D60" s="160" t="s">
        <v>74</v>
      </c>
      <c r="J60" s="66"/>
      <c r="K60" s="66"/>
      <c r="L60" s="66"/>
      <c r="M60" s="66"/>
      <c r="N60" s="66"/>
      <c r="O60" s="66"/>
      <c r="P60" s="66"/>
      <c r="Q60" s="66"/>
      <c r="R60" s="100"/>
    </row>
    <row r="61" spans="1:116" s="91" customFormat="1" ht="7.5" customHeight="1" x14ac:dyDescent="0.2">
      <c r="A61" s="85"/>
      <c r="B61" s="85"/>
      <c r="C61" s="85"/>
      <c r="D61" s="85"/>
      <c r="E61" s="85"/>
      <c r="F61" s="85"/>
      <c r="G61" s="85"/>
      <c r="H61" s="85"/>
      <c r="I61" s="85"/>
      <c r="J61" s="161"/>
      <c r="K61" s="161"/>
      <c r="L61" s="161"/>
      <c r="M61" s="162"/>
      <c r="N61" s="162"/>
      <c r="O61" s="66"/>
      <c r="P61" s="66"/>
      <c r="Q61" s="66"/>
      <c r="R61" s="161"/>
      <c r="T61" s="163"/>
      <c r="U61" s="163"/>
      <c r="V61" s="163"/>
      <c r="W61" s="129"/>
      <c r="X61" s="164"/>
      <c r="Y61" s="164"/>
      <c r="Z61" s="164"/>
    </row>
    <row r="62" spans="1:116" s="85" customFormat="1" ht="13.35" customHeight="1" x14ac:dyDescent="0.2">
      <c r="A62" s="165">
        <v>1</v>
      </c>
      <c r="B62" s="166" t="s">
        <v>75</v>
      </c>
      <c r="D62" s="63"/>
      <c r="E62" s="63"/>
      <c r="F62" s="63"/>
      <c r="G62" s="166"/>
      <c r="H62" s="167"/>
      <c r="I62" s="63"/>
      <c r="J62" s="168"/>
      <c r="K62" s="63"/>
      <c r="L62" s="63"/>
      <c r="M62" s="169"/>
      <c r="N62" s="169"/>
      <c r="O62" s="63"/>
      <c r="P62" s="129"/>
      <c r="Q62" s="170"/>
      <c r="R62" s="171"/>
      <c r="S62" s="170"/>
      <c r="T62" s="170"/>
      <c r="U62" s="170"/>
      <c r="V62" s="171"/>
      <c r="W62" s="170"/>
      <c r="X62" s="63"/>
      <c r="Y62" s="63"/>
      <c r="Z62" s="172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</row>
    <row r="63" spans="1:116" s="85" customFormat="1" ht="13.35" customHeight="1" x14ac:dyDescent="0.2">
      <c r="A63" s="165">
        <v>2</v>
      </c>
      <c r="B63" s="166" t="s">
        <v>76</v>
      </c>
      <c r="D63" s="161"/>
      <c r="E63" s="161"/>
      <c r="F63" s="161"/>
      <c r="G63" s="161"/>
      <c r="H63" s="161"/>
      <c r="I63" s="161"/>
      <c r="J63" s="174"/>
      <c r="K63" s="172"/>
      <c r="L63" s="172"/>
      <c r="M63" s="68"/>
      <c r="N63" s="68"/>
      <c r="O63" s="172"/>
      <c r="P63" s="171"/>
      <c r="Q63" s="170"/>
      <c r="R63" s="171"/>
      <c r="S63" s="170"/>
      <c r="T63" s="170"/>
      <c r="U63" s="170"/>
      <c r="V63" s="171"/>
      <c r="W63" s="170"/>
      <c r="X63" s="63"/>
      <c r="Y63" s="63"/>
      <c r="Z63" s="172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</row>
    <row r="64" spans="1:116" s="85" customFormat="1" ht="13.35" customHeight="1" x14ac:dyDescent="0.2">
      <c r="A64" s="165"/>
      <c r="B64" s="166" t="s">
        <v>77</v>
      </c>
      <c r="D64" s="161"/>
      <c r="E64" s="161"/>
      <c r="F64" s="161"/>
      <c r="G64" s="161"/>
      <c r="H64" s="161"/>
      <c r="I64" s="161"/>
      <c r="J64" s="174"/>
      <c r="K64" s="172"/>
      <c r="L64" s="172"/>
      <c r="M64" s="68"/>
      <c r="N64" s="68"/>
      <c r="O64" s="172"/>
      <c r="P64" s="171"/>
      <c r="Q64" s="170"/>
      <c r="R64" s="171"/>
      <c r="S64" s="170"/>
      <c r="T64" s="170"/>
      <c r="U64" s="170"/>
      <c r="V64" s="171"/>
      <c r="W64" s="170"/>
      <c r="X64" s="63"/>
      <c r="Y64" s="63"/>
      <c r="Z64" s="172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</row>
    <row r="65" spans="1:116" s="85" customFormat="1" ht="13.35" customHeight="1" x14ac:dyDescent="0.2">
      <c r="B65" s="166" t="s">
        <v>78</v>
      </c>
      <c r="J65" s="168"/>
      <c r="K65" s="172"/>
      <c r="L65" s="172"/>
      <c r="M65" s="68"/>
      <c r="N65" s="68"/>
      <c r="O65" s="172"/>
      <c r="P65" s="171"/>
      <c r="Q65" s="170"/>
      <c r="R65" s="170"/>
      <c r="S65" s="172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</row>
    <row r="66" spans="1:116" s="91" customFormat="1" ht="13.35" customHeight="1" x14ac:dyDescent="0.2">
      <c r="A66" s="165">
        <v>3</v>
      </c>
      <c r="B66" s="66" t="s">
        <v>79</v>
      </c>
      <c r="C66" s="85"/>
      <c r="D66" s="175"/>
      <c r="E66" s="175"/>
      <c r="F66" s="175"/>
      <c r="G66" s="175"/>
      <c r="H66" s="175"/>
      <c r="I66" s="175"/>
      <c r="J66" s="176"/>
      <c r="K66" s="63"/>
      <c r="L66" s="63"/>
      <c r="M66" s="169"/>
      <c r="N66" s="169"/>
      <c r="O66" s="63"/>
      <c r="P66" s="173"/>
      <c r="Q66" s="97"/>
      <c r="R66" s="155"/>
      <c r="V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1:116" s="91" customFormat="1" ht="13.5" x14ac:dyDescent="0.2">
      <c r="A67" s="165"/>
      <c r="B67" s="66" t="s">
        <v>80</v>
      </c>
      <c r="C67" s="175"/>
      <c r="D67" s="66"/>
      <c r="E67" s="66"/>
      <c r="F67" s="66"/>
      <c r="G67" s="66"/>
      <c r="H67" s="66"/>
      <c r="I67" s="66"/>
      <c r="J67" s="168"/>
      <c r="K67" s="172"/>
      <c r="L67" s="172"/>
      <c r="M67" s="68"/>
      <c r="N67" s="68"/>
      <c r="O67" s="172"/>
      <c r="P67" s="173"/>
      <c r="Q67" s="97"/>
      <c r="R67" s="155"/>
      <c r="T67" s="128"/>
      <c r="AC67" s="128"/>
    </row>
    <row r="68" spans="1:116" ht="13.5" x14ac:dyDescent="0.2">
      <c r="A68" s="165">
        <v>4</v>
      </c>
      <c r="B68" s="175" t="s">
        <v>81</v>
      </c>
      <c r="C68" s="176"/>
      <c r="D68" s="90"/>
      <c r="E68" s="90"/>
      <c r="F68" s="90"/>
      <c r="G68" s="168"/>
      <c r="H68" s="168"/>
      <c r="I68" s="65"/>
      <c r="J68" s="168"/>
      <c r="K68" s="172"/>
      <c r="L68" s="172"/>
      <c r="O68" s="172"/>
      <c r="P68" s="91"/>
      <c r="S68" s="164"/>
      <c r="T68" s="91"/>
      <c r="U68" s="91"/>
      <c r="V68" s="91"/>
      <c r="W68" s="91"/>
      <c r="X68" s="91"/>
      <c r="Y68" s="91"/>
      <c r="Z68" s="91"/>
      <c r="AA68" s="164"/>
      <c r="AB68" s="164"/>
      <c r="AC68" s="164"/>
      <c r="AD68" s="164"/>
      <c r="AE68" s="164"/>
      <c r="AF68" s="164"/>
    </row>
    <row r="69" spans="1:116" s="85" customFormat="1" ht="13.35" customHeight="1" x14ac:dyDescent="0.2">
      <c r="D69" s="166"/>
      <c r="E69" s="175"/>
      <c r="F69" s="175"/>
      <c r="G69" s="175"/>
      <c r="H69" s="175"/>
      <c r="I69" s="175"/>
      <c r="J69" s="176"/>
      <c r="K69" s="63"/>
      <c r="L69" s="63"/>
      <c r="M69" s="169"/>
      <c r="N69" s="169"/>
      <c r="O69" s="63"/>
      <c r="P69" s="173"/>
      <c r="Q69" s="170"/>
      <c r="R69" s="170"/>
      <c r="S69" s="172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</row>
    <row r="70" spans="1:116" ht="12" x14ac:dyDescent="0.2">
      <c r="S70" s="164"/>
      <c r="T70" s="66"/>
      <c r="U70" s="66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</row>
    <row r="71" spans="1:116" ht="12" x14ac:dyDescent="0.2">
      <c r="S71" s="164"/>
      <c r="T71" s="66"/>
      <c r="U71" s="66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</row>
    <row r="72" spans="1:116" ht="12" x14ac:dyDescent="0.2">
      <c r="S72" s="91"/>
      <c r="T72" s="66"/>
      <c r="U72" s="66"/>
      <c r="V72" s="173"/>
      <c r="W72" s="91"/>
      <c r="X72" s="173"/>
      <c r="Y72" s="173"/>
      <c r="Z72" s="173"/>
      <c r="AA72" s="173"/>
      <c r="AB72" s="173"/>
      <c r="AC72" s="173"/>
      <c r="AD72" s="173"/>
      <c r="AE72" s="173"/>
      <c r="AF72" s="173"/>
    </row>
    <row r="73" spans="1:116" ht="12" x14ac:dyDescent="0.2">
      <c r="S73" s="91"/>
      <c r="T73" s="91"/>
      <c r="U73" s="86"/>
      <c r="V73" s="173"/>
      <c r="W73" s="86"/>
      <c r="X73" s="86"/>
      <c r="Y73" s="86"/>
      <c r="Z73" s="86"/>
      <c r="AA73" s="91"/>
      <c r="AB73" s="91"/>
      <c r="AC73" s="91"/>
      <c r="AD73" s="91"/>
      <c r="AE73" s="91"/>
      <c r="AF73" s="91"/>
    </row>
    <row r="74" spans="1:116" x14ac:dyDescent="0.2">
      <c r="T74" s="66"/>
    </row>
    <row r="75" spans="1:116" x14ac:dyDescent="0.2">
      <c r="T75" s="66"/>
      <c r="U75" s="66"/>
    </row>
    <row r="76" spans="1:116" x14ac:dyDescent="0.2">
      <c r="T76" s="66"/>
      <c r="U76" s="66"/>
    </row>
    <row r="77" spans="1:116" x14ac:dyDescent="0.2">
      <c r="T77" s="66"/>
    </row>
    <row r="79" spans="1:116" x14ac:dyDescent="0.2">
      <c r="T79" s="66"/>
    </row>
    <row r="80" spans="1:116" x14ac:dyDescent="0.2">
      <c r="T80" s="66"/>
    </row>
    <row r="81" spans="20:21" x14ac:dyDescent="0.2">
      <c r="T81" s="66"/>
      <c r="U81" s="66"/>
    </row>
    <row r="82" spans="20:21" x14ac:dyDescent="0.2">
      <c r="T82" s="66"/>
      <c r="U82" s="66"/>
    </row>
    <row r="83" spans="20:21" x14ac:dyDescent="0.2">
      <c r="T83" s="66"/>
    </row>
    <row r="84" spans="20:21" x14ac:dyDescent="0.2">
      <c r="T84" s="66"/>
    </row>
    <row r="85" spans="20:21" x14ac:dyDescent="0.2">
      <c r="T85" s="66"/>
    </row>
  </sheetData>
  <mergeCells count="2">
    <mergeCell ref="J3:L3"/>
    <mergeCell ref="O3:Q3"/>
  </mergeCells>
  <phoneticPr fontId="36" type="noConversion"/>
  <printOptions horizontalCentered="1"/>
  <pageMargins left="0.5" right="0.5" top="0.2" bottom="0.3" header="0.25" footer="0"/>
  <pageSetup scale="89" orientation="portrait" horizontalDpi="4294967292" verticalDpi="300" r:id="rId1"/>
  <headerFooter alignWithMargins="0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90"/>
  <sheetViews>
    <sheetView zoomScale="87" zoomScaleNormal="87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Q42" sqref="Q42"/>
    </sheetView>
  </sheetViews>
  <sheetFormatPr defaultColWidth="9.140625" defaultRowHeight="12" x14ac:dyDescent="0.2"/>
  <cols>
    <col min="1" max="2" width="1.7109375" style="243" customWidth="1"/>
    <col min="3" max="3" width="9.140625" style="243"/>
    <col min="4" max="4" width="23.85546875" style="243" customWidth="1"/>
    <col min="5" max="5" width="16.7109375" style="243" customWidth="1"/>
    <col min="6" max="6" width="0.85546875" style="243" customWidth="1"/>
    <col min="7" max="7" width="16.7109375" style="243" customWidth="1"/>
    <col min="8" max="8" width="0.85546875" style="243" customWidth="1"/>
    <col min="9" max="9" width="16.7109375" style="243" customWidth="1"/>
    <col min="10" max="10" width="0.85546875" style="243" customWidth="1"/>
    <col min="11" max="11" width="7.7109375" style="243" customWidth="1"/>
    <col min="12" max="12" width="0.85546875" style="243" customWidth="1"/>
    <col min="13" max="13" width="10.7109375" style="243" customWidth="1"/>
    <col min="14" max="14" width="0.85546875" style="243" customWidth="1"/>
    <col min="15" max="15" width="10.7109375" style="243" customWidth="1"/>
    <col min="16" max="16384" width="9.140625" style="243"/>
  </cols>
  <sheetData>
    <row r="1" spans="1:15" s="248" customFormat="1" ht="15" x14ac:dyDescent="0.25">
      <c r="E1" s="328" t="s">
        <v>1</v>
      </c>
      <c r="F1" s="328"/>
      <c r="G1" s="328"/>
      <c r="H1" s="328"/>
      <c r="I1" s="328"/>
      <c r="J1" s="328"/>
      <c r="K1" s="328"/>
    </row>
    <row r="2" spans="1:15" s="248" customFormat="1" ht="15" x14ac:dyDescent="0.25">
      <c r="E2" s="328" t="s">
        <v>90</v>
      </c>
      <c r="F2" s="328"/>
      <c r="G2" s="328"/>
      <c r="H2" s="328"/>
      <c r="I2" s="328"/>
      <c r="J2" s="328"/>
      <c r="K2" s="328"/>
    </row>
    <row r="3" spans="1:15" s="248" customFormat="1" ht="15" x14ac:dyDescent="0.25">
      <c r="E3" s="328" t="s">
        <v>135</v>
      </c>
      <c r="F3" s="328"/>
      <c r="G3" s="328"/>
      <c r="H3" s="328"/>
      <c r="I3" s="328"/>
      <c r="J3" s="328"/>
      <c r="K3" s="328"/>
    </row>
    <row r="4" spans="1:15" s="249" customFormat="1" ht="12.75" x14ac:dyDescent="0.2">
      <c r="E4" s="329" t="s">
        <v>2</v>
      </c>
      <c r="F4" s="329"/>
      <c r="G4" s="329"/>
      <c r="H4" s="329"/>
      <c r="I4" s="329"/>
      <c r="J4" s="329"/>
      <c r="K4" s="329"/>
    </row>
    <row r="5" spans="1:15" x14ac:dyDescent="0.2">
      <c r="A5" s="243" t="s">
        <v>3</v>
      </c>
    </row>
    <row r="6" spans="1:15" s="255" customFormat="1" ht="12.75" x14ac:dyDescent="0.2">
      <c r="A6" s="255" t="s">
        <v>3</v>
      </c>
      <c r="I6" s="322" t="str">
        <f>'09-2023 SOG'!I6</f>
        <v>VARIANCE FROM 2022</v>
      </c>
      <c r="J6" s="322"/>
      <c r="K6" s="322"/>
      <c r="M6" s="322" t="s">
        <v>92</v>
      </c>
      <c r="N6" s="322"/>
      <c r="O6" s="322"/>
    </row>
    <row r="7" spans="1:15" s="255" customFormat="1" ht="12.75" x14ac:dyDescent="0.2">
      <c r="E7" s="254" t="s">
        <v>4</v>
      </c>
      <c r="G7" s="254" t="s">
        <v>4</v>
      </c>
      <c r="I7" s="254"/>
      <c r="K7" s="254"/>
      <c r="M7" s="254"/>
      <c r="O7" s="254"/>
    </row>
    <row r="8" spans="1:15" s="255" customFormat="1" ht="12.75" x14ac:dyDescent="0.2">
      <c r="A8" s="283" t="s">
        <v>91</v>
      </c>
      <c r="E8" s="304">
        <f>'09-2023 SOG'!E8</f>
        <v>2023</v>
      </c>
      <c r="G8" s="304">
        <f>'09-2023 SOG'!G8</f>
        <v>2022</v>
      </c>
      <c r="I8" s="304" t="s">
        <v>5</v>
      </c>
      <c r="K8" s="304" t="s">
        <v>0</v>
      </c>
      <c r="M8" s="304">
        <f>'09-2023 SOG'!M8</f>
        <v>2023</v>
      </c>
      <c r="O8" s="304">
        <f>'09-2023 SOG'!O8</f>
        <v>2022</v>
      </c>
    </row>
    <row r="9" spans="1:15" x14ac:dyDescent="0.2">
      <c r="B9" s="284" t="s">
        <v>93</v>
      </c>
    </row>
    <row r="10" spans="1:15" x14ac:dyDescent="0.2">
      <c r="C10" s="243" t="s">
        <v>94</v>
      </c>
      <c r="E10" s="285">
        <v>896615569.52999997</v>
      </c>
      <c r="F10" s="280"/>
      <c r="G10" s="285">
        <v>774652879.26999998</v>
      </c>
      <c r="H10" s="280"/>
      <c r="I10" s="285">
        <f>E10-G10</f>
        <v>121962690.25999999</v>
      </c>
      <c r="K10" s="242">
        <f>IF(G10=0,"n/a",IF(AND(I10/G10&lt;1,I10/G10&gt;-1),I10/G10,"n/a"))</f>
        <v>0.15744173103046161</v>
      </c>
      <c r="M10" s="245">
        <f>IF(E54=0,"n/a",E10/E54)</f>
        <v>1.4505489826168312</v>
      </c>
      <c r="N10" s="266"/>
      <c r="O10" s="245">
        <f>IF(G54=0,"n/a",G10/G54)</f>
        <v>1.2330578917422139</v>
      </c>
    </row>
    <row r="11" spans="1:15" x14ac:dyDescent="0.2">
      <c r="C11" s="243" t="s">
        <v>95</v>
      </c>
      <c r="E11" s="289">
        <v>370261877.93000001</v>
      </c>
      <c r="F11" s="305"/>
      <c r="G11" s="289">
        <v>305961051.56999999</v>
      </c>
      <c r="H11" s="305"/>
      <c r="I11" s="289">
        <f>E11-G11</f>
        <v>64300826.360000014</v>
      </c>
      <c r="K11" s="242">
        <f>IF(G11=0,"n/a",IF(AND(I11/G11&lt;1,I11/G11&gt;-1),I11/G11,"n/a"))</f>
        <v>0.21016016917855573</v>
      </c>
      <c r="M11" s="265">
        <f>IF(E55=0,"n/a",E11/E55)</f>
        <v>1.2549309635732089</v>
      </c>
      <c r="N11" s="266"/>
      <c r="O11" s="265">
        <f>IF(G55=0,"n/a",G11/G55)</f>
        <v>1.0580690571316422</v>
      </c>
    </row>
    <row r="12" spans="1:15" x14ac:dyDescent="0.2">
      <c r="C12" s="243" t="s">
        <v>96</v>
      </c>
      <c r="E12" s="290">
        <v>25855393.710000001</v>
      </c>
      <c r="F12" s="305"/>
      <c r="G12" s="290">
        <v>21855254.09</v>
      </c>
      <c r="H12" s="305"/>
      <c r="I12" s="290">
        <f>E12-G12</f>
        <v>4000139.620000001</v>
      </c>
      <c r="K12" s="257">
        <f>IF(G12=0,"n/a",IF(AND(I12/G12&lt;1,I12/G12&gt;-1),I12/G12,"n/a"))</f>
        <v>0.18302874006988959</v>
      </c>
      <c r="M12" s="267">
        <f>IF(E56=0,"n/a",E12/E56)</f>
        <v>1.1279254653946786</v>
      </c>
      <c r="N12" s="266"/>
      <c r="O12" s="267">
        <f>IF(G56=0,"n/a",G12/G56)</f>
        <v>0.92879409207980101</v>
      </c>
    </row>
    <row r="13" spans="1:15" ht="6.95" customHeight="1" x14ac:dyDescent="0.2">
      <c r="E13" s="289"/>
      <c r="F13" s="305"/>
      <c r="G13" s="289"/>
      <c r="H13" s="305"/>
      <c r="I13" s="289"/>
      <c r="K13" s="244"/>
      <c r="M13" s="266"/>
      <c r="N13" s="266"/>
      <c r="O13" s="266"/>
    </row>
    <row r="14" spans="1:15" x14ac:dyDescent="0.2">
      <c r="C14" s="243" t="s">
        <v>97</v>
      </c>
      <c r="E14" s="289">
        <f>SUM(E10:E12)</f>
        <v>1292732841.1700001</v>
      </c>
      <c r="F14" s="305"/>
      <c r="G14" s="289">
        <f>SUM(G10:G12)</f>
        <v>1102469184.9299998</v>
      </c>
      <c r="H14" s="305"/>
      <c r="I14" s="289">
        <f>E14-G14</f>
        <v>190263656.24000025</v>
      </c>
      <c r="K14" s="242">
        <f>IF(G14=0,"n/a",IF(AND(I14/G14&lt;1,I14/G14&gt;-1),I14/G14,"n/a"))</f>
        <v>0.17257956851835352</v>
      </c>
      <c r="M14" s="265">
        <f>IF(E58=0,"n/a",E14/E58)</f>
        <v>1.3809918700060371</v>
      </c>
      <c r="N14" s="266"/>
      <c r="O14" s="265">
        <f>IF(G58=0,"n/a",G14/G58)</f>
        <v>1.1716712725457268</v>
      </c>
    </row>
    <row r="15" spans="1:15" ht="6.95" customHeight="1" x14ac:dyDescent="0.2">
      <c r="E15" s="289"/>
      <c r="F15" s="305"/>
      <c r="G15" s="289"/>
      <c r="H15" s="305"/>
      <c r="I15" s="289"/>
      <c r="K15" s="244"/>
      <c r="M15" s="266"/>
      <c r="N15" s="266"/>
      <c r="O15" s="266"/>
    </row>
    <row r="16" spans="1:15" x14ac:dyDescent="0.2">
      <c r="B16" s="284" t="s">
        <v>98</v>
      </c>
      <c r="E16" s="289"/>
      <c r="F16" s="305"/>
      <c r="G16" s="289"/>
      <c r="H16" s="305"/>
      <c r="I16" s="289"/>
      <c r="K16" s="244"/>
      <c r="M16" s="266"/>
      <c r="N16" s="266"/>
      <c r="O16" s="266"/>
    </row>
    <row r="17" spans="2:15" x14ac:dyDescent="0.2">
      <c r="C17" s="243" t="s">
        <v>99</v>
      </c>
      <c r="E17" s="289">
        <v>32986721.670000002</v>
      </c>
      <c r="F17" s="305"/>
      <c r="G17" s="289">
        <v>25094649.940000001</v>
      </c>
      <c r="H17" s="305"/>
      <c r="I17" s="289">
        <f>E17-G17</f>
        <v>7892071.7300000004</v>
      </c>
      <c r="K17" s="242">
        <f>IF(G17=0,"n/a",IF(AND(I17/G17&lt;1,I17/G17&gt;-1),I17/G17,"n/a"))</f>
        <v>0.31449220247620635</v>
      </c>
      <c r="M17" s="265">
        <f>IF(E61=0,"n/a",E17/E61)</f>
        <v>0.73961532974281186</v>
      </c>
      <c r="N17" s="266"/>
      <c r="O17" s="265">
        <f>IF(G61=0,"n/a",G17/G61)</f>
        <v>0.56156892978260775</v>
      </c>
    </row>
    <row r="18" spans="2:15" x14ac:dyDescent="0.2">
      <c r="C18" s="243" t="s">
        <v>100</v>
      </c>
      <c r="E18" s="290">
        <v>3773880.85</v>
      </c>
      <c r="F18" s="306"/>
      <c r="G18" s="290">
        <v>1757545.89</v>
      </c>
      <c r="H18" s="306"/>
      <c r="I18" s="290">
        <f>E18-G18</f>
        <v>2016334.9600000002</v>
      </c>
      <c r="K18" s="257" t="str">
        <f>IF(G18=0,"n/a",IF(AND(I18/G18&lt;1,I18/G18&gt;-1),I18/G18,"n/a"))</f>
        <v>n/a</v>
      </c>
      <c r="M18" s="267">
        <f>IF(E62=0,"n/a",E18/E62)</f>
        <v>0.72473531154808279</v>
      </c>
      <c r="N18" s="266"/>
      <c r="O18" s="267">
        <f>IF(G62=0,"n/a",G18/G62)</f>
        <v>0.56987429371478293</v>
      </c>
    </row>
    <row r="19" spans="2:15" ht="6.95" customHeight="1" x14ac:dyDescent="0.2">
      <c r="E19" s="289"/>
      <c r="F19" s="307"/>
      <c r="G19" s="289"/>
      <c r="H19" s="307"/>
      <c r="I19" s="289"/>
      <c r="K19" s="244"/>
      <c r="M19" s="266"/>
      <c r="N19" s="266"/>
      <c r="O19" s="266"/>
    </row>
    <row r="20" spans="2:15" x14ac:dyDescent="0.2">
      <c r="C20" s="243" t="s">
        <v>101</v>
      </c>
      <c r="E20" s="290">
        <f>SUM(E17:E18)</f>
        <v>36760602.520000003</v>
      </c>
      <c r="F20" s="306"/>
      <c r="G20" s="290">
        <f>SUM(G17:G18)</f>
        <v>26852195.830000002</v>
      </c>
      <c r="H20" s="306"/>
      <c r="I20" s="290">
        <f>E20-G20</f>
        <v>9908406.6900000013</v>
      </c>
      <c r="K20" s="257">
        <f>IF(G20=0,"n/a",IF(AND(I20/G20&lt;1,I20/G20&gt;-1),I20/G20,"n/a"))</f>
        <v>0.36899800495757074</v>
      </c>
      <c r="M20" s="267">
        <f>IF(E64=0,"n/a",E20/E64)</f>
        <v>0.73805964689082715</v>
      </c>
      <c r="N20" s="266"/>
      <c r="O20" s="267">
        <f>IF(G64=0,"n/a",G20/G64)</f>
        <v>0.562105126331222</v>
      </c>
    </row>
    <row r="21" spans="2:15" ht="6.95" customHeight="1" x14ac:dyDescent="0.2">
      <c r="E21" s="289"/>
      <c r="F21" s="307"/>
      <c r="G21" s="289"/>
      <c r="H21" s="307"/>
      <c r="I21" s="289"/>
      <c r="K21" s="244"/>
      <c r="M21" s="266"/>
      <c r="N21" s="266"/>
      <c r="O21" s="266"/>
    </row>
    <row r="22" spans="2:15" x14ac:dyDescent="0.2">
      <c r="C22" s="243" t="s">
        <v>102</v>
      </c>
      <c r="E22" s="289">
        <f>E14+E20</f>
        <v>1329493443.6900001</v>
      </c>
      <c r="F22" s="307"/>
      <c r="G22" s="289">
        <f>G14+G20</f>
        <v>1129321380.7599998</v>
      </c>
      <c r="H22" s="307"/>
      <c r="I22" s="289">
        <f>E22-G22</f>
        <v>200172062.93000031</v>
      </c>
      <c r="K22" s="242">
        <f>IF(G22=0,"n/a",IF(AND(I22/G22&lt;1,I22/G22&gt;-1),I22/G22,"n/a"))</f>
        <v>0.17724986557439518</v>
      </c>
      <c r="M22" s="265">
        <f>IF(E66=0,"n/a",E22/E66)</f>
        <v>1.3485112196270896</v>
      </c>
      <c r="N22" s="266"/>
      <c r="O22" s="265">
        <f>IF(G66=0,"n/a",G22/G66)</f>
        <v>1.1422192566417197</v>
      </c>
    </row>
    <row r="23" spans="2:15" ht="6.95" customHeight="1" x14ac:dyDescent="0.2">
      <c r="E23" s="289"/>
      <c r="F23" s="307"/>
      <c r="G23" s="289"/>
      <c r="H23" s="307"/>
      <c r="I23" s="289"/>
      <c r="K23" s="244"/>
      <c r="M23" s="266"/>
      <c r="N23" s="266"/>
      <c r="O23" s="266"/>
    </row>
    <row r="24" spans="2:15" x14ac:dyDescent="0.2">
      <c r="B24" s="284" t="s">
        <v>103</v>
      </c>
      <c r="E24" s="289"/>
      <c r="F24" s="307"/>
      <c r="G24" s="289"/>
      <c r="H24" s="307"/>
      <c r="I24" s="289"/>
      <c r="K24" s="244"/>
      <c r="M24" s="266"/>
      <c r="N24" s="266"/>
      <c r="O24" s="266"/>
    </row>
    <row r="25" spans="2:15" x14ac:dyDescent="0.2">
      <c r="C25" s="243" t="s">
        <v>104</v>
      </c>
      <c r="E25" s="289">
        <v>8349561.7300000004</v>
      </c>
      <c r="F25" s="307"/>
      <c r="G25" s="289">
        <v>7163079.7400000002</v>
      </c>
      <c r="H25" s="307"/>
      <c r="I25" s="289">
        <f>E25-G25</f>
        <v>1186481.9900000002</v>
      </c>
      <c r="K25" s="242">
        <f>IF(G25=0,"n/a",IF(AND(I25/G25&lt;1,I25/G25&gt;-1),I25/G25,"n/a"))</f>
        <v>0.1656385288264291</v>
      </c>
      <c r="M25" s="265">
        <f>IF(E69=0,"n/a",E25/E69)</f>
        <v>0.16652321776600429</v>
      </c>
      <c r="N25" s="266"/>
      <c r="O25" s="265">
        <f>IF(G69=0,"n/a",G25/G69)</f>
        <v>0.13277061572646823</v>
      </c>
    </row>
    <row r="26" spans="2:15" x14ac:dyDescent="0.2">
      <c r="C26" s="243" t="s">
        <v>105</v>
      </c>
      <c r="E26" s="290">
        <v>13311324.880000001</v>
      </c>
      <c r="F26" s="306"/>
      <c r="G26" s="290">
        <v>13305352.57</v>
      </c>
      <c r="H26" s="306"/>
      <c r="I26" s="290">
        <f>E26-G26</f>
        <v>5972.3100000005215</v>
      </c>
      <c r="K26" s="257">
        <f>IF(G26=0,"n/a",IF(AND(I26/G26&lt;1,I26/G26&gt;-1),I26/G26,"n/a"))</f>
        <v>4.4886521936040073E-4</v>
      </c>
      <c r="M26" s="267">
        <f>IF(E70=0,"n/a",E26/E70)</f>
        <v>8.3887445067699948E-2</v>
      </c>
      <c r="N26" s="266"/>
      <c r="O26" s="267">
        <f>IF(G70=0,"n/a",G26/G70)</f>
        <v>8.0381978633737347E-2</v>
      </c>
    </row>
    <row r="27" spans="2:15" ht="6.95" customHeight="1" x14ac:dyDescent="0.2">
      <c r="E27" s="289"/>
      <c r="F27" s="307"/>
      <c r="G27" s="289"/>
      <c r="H27" s="307"/>
      <c r="I27" s="289"/>
      <c r="K27" s="244"/>
      <c r="M27" s="266"/>
      <c r="N27" s="266"/>
      <c r="O27" s="266"/>
    </row>
    <row r="28" spans="2:15" x14ac:dyDescent="0.2">
      <c r="C28" s="243" t="s">
        <v>106</v>
      </c>
      <c r="E28" s="290">
        <f>SUM(E25:E26)</f>
        <v>21660886.609999999</v>
      </c>
      <c r="F28" s="306"/>
      <c r="G28" s="290">
        <f>SUM(G25:G26)</f>
        <v>20468432.310000002</v>
      </c>
      <c r="H28" s="306"/>
      <c r="I28" s="290">
        <f>E28-G28</f>
        <v>1192454.299999997</v>
      </c>
      <c r="K28" s="257">
        <f>IF(G28=0,"n/a",IF(AND(I28/G28&lt;1,I28/G28&gt;-1),I28/G28,"n/a"))</f>
        <v>5.8258213523143865E-2</v>
      </c>
      <c r="M28" s="267">
        <f>IF(E72=0,"n/a",E28/E72)</f>
        <v>0.10372929582634247</v>
      </c>
      <c r="N28" s="266"/>
      <c r="O28" s="267">
        <f>IF(G72=0,"n/a",G28/G72)</f>
        <v>9.3259883219021705E-2</v>
      </c>
    </row>
    <row r="29" spans="2:15" ht="6.95" customHeight="1" x14ac:dyDescent="0.2">
      <c r="E29" s="289"/>
      <c r="F29" s="307"/>
      <c r="G29" s="289"/>
      <c r="H29" s="307"/>
      <c r="I29" s="289"/>
      <c r="K29" s="244"/>
      <c r="M29" s="266"/>
      <c r="N29" s="266"/>
      <c r="O29" s="266"/>
    </row>
    <row r="30" spans="2:15" x14ac:dyDescent="0.2">
      <c r="C30" s="243" t="s">
        <v>107</v>
      </c>
      <c r="E30" s="289">
        <f>E22+E28</f>
        <v>1351154330.3</v>
      </c>
      <c r="F30" s="307"/>
      <c r="G30" s="289">
        <f>G22+G28</f>
        <v>1149789813.0699997</v>
      </c>
      <c r="H30" s="307"/>
      <c r="I30" s="289">
        <f>E30-G30</f>
        <v>201364517.23000026</v>
      </c>
      <c r="K30" s="242">
        <f>IF(G30=0,"n/a",IF(AND(I30/G30&lt;1,I30/G30&gt;-1),I30/G30,"n/a"))</f>
        <v>0.17513158921833402</v>
      </c>
      <c r="M30" s="245">
        <f>IF(E74=0,"n/a",E30/E74)</f>
        <v>1.1309394817712157</v>
      </c>
      <c r="N30" s="266"/>
      <c r="O30" s="245">
        <f>IF(G74=0,"n/a",G30/G74)</f>
        <v>0.95166669329475384</v>
      </c>
    </row>
    <row r="31" spans="2:15" ht="6.95" customHeight="1" x14ac:dyDescent="0.2">
      <c r="E31" s="289"/>
      <c r="F31" s="307"/>
      <c r="G31" s="289"/>
      <c r="H31" s="307"/>
      <c r="I31" s="289"/>
      <c r="K31" s="244"/>
      <c r="M31" s="246"/>
      <c r="N31" s="246"/>
      <c r="O31" s="246"/>
    </row>
    <row r="32" spans="2:15" x14ac:dyDescent="0.2">
      <c r="B32" s="292" t="s">
        <v>116</v>
      </c>
      <c r="E32" s="289">
        <v>-6667031.1699999999</v>
      </c>
      <c r="F32" s="307"/>
      <c r="G32" s="289">
        <v>-19655474.359999999</v>
      </c>
      <c r="H32" s="307"/>
      <c r="I32" s="289">
        <f>E32-G32</f>
        <v>12988443.189999999</v>
      </c>
      <c r="K32" s="242">
        <f>IF(G32=0,"n/a",IF(AND(I32/G32&lt;1,I32/G32&gt;-1),I32/G32,"n/a"))</f>
        <v>-0.66080537931113048</v>
      </c>
      <c r="M32" s="246"/>
      <c r="N32" s="246"/>
      <c r="O32" s="246"/>
    </row>
    <row r="33" spans="2:15" x14ac:dyDescent="0.2">
      <c r="B33" s="292" t="s">
        <v>108</v>
      </c>
      <c r="E33" s="290">
        <v>22745854.5</v>
      </c>
      <c r="F33" s="306"/>
      <c r="G33" s="290">
        <v>17513024.039999999</v>
      </c>
      <c r="H33" s="306"/>
      <c r="I33" s="290">
        <f>E33-G33</f>
        <v>5232830.4600000009</v>
      </c>
      <c r="K33" s="257">
        <f>IF(G33=0,"n/a",IF(AND(I33/G33&lt;1,I33/G33&gt;-1),I33/G33,"n/a"))</f>
        <v>0.29879650984593759</v>
      </c>
    </row>
    <row r="34" spans="2:15" ht="6.95" customHeight="1" x14ac:dyDescent="0.2">
      <c r="E34" s="289"/>
      <c r="F34" s="291"/>
      <c r="G34" s="289"/>
      <c r="H34" s="291"/>
      <c r="I34" s="289"/>
      <c r="K34" s="261"/>
      <c r="M34" s="246"/>
      <c r="N34" s="246"/>
      <c r="O34" s="246"/>
    </row>
    <row r="35" spans="2:15" ht="12.75" thickBot="1" x14ac:dyDescent="0.25">
      <c r="C35" s="243" t="s">
        <v>109</v>
      </c>
      <c r="E35" s="295">
        <f>SUM(E30:E33)</f>
        <v>1367233153.6299999</v>
      </c>
      <c r="F35" s="308"/>
      <c r="G35" s="295">
        <f>SUM(G30:G33)</f>
        <v>1147647362.7499998</v>
      </c>
      <c r="H35" s="308"/>
      <c r="I35" s="295">
        <f>E35-G35</f>
        <v>219585790.88000011</v>
      </c>
      <c r="K35" s="260">
        <f>IF(G35=0,"n/a",IF(AND(I35/G35&lt;1,I35/G35&gt;-1),I35/G35,"n/a"))</f>
        <v>0.19133559489373747</v>
      </c>
    </row>
    <row r="36" spans="2:15" ht="12.75" thickTop="1" x14ac:dyDescent="0.2">
      <c r="E36" s="293"/>
      <c r="F36" s="286"/>
      <c r="G36" s="293"/>
      <c r="H36" s="286"/>
      <c r="I36" s="293"/>
    </row>
    <row r="37" spans="2:15" x14ac:dyDescent="0.2">
      <c r="C37" s="296" t="s">
        <v>121</v>
      </c>
      <c r="E37" s="285">
        <v>63056562.799999997</v>
      </c>
      <c r="F37" s="286"/>
      <c r="G37" s="287">
        <v>54015017.969999999</v>
      </c>
      <c r="H37" s="286"/>
      <c r="I37" s="293"/>
    </row>
    <row r="38" spans="2:15" x14ac:dyDescent="0.2">
      <c r="C38" s="296" t="s">
        <v>125</v>
      </c>
      <c r="E38" s="285">
        <v>579923445.96000004</v>
      </c>
      <c r="F38" s="286"/>
      <c r="G38" s="287">
        <v>298359430.81</v>
      </c>
      <c r="H38" s="286"/>
      <c r="I38" s="293"/>
    </row>
    <row r="39" spans="2:15" x14ac:dyDescent="0.2">
      <c r="C39" s="296" t="s">
        <v>126</v>
      </c>
      <c r="E39" s="285">
        <v>14273476.939999999</v>
      </c>
      <c r="F39" s="286"/>
      <c r="G39" s="287">
        <v>811332.44</v>
      </c>
      <c r="H39" s="286"/>
      <c r="I39" s="293"/>
    </row>
    <row r="40" spans="2:15" x14ac:dyDescent="0.2">
      <c r="C40" s="296" t="s">
        <v>127</v>
      </c>
      <c r="E40" s="285">
        <v>24601517.34</v>
      </c>
      <c r="F40" s="286"/>
      <c r="G40" s="287">
        <v>16562243.859999999</v>
      </c>
      <c r="H40" s="286"/>
      <c r="I40" s="293"/>
    </row>
    <row r="41" spans="2:15" x14ac:dyDescent="0.2">
      <c r="C41" s="296" t="s">
        <v>117</v>
      </c>
      <c r="E41" s="285">
        <v>24016354.859999999</v>
      </c>
      <c r="G41" s="287">
        <v>20428449</v>
      </c>
      <c r="H41" s="288"/>
      <c r="I41" s="294"/>
    </row>
    <row r="42" spans="2:15" x14ac:dyDescent="0.2">
      <c r="C42" s="296" t="s">
        <v>118</v>
      </c>
      <c r="E42" s="285">
        <v>2819474.72</v>
      </c>
      <c r="G42" s="287">
        <v>3294498.66</v>
      </c>
      <c r="H42" s="288"/>
      <c r="I42" s="294"/>
    </row>
    <row r="43" spans="2:15" x14ac:dyDescent="0.2">
      <c r="C43" s="296" t="s">
        <v>119</v>
      </c>
      <c r="E43" s="285">
        <v>21963433.640000001</v>
      </c>
      <c r="G43" s="287">
        <v>22414599.66</v>
      </c>
      <c r="H43" s="288"/>
      <c r="I43" s="294"/>
    </row>
    <row r="44" spans="2:15" x14ac:dyDescent="0.2">
      <c r="C44" s="296" t="s">
        <v>129</v>
      </c>
      <c r="E44" s="285">
        <v>1820772.58</v>
      </c>
      <c r="G44" s="287">
        <v>0</v>
      </c>
      <c r="H44" s="288"/>
      <c r="I44" s="294"/>
    </row>
    <row r="45" spans="2:15" x14ac:dyDescent="0.2">
      <c r="C45" s="296" t="s">
        <v>130</v>
      </c>
      <c r="E45" s="285">
        <v>-958003.43</v>
      </c>
      <c r="G45" s="287">
        <v>0</v>
      </c>
      <c r="H45" s="288"/>
      <c r="I45" s="294"/>
    </row>
    <row r="46" spans="2:15" x14ac:dyDescent="0.2">
      <c r="C46" s="296" t="s">
        <v>131</v>
      </c>
      <c r="E46" s="285">
        <v>27414559.18</v>
      </c>
      <c r="G46" s="287">
        <v>0</v>
      </c>
      <c r="H46" s="288"/>
      <c r="I46" s="294"/>
    </row>
    <row r="47" spans="2:15" x14ac:dyDescent="0.2">
      <c r="C47" s="296" t="s">
        <v>128</v>
      </c>
      <c r="E47" s="285">
        <v>13410829.630000001</v>
      </c>
      <c r="G47" s="287">
        <v>14954292.060000001</v>
      </c>
      <c r="H47" s="288"/>
      <c r="I47" s="294"/>
    </row>
    <row r="48" spans="2:15" x14ac:dyDescent="0.2">
      <c r="C48" s="296" t="s">
        <v>120</v>
      </c>
      <c r="E48" s="285">
        <v>9606825.5600000005</v>
      </c>
      <c r="G48" s="287">
        <v>21984582.190000001</v>
      </c>
      <c r="H48" s="288"/>
      <c r="I48" s="294"/>
    </row>
    <row r="49" spans="1:15" x14ac:dyDescent="0.2">
      <c r="C49" s="296" t="s">
        <v>123</v>
      </c>
      <c r="E49" s="285">
        <v>980867.45</v>
      </c>
      <c r="G49" s="287">
        <v>3012631.94</v>
      </c>
      <c r="H49" s="288"/>
      <c r="I49" s="294"/>
    </row>
    <row r="50" spans="1:15" x14ac:dyDescent="0.2">
      <c r="C50" s="296" t="s">
        <v>124</v>
      </c>
      <c r="E50" s="285">
        <v>-1271066.47</v>
      </c>
      <c r="G50" s="287">
        <v>-1316071.67</v>
      </c>
      <c r="H50" s="288"/>
      <c r="I50" s="294"/>
    </row>
    <row r="51" spans="1:15" x14ac:dyDescent="0.2">
      <c r="E51" s="289"/>
      <c r="G51" s="289"/>
    </row>
    <row r="52" spans="1:15" ht="12.75" x14ac:dyDescent="0.2">
      <c r="A52" s="283" t="s">
        <v>110</v>
      </c>
      <c r="E52" s="309"/>
    </row>
    <row r="53" spans="1:15" x14ac:dyDescent="0.2">
      <c r="B53" s="284" t="s">
        <v>111</v>
      </c>
      <c r="E53" s="309"/>
    </row>
    <row r="54" spans="1:15" x14ac:dyDescent="0.2">
      <c r="C54" s="243" t="s">
        <v>94</v>
      </c>
      <c r="E54" s="299">
        <v>618121539</v>
      </c>
      <c r="G54" s="299">
        <v>628237234</v>
      </c>
      <c r="H54" s="298"/>
      <c r="I54" s="297">
        <f>E54-G54</f>
        <v>-10115695</v>
      </c>
      <c r="K54" s="242">
        <f>IF(G54=0,"n/a",IF(AND(I54/G54&lt;1,I54/G54&gt;-1),I54/G54,"n/a"))</f>
        <v>-1.610171198480732E-2</v>
      </c>
    </row>
    <row r="55" spans="1:15" x14ac:dyDescent="0.2">
      <c r="C55" s="243" t="s">
        <v>95</v>
      </c>
      <c r="E55" s="299">
        <v>295045615</v>
      </c>
      <c r="G55" s="299">
        <v>289169265</v>
      </c>
      <c r="H55" s="298"/>
      <c r="I55" s="297">
        <f>E55-G55</f>
        <v>5876350</v>
      </c>
      <c r="K55" s="242">
        <f>IF(G55=0,"n/a",IF(AND(I55/G55&lt;1,I55/G55&gt;-1),I55/G55,"n/a"))</f>
        <v>2.0321488869157654E-2</v>
      </c>
    </row>
    <row r="56" spans="1:15" x14ac:dyDescent="0.2">
      <c r="C56" s="243" t="s">
        <v>96</v>
      </c>
      <c r="E56" s="300">
        <v>22922963</v>
      </c>
      <c r="G56" s="300">
        <v>23530785</v>
      </c>
      <c r="H56" s="298"/>
      <c r="I56" s="300">
        <f>E56-G56</f>
        <v>-607822</v>
      </c>
      <c r="K56" s="257">
        <f>IF(G56=0,"n/a",IF(AND(I56/G56&lt;1,I56/G56&gt;-1),I56/G56,"n/a"))</f>
        <v>-2.5830927442497136E-2</v>
      </c>
    </row>
    <row r="57" spans="1:15" ht="6.95" customHeight="1" x14ac:dyDescent="0.2">
      <c r="E57" s="297"/>
      <c r="G57" s="297"/>
      <c r="I57" s="297"/>
      <c r="K57" s="244"/>
      <c r="M57" s="246"/>
      <c r="N57" s="246"/>
      <c r="O57" s="246"/>
    </row>
    <row r="58" spans="1:15" x14ac:dyDescent="0.2">
      <c r="C58" s="243" t="s">
        <v>97</v>
      </c>
      <c r="E58" s="297">
        <f>SUM(E54:E56)</f>
        <v>936090117</v>
      </c>
      <c r="G58" s="297">
        <f>SUM(G54:G56)</f>
        <v>940937284</v>
      </c>
      <c r="H58" s="298"/>
      <c r="I58" s="297">
        <f>E58-G58</f>
        <v>-4847167</v>
      </c>
      <c r="K58" s="242">
        <f>IF(G58=0,"n/a",IF(AND(I58/G58&lt;1,I58/G58&gt;-1),I58/G58,"n/a"))</f>
        <v>-5.1514240985268472E-3</v>
      </c>
    </row>
    <row r="59" spans="1:15" ht="6.95" customHeight="1" x14ac:dyDescent="0.2">
      <c r="E59" s="297"/>
      <c r="G59" s="297"/>
      <c r="I59" s="297"/>
      <c r="K59" s="244"/>
      <c r="M59" s="246"/>
      <c r="N59" s="246"/>
      <c r="O59" s="246"/>
    </row>
    <row r="60" spans="1:15" x14ac:dyDescent="0.2">
      <c r="B60" s="284" t="s">
        <v>112</v>
      </c>
      <c r="E60" s="297"/>
      <c r="G60" s="297"/>
      <c r="H60" s="298"/>
      <c r="I60" s="297"/>
      <c r="K60" s="244"/>
    </row>
    <row r="61" spans="1:15" x14ac:dyDescent="0.2">
      <c r="C61" s="243" t="s">
        <v>99</v>
      </c>
      <c r="E61" s="299">
        <v>44599835</v>
      </c>
      <c r="G61" s="299">
        <v>44686678</v>
      </c>
      <c r="H61" s="298"/>
      <c r="I61" s="297">
        <f>E61-G61</f>
        <v>-86843</v>
      </c>
      <c r="K61" s="242">
        <f>IF(G61=0,"n/a",IF(AND(I61/G61&lt;1,I61/G61&gt;-1),I61/G61,"n/a"))</f>
        <v>-1.9433756073790045E-3</v>
      </c>
    </row>
    <row r="62" spans="1:15" x14ac:dyDescent="0.2">
      <c r="C62" s="243" t="s">
        <v>100</v>
      </c>
      <c r="E62" s="299">
        <v>5207254</v>
      </c>
      <c r="G62" s="300">
        <v>3084094</v>
      </c>
      <c r="H62" s="298"/>
      <c r="I62" s="300">
        <f>E62-G62</f>
        <v>2123160</v>
      </c>
      <c r="K62" s="257">
        <f>IF(G62=0,"n/a",IF(AND(I62/G62&lt;1,I62/G62&gt;-1),I62/G62,"n/a"))</f>
        <v>0.68842259671722073</v>
      </c>
    </row>
    <row r="63" spans="1:15" ht="6.95" customHeight="1" x14ac:dyDescent="0.2">
      <c r="E63" s="297"/>
      <c r="G63" s="297"/>
      <c r="I63" s="297"/>
      <c r="K63" s="244"/>
      <c r="M63" s="246"/>
      <c r="N63" s="246"/>
      <c r="O63" s="246"/>
    </row>
    <row r="64" spans="1:15" x14ac:dyDescent="0.2">
      <c r="C64" s="243" t="s">
        <v>101</v>
      </c>
      <c r="E64" s="300">
        <f>SUM(E61:E62)</f>
        <v>49807089</v>
      </c>
      <c r="G64" s="300">
        <f>SUM(G61:G62)</f>
        <v>47770772</v>
      </c>
      <c r="H64" s="298"/>
      <c r="I64" s="300">
        <f>E64-G64</f>
        <v>2036317</v>
      </c>
      <c r="K64" s="257">
        <f>IF(G64=0,"n/a",IF(AND(I64/G64&lt;1,I64/G64&gt;-1),I64/G64,"n/a"))</f>
        <v>4.2626838854519664E-2</v>
      </c>
    </row>
    <row r="65" spans="1:15" ht="6.95" customHeight="1" x14ac:dyDescent="0.2">
      <c r="E65" s="297"/>
      <c r="G65" s="297"/>
      <c r="I65" s="297"/>
      <c r="K65" s="244"/>
      <c r="M65" s="246"/>
      <c r="N65" s="246"/>
      <c r="O65" s="246"/>
    </row>
    <row r="66" spans="1:15" x14ac:dyDescent="0.2">
      <c r="C66" s="243" t="s">
        <v>113</v>
      </c>
      <c r="E66" s="297">
        <f>E58+E64</f>
        <v>985897206</v>
      </c>
      <c r="G66" s="297">
        <f>G58+G64</f>
        <v>988708056</v>
      </c>
      <c r="H66" s="298"/>
      <c r="I66" s="297">
        <f>E66-G66</f>
        <v>-2810850</v>
      </c>
      <c r="K66" s="242">
        <f>IF(G66=0,"n/a",IF(AND(I66/G66&lt;1,I66/G66&gt;-1),I66/G66,"n/a"))</f>
        <v>-2.8429524599726738E-3</v>
      </c>
    </row>
    <row r="67" spans="1:15" ht="6.95" customHeight="1" x14ac:dyDescent="0.2">
      <c r="E67" s="297"/>
      <c r="G67" s="297"/>
      <c r="I67" s="297"/>
      <c r="K67" s="244"/>
      <c r="M67" s="246"/>
      <c r="N67" s="246"/>
      <c r="O67" s="246"/>
    </row>
    <row r="68" spans="1:15" x14ac:dyDescent="0.2">
      <c r="B68" s="284" t="s">
        <v>114</v>
      </c>
      <c r="E68" s="297"/>
      <c r="G68" s="297"/>
      <c r="H68" s="298"/>
      <c r="I68" s="297"/>
      <c r="K68" s="244"/>
    </row>
    <row r="69" spans="1:15" x14ac:dyDescent="0.2">
      <c r="C69" s="243" t="s">
        <v>104</v>
      </c>
      <c r="E69" s="299">
        <v>50140526</v>
      </c>
      <c r="G69" s="299">
        <v>53950791</v>
      </c>
      <c r="H69" s="298"/>
      <c r="I69" s="297">
        <f>E69-G69</f>
        <v>-3810265</v>
      </c>
      <c r="K69" s="242">
        <f>IF(G69=0,"n/a",IF(AND(I69/G69&lt;1,I69/G69&gt;-1),I69/G69,"n/a"))</f>
        <v>-7.0624821793623005E-2</v>
      </c>
    </row>
    <row r="70" spans="1:15" x14ac:dyDescent="0.2">
      <c r="C70" s="243" t="s">
        <v>105</v>
      </c>
      <c r="E70" s="299">
        <v>158680776</v>
      </c>
      <c r="G70" s="300">
        <v>165526562</v>
      </c>
      <c r="H70" s="298"/>
      <c r="I70" s="300">
        <f>E70-G70</f>
        <v>-6845786</v>
      </c>
      <c r="K70" s="257">
        <f>IF(G70=0,"n/a",IF(AND(I70/G70&lt;1,I70/G70&gt;-1),I70/G70,"n/a"))</f>
        <v>-4.1357628149130528E-2</v>
      </c>
    </row>
    <row r="71" spans="1:15" ht="6.95" customHeight="1" x14ac:dyDescent="0.2">
      <c r="E71" s="297"/>
      <c r="G71" s="297"/>
      <c r="I71" s="297"/>
      <c r="K71" s="244"/>
      <c r="M71" s="246"/>
      <c r="N71" s="246"/>
      <c r="O71" s="246"/>
    </row>
    <row r="72" spans="1:15" x14ac:dyDescent="0.2">
      <c r="C72" s="243" t="s">
        <v>106</v>
      </c>
      <c r="E72" s="300">
        <f>SUM(E69:E70)</f>
        <v>208821302</v>
      </c>
      <c r="G72" s="300">
        <f>SUM(G69:G70)</f>
        <v>219477353</v>
      </c>
      <c r="H72" s="298"/>
      <c r="I72" s="300">
        <f>E72-G72</f>
        <v>-10656051</v>
      </c>
      <c r="K72" s="257">
        <f>IF(G72=0,"n/a",IF(AND(I72/G72&lt;1,I72/G72&gt;-1),I72/G72,"n/a"))</f>
        <v>-4.8551938750600841E-2</v>
      </c>
    </row>
    <row r="73" spans="1:15" ht="6.95" customHeight="1" x14ac:dyDescent="0.2">
      <c r="E73" s="297"/>
      <c r="G73" s="297"/>
      <c r="I73" s="297"/>
      <c r="K73" s="244"/>
      <c r="M73" s="246"/>
      <c r="N73" s="246"/>
      <c r="O73" s="246"/>
    </row>
    <row r="74" spans="1:15" ht="12.75" thickBot="1" x14ac:dyDescent="0.25">
      <c r="C74" s="243" t="s">
        <v>115</v>
      </c>
      <c r="E74" s="301">
        <f>E66+E72</f>
        <v>1194718508</v>
      </c>
      <c r="G74" s="301">
        <f>G66+G72</f>
        <v>1208185409</v>
      </c>
      <c r="H74" s="298"/>
      <c r="I74" s="301">
        <f>E74-G74</f>
        <v>-13466901</v>
      </c>
      <c r="K74" s="260">
        <f>IF(G74=0,"n/a",IF(AND(I74/G74&lt;1,I74/G74&gt;-1),I74/G74,"n/a"))</f>
        <v>-1.1146386059360198E-2</v>
      </c>
    </row>
    <row r="75" spans="1:15" ht="12.75" thickTop="1" x14ac:dyDescent="0.2"/>
    <row r="76" spans="1:15" ht="12.75" customHeight="1" x14ac:dyDescent="0.2">
      <c r="A76" s="243" t="s">
        <v>3</v>
      </c>
      <c r="C76" s="302" t="s">
        <v>122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</row>
    <row r="77" spans="1:15" x14ac:dyDescent="0.2">
      <c r="A77" s="243" t="s">
        <v>3</v>
      </c>
    </row>
    <row r="78" spans="1:15" x14ac:dyDescent="0.2">
      <c r="A78" s="243" t="s">
        <v>3</v>
      </c>
    </row>
    <row r="79" spans="1:15" x14ac:dyDescent="0.2">
      <c r="A79" s="243" t="s">
        <v>3</v>
      </c>
    </row>
    <row r="80" spans="1:15" x14ac:dyDescent="0.2">
      <c r="A80" s="243" t="s">
        <v>3</v>
      </c>
    </row>
    <row r="81" spans="1:1" x14ac:dyDescent="0.2">
      <c r="A81" s="243" t="s">
        <v>3</v>
      </c>
    </row>
    <row r="82" spans="1:1" x14ac:dyDescent="0.2">
      <c r="A82" s="243" t="s">
        <v>3</v>
      </c>
    </row>
    <row r="83" spans="1:1" x14ac:dyDescent="0.2">
      <c r="A83" s="243" t="s">
        <v>3</v>
      </c>
    </row>
    <row r="84" spans="1:1" x14ac:dyDescent="0.2">
      <c r="A84" s="243" t="s">
        <v>3</v>
      </c>
    </row>
    <row r="85" spans="1:1" x14ac:dyDescent="0.2">
      <c r="A85" s="243" t="s">
        <v>3</v>
      </c>
    </row>
    <row r="86" spans="1:1" x14ac:dyDescent="0.2">
      <c r="A86" s="243" t="s">
        <v>3</v>
      </c>
    </row>
    <row r="87" spans="1:1" x14ac:dyDescent="0.2">
      <c r="A87" s="243" t="s">
        <v>3</v>
      </c>
    </row>
    <row r="88" spans="1:1" x14ac:dyDescent="0.2">
      <c r="A88" s="243" t="s">
        <v>3</v>
      </c>
    </row>
    <row r="89" spans="1:1" x14ac:dyDescent="0.2">
      <c r="A89" s="243" t="s">
        <v>3</v>
      </c>
    </row>
    <row r="90" spans="1:1" x14ac:dyDescent="0.2">
      <c r="A90" s="243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honeticPr fontId="0" type="noConversion"/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8 B d 7 2 3 s 7 u / f T y / F e + j o r 8 y a t z t P P s 2 b 8 r m z e P b 7 r N 3 3 8 7 N W X L 9 6 c v n j 6 + y v 8 3 / / s x b M v j x 7 s 7 + y M d 8 f 3 6 N + 9 n U / v P 7 4 b b / b 4 z e / / 9 P j N 8 c t X X / 7 k 2 d P T V + l d f H L 2 5 v S L 1 / j 1 9 e / / k 8 e v z o 6 f P D 8 9 o Z e P z 1 6 c v j p 6 b H / 9 / b 9 9 / O L p c y J s U z x a F u V n H 7 X 1 m i g G E L / 3 7 / / l k + + c n r z B + / T / 5 1 + d v o 4 0 u x u F / + b 3 J 2 x e n r 5 6 c 3 b 6 m m j 1 6 v c O / j 5 7 e n T 8 / P m X 3 / 3 9 n 7 4 6 / v z 3 J w T o l y 9 f P r 5 L n z / m j o 5 + b 6 I 0 / 0 L E 7 b w c A f b q 9 N m r 0 9 f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+ 9 + J w 4 9 O n L 3 1 8 l 6 2 v A + u r 1 K U n i m 7 M v z n 7 q 9 P d / / e Z L U n 2 3 V T Z 3 Q 3 U K S C d f f v G S E H k N 6 w F d / P h u 9 9 P H M v Y X x 1 8 w i v L X m 9 / n 5 e n R d 6 v 6 7 a S q 3 j 6 + 6 3 3 4 + P U b I 3 1 H x K 3 e X 4 / Z D h 7 9 P 6 b g E e y o B w A A < / A p p l i c a t i o n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91E85E-BFA7-4691-A089-7B26F0BAFC45}">
  <ds:schemaRefs>
    <ds:schemaRef ds:uri="http://www.sap.com/ip/bi/bexanalyzer/excel/application"/>
  </ds:schemaRefs>
</ds:datastoreItem>
</file>

<file path=customXml/itemProps2.xml><?xml version="1.0" encoding="utf-8"?>
<ds:datastoreItem xmlns:ds="http://schemas.openxmlformats.org/officeDocument/2006/customXml" ds:itemID="{2BD8D982-2DF6-47C6-95D1-BD233F0897F2}"/>
</file>

<file path=customXml/itemProps3.xml><?xml version="1.0" encoding="utf-8"?>
<ds:datastoreItem xmlns:ds="http://schemas.openxmlformats.org/officeDocument/2006/customXml" ds:itemID="{EFF2D223-0A2B-4301-8280-BA9348FAAC09}"/>
</file>

<file path=customXml/itemProps4.xml><?xml version="1.0" encoding="utf-8"?>
<ds:datastoreItem xmlns:ds="http://schemas.openxmlformats.org/officeDocument/2006/customXml" ds:itemID="{47EBB9EA-A041-433A-8A6D-0D29F413CFE3}"/>
</file>

<file path=customXml/itemProps5.xml><?xml version="1.0" encoding="utf-8"?>
<ds:datastoreItem xmlns:ds="http://schemas.openxmlformats.org/officeDocument/2006/customXml" ds:itemID="{9644451F-33C9-4760-9416-55453B5E6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07-2023 SOG</vt:lpstr>
      <vt:lpstr>08-2023 SOG</vt:lpstr>
      <vt:lpstr>09-2023 SOG</vt:lpstr>
      <vt:lpstr>Budget</vt:lpstr>
      <vt:lpstr>OPSTATS-RELEASE </vt:lpstr>
      <vt:lpstr>12 ME 09-2023 SOG</vt:lpstr>
      <vt:lpstr>'OPSTATS-RELEASE '!EDGAR</vt:lpstr>
      <vt:lpstr>'07-2023 SOG'!Print_Area</vt:lpstr>
      <vt:lpstr>'08-2023 SOG'!Print_Area</vt:lpstr>
      <vt:lpstr>'09-2023 SOG'!Print_Area</vt:lpstr>
      <vt:lpstr>'12 ME 09-2023 SOG'!Print_Area</vt:lpstr>
      <vt:lpstr>Budget!Print_Area</vt:lpstr>
      <vt:lpstr>'OPSTATS-RELEASE '!Print_Area_MI</vt:lpstr>
      <vt:lpstr>Budget!Therm_upload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Dyer</dc:creator>
  <cp:lastModifiedBy>Pham, Linh</cp:lastModifiedBy>
  <cp:lastPrinted>2019-07-11T21:53:32Z</cp:lastPrinted>
  <dcterms:created xsi:type="dcterms:W3CDTF">2009-03-09T22:11:49Z</dcterms:created>
  <dcterms:modified xsi:type="dcterms:W3CDTF">2023-11-10T18:16:47Z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Sales of Gas Template 6-2019.xlsx</vt:lpwstr>
  </property>
  <property fmtid="{D5CDD505-2E9C-101B-9397-08002B2CF9AE}" pid="3" name="ContentTypeId">
    <vt:lpwstr>0x0101006E56B4D1795A2E4DB2F0B01679ED314A00FD33AAAF88883644883E01F58A113111</vt:lpwstr>
  </property>
  <property fmtid="{D5CDD505-2E9C-101B-9397-08002B2CF9AE}" pid="4" name="_docset_NoMedatataSyncRequired">
    <vt:lpwstr>False</vt:lpwstr>
  </property>
</Properties>
</file>