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Spokane\2022 Disposal Increase\"/>
    </mc:Choice>
  </mc:AlternateContent>
  <xr:revisionPtr revIDLastSave="0" documentId="13_ncr:1_{5F61B9FF-F9AA-4F19-AF15-9EEAE671A4FE}" xr6:coauthVersionLast="46" xr6:coauthVersionMax="46" xr10:uidLastSave="{00000000-0000-0000-0000-000000000000}"/>
  <bookViews>
    <workbookView xWindow="32580" yWindow="1140" windowWidth="21600" windowHeight="11385" tabRatio="886" activeTab="1" xr2:uid="{00000000-000D-0000-FFFF-FFFF00000000}"/>
  </bookViews>
  <sheets>
    <sheet name="References" sheetId="5" r:id="rId1"/>
    <sheet name="Calculations" sheetId="7" r:id="rId2"/>
  </sheets>
  <definedNames>
    <definedName name="_xlnm.Print_Area" localSheetId="1">Calculations!$C$1:$S$92</definedName>
    <definedName name="_xlnm.Print_Titles" localSheetId="1">Calculations!$1:$1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9" i="7" l="1"/>
  <c r="O110" i="7"/>
  <c r="O111" i="7"/>
  <c r="O112" i="7"/>
  <c r="O113" i="7"/>
  <c r="O114" i="7"/>
  <c r="O108" i="7"/>
  <c r="C60" i="5"/>
  <c r="B60" i="5"/>
  <c r="M20" i="7"/>
  <c r="M18" i="7"/>
  <c r="M17" i="7"/>
  <c r="M15" i="7"/>
  <c r="M14" i="7"/>
  <c r="M13" i="7"/>
  <c r="G98" i="7"/>
  <c r="H98" i="7"/>
  <c r="G126" i="7" l="1"/>
  <c r="H125" i="7" s="1"/>
  <c r="D91" i="7"/>
  <c r="G89" i="7"/>
  <c r="F89" i="7"/>
  <c r="G88" i="7"/>
  <c r="F88" i="7"/>
  <c r="G87" i="7"/>
  <c r="F87" i="7"/>
  <c r="O87" i="7" s="1"/>
  <c r="G86" i="7"/>
  <c r="F86" i="7"/>
  <c r="O86" i="7" s="1"/>
  <c r="G85" i="7"/>
  <c r="F85" i="7"/>
  <c r="G84" i="7"/>
  <c r="F84" i="7"/>
  <c r="G83" i="7"/>
  <c r="F83" i="7"/>
  <c r="G82" i="7"/>
  <c r="F82" i="7"/>
  <c r="O82" i="7" s="1"/>
  <c r="G81" i="7"/>
  <c r="F81" i="7"/>
  <c r="G80" i="7"/>
  <c r="F80" i="7"/>
  <c r="O80" i="7" s="1"/>
  <c r="G79" i="7"/>
  <c r="F79" i="7"/>
  <c r="G78" i="7"/>
  <c r="F78" i="7"/>
  <c r="G77" i="7"/>
  <c r="F77" i="7"/>
  <c r="G76" i="7"/>
  <c r="H76" i="7" s="1"/>
  <c r="F76" i="7"/>
  <c r="G75" i="7"/>
  <c r="F75" i="7"/>
  <c r="G74" i="7"/>
  <c r="F74" i="7"/>
  <c r="G73" i="7"/>
  <c r="F73" i="7"/>
  <c r="G72" i="7"/>
  <c r="H72" i="7" s="1"/>
  <c r="F72" i="7"/>
  <c r="G71" i="7"/>
  <c r="F71" i="7"/>
  <c r="G70" i="7"/>
  <c r="H70" i="7" s="1"/>
  <c r="F70" i="7"/>
  <c r="G69" i="7"/>
  <c r="F69" i="7"/>
  <c r="G68" i="7"/>
  <c r="F68" i="7"/>
  <c r="G67" i="7"/>
  <c r="F67" i="7"/>
  <c r="G66" i="7"/>
  <c r="F66" i="7"/>
  <c r="G65" i="7"/>
  <c r="F65" i="7"/>
  <c r="G64" i="7"/>
  <c r="F64" i="7"/>
  <c r="G63" i="7"/>
  <c r="F63" i="7"/>
  <c r="G62" i="7"/>
  <c r="F62" i="7"/>
  <c r="G61" i="7"/>
  <c r="F61" i="7"/>
  <c r="H61" i="7" s="1"/>
  <c r="G60" i="7"/>
  <c r="F60" i="7"/>
  <c r="G59" i="7"/>
  <c r="G106" i="7" s="1"/>
  <c r="F59" i="7"/>
  <c r="G58" i="7"/>
  <c r="F58" i="7"/>
  <c r="G57" i="7"/>
  <c r="F57" i="7"/>
  <c r="O57" i="7" s="1"/>
  <c r="G56" i="7"/>
  <c r="F56" i="7"/>
  <c r="G55" i="7"/>
  <c r="F55" i="7"/>
  <c r="G54" i="7"/>
  <c r="H54" i="7" s="1"/>
  <c r="F54" i="7"/>
  <c r="G53" i="7"/>
  <c r="G105" i="7" s="1"/>
  <c r="F53" i="7"/>
  <c r="G52" i="7"/>
  <c r="F52" i="7"/>
  <c r="O52" i="7" s="1"/>
  <c r="G51" i="7"/>
  <c r="F51" i="7"/>
  <c r="O51" i="7" s="1"/>
  <c r="G50" i="7"/>
  <c r="F50" i="7"/>
  <c r="O50" i="7" s="1"/>
  <c r="G49" i="7"/>
  <c r="F49" i="7"/>
  <c r="G48" i="7"/>
  <c r="F48" i="7"/>
  <c r="G47" i="7"/>
  <c r="F47" i="7"/>
  <c r="G46" i="7"/>
  <c r="F46" i="7"/>
  <c r="G45" i="7"/>
  <c r="F45" i="7"/>
  <c r="G44" i="7"/>
  <c r="G103" i="7" s="1"/>
  <c r="F44" i="7"/>
  <c r="O44" i="7" s="1"/>
  <c r="G43" i="7"/>
  <c r="F43" i="7"/>
  <c r="G42" i="7"/>
  <c r="G102" i="7" s="1"/>
  <c r="F42" i="7"/>
  <c r="G41" i="7"/>
  <c r="F41" i="7"/>
  <c r="G40" i="7"/>
  <c r="F40" i="7"/>
  <c r="G39" i="7"/>
  <c r="F39" i="7"/>
  <c r="G38" i="7"/>
  <c r="G101" i="7" s="1"/>
  <c r="F38" i="7"/>
  <c r="G37" i="7"/>
  <c r="F37" i="7"/>
  <c r="G36" i="7"/>
  <c r="F36" i="7"/>
  <c r="G35" i="7"/>
  <c r="G100" i="7" s="1"/>
  <c r="H100" i="7" s="1"/>
  <c r="F35" i="7"/>
  <c r="O35" i="7" s="1"/>
  <c r="G34" i="7"/>
  <c r="F34" i="7"/>
  <c r="O34" i="7" s="1"/>
  <c r="G33" i="7"/>
  <c r="F33" i="7"/>
  <c r="G32" i="7"/>
  <c r="F32" i="7"/>
  <c r="G31" i="7"/>
  <c r="F31" i="7"/>
  <c r="F30" i="7"/>
  <c r="O30" i="7" s="1"/>
  <c r="G29" i="7"/>
  <c r="F29" i="7"/>
  <c r="G28" i="7"/>
  <c r="H28" i="7" s="1"/>
  <c r="F28" i="7"/>
  <c r="G27" i="7"/>
  <c r="F27" i="7"/>
  <c r="G26" i="7"/>
  <c r="F26" i="7"/>
  <c r="G25" i="7"/>
  <c r="F25" i="7"/>
  <c r="G24" i="7"/>
  <c r="F24" i="7"/>
  <c r="D23" i="7"/>
  <c r="D92" i="7" s="1"/>
  <c r="O21" i="7"/>
  <c r="G21" i="7"/>
  <c r="H21" i="7" s="1"/>
  <c r="O20" i="7"/>
  <c r="G20" i="7"/>
  <c r="O19" i="7"/>
  <c r="G19" i="7"/>
  <c r="G18" i="7"/>
  <c r="O17" i="7"/>
  <c r="O18" i="7"/>
  <c r="G17" i="7"/>
  <c r="O16" i="7"/>
  <c r="G16" i="7"/>
  <c r="G15" i="7"/>
  <c r="G14" i="7"/>
  <c r="G13" i="7"/>
  <c r="O12" i="7"/>
  <c r="G12" i="7"/>
  <c r="O11" i="7"/>
  <c r="G11" i="7"/>
  <c r="O10" i="7"/>
  <c r="G10" i="7"/>
  <c r="O9" i="7"/>
  <c r="G9" i="7"/>
  <c r="O8" i="7"/>
  <c r="G8" i="7"/>
  <c r="O7" i="7"/>
  <c r="G7" i="7"/>
  <c r="O6" i="7"/>
  <c r="G6" i="7"/>
  <c r="G5" i="7"/>
  <c r="O4" i="7"/>
  <c r="G4" i="7"/>
  <c r="O3" i="7"/>
  <c r="G3" i="7"/>
  <c r="E3" i="7"/>
  <c r="F3" i="7" s="1"/>
  <c r="O2" i="7"/>
  <c r="G2" i="7"/>
  <c r="F2" i="7"/>
  <c r="G47" i="5"/>
  <c r="G50" i="5" s="1"/>
  <c r="G53" i="5" s="1"/>
  <c r="G48" i="5"/>
  <c r="B3" i="5"/>
  <c r="G3" i="5" s="1"/>
  <c r="B4" i="5"/>
  <c r="G4" i="5" s="1"/>
  <c r="B5" i="5"/>
  <c r="B6" i="5"/>
  <c r="G6" i="5" s="1"/>
  <c r="F6" i="5"/>
  <c r="B7" i="5"/>
  <c r="B8" i="5"/>
  <c r="C8" i="5" s="1"/>
  <c r="B9" i="5"/>
  <c r="F9" i="5" s="1"/>
  <c r="C47" i="5"/>
  <c r="C48" i="5"/>
  <c r="B49" i="5"/>
  <c r="B58" i="5" s="1"/>
  <c r="C52" i="5"/>
  <c r="C53" i="5"/>
  <c r="B54" i="5"/>
  <c r="B55" i="5"/>
  <c r="H9" i="5"/>
  <c r="G7" i="5"/>
  <c r="C7" i="5"/>
  <c r="E7" i="5"/>
  <c r="H3" i="5"/>
  <c r="C58" i="5"/>
  <c r="E3" i="5"/>
  <c r="F3" i="5"/>
  <c r="C6" i="5"/>
  <c r="H6" i="5"/>
  <c r="D6" i="5" l="1"/>
  <c r="C3" i="5"/>
  <c r="F4" i="5"/>
  <c r="G9" i="5"/>
  <c r="H75" i="7"/>
  <c r="H87" i="7"/>
  <c r="D9" i="5"/>
  <c r="H43" i="7"/>
  <c r="E6" i="5"/>
  <c r="D3" i="5"/>
  <c r="D4" i="5"/>
  <c r="E9" i="5"/>
  <c r="C9" i="5"/>
  <c r="H40" i="7"/>
  <c r="C54" i="5"/>
  <c r="C49" i="5"/>
  <c r="B50" i="5"/>
  <c r="H39" i="7"/>
  <c r="H62" i="7"/>
  <c r="H102" i="7"/>
  <c r="G109" i="7"/>
  <c r="H69" i="7"/>
  <c r="G107" i="7"/>
  <c r="H29" i="7"/>
  <c r="H103" i="7"/>
  <c r="G110" i="7"/>
  <c r="H110" i="7" s="1"/>
  <c r="G108" i="7"/>
  <c r="H108" i="7" s="1"/>
  <c r="H101" i="7"/>
  <c r="G113" i="7"/>
  <c r="H113" i="7" s="1"/>
  <c r="H106" i="7"/>
  <c r="H33" i="7"/>
  <c r="G99" i="7"/>
  <c r="H99" i="7" s="1"/>
  <c r="H50" i="7"/>
  <c r="G104" i="7"/>
  <c r="G112" i="7"/>
  <c r="H112" i="7" s="1"/>
  <c r="H105" i="7"/>
  <c r="H74" i="7"/>
  <c r="H88" i="7"/>
  <c r="O89" i="7"/>
  <c r="H109" i="7"/>
  <c r="H89" i="7"/>
  <c r="G97" i="7"/>
  <c r="H97" i="7" s="1"/>
  <c r="H3" i="7"/>
  <c r="H85" i="7"/>
  <c r="H38" i="7"/>
  <c r="H124" i="7"/>
  <c r="D119" i="7"/>
  <c r="D120" i="7" s="1"/>
  <c r="C59" i="5"/>
  <c r="C61" i="5" s="1"/>
  <c r="B59" i="5"/>
  <c r="B61" i="5" s="1"/>
  <c r="C5" i="5"/>
  <c r="E5" i="5"/>
  <c r="G5" i="5"/>
  <c r="F5" i="5"/>
  <c r="H5" i="5"/>
  <c r="D5" i="5"/>
  <c r="H8" i="5"/>
  <c r="F8" i="5"/>
  <c r="D8" i="5"/>
  <c r="E8" i="5"/>
  <c r="G8" i="5"/>
  <c r="H32" i="7"/>
  <c r="O48" i="7"/>
  <c r="H48" i="7"/>
  <c r="C4" i="5"/>
  <c r="H4" i="5"/>
  <c r="E4" i="5"/>
  <c r="H58" i="7"/>
  <c r="O61" i="7"/>
  <c r="O66" i="7"/>
  <c r="E19" i="7"/>
  <c r="E12" i="7"/>
  <c r="E5" i="7"/>
  <c r="D7" i="5"/>
  <c r="F7" i="5"/>
  <c r="E6" i="7"/>
  <c r="E7" i="7" s="1"/>
  <c r="F7" i="7" s="1"/>
  <c r="H7" i="7" s="1"/>
  <c r="H7" i="5"/>
  <c r="E16" i="7"/>
  <c r="F16" i="7" s="1"/>
  <c r="H16" i="7" s="1"/>
  <c r="O27" i="7"/>
  <c r="O46" i="7"/>
  <c r="O47" i="7"/>
  <c r="H24" i="7"/>
  <c r="H35" i="7"/>
  <c r="H66" i="7"/>
  <c r="H71" i="7"/>
  <c r="H79" i="7"/>
  <c r="O81" i="7"/>
  <c r="H82" i="7"/>
  <c r="H84" i="7"/>
  <c r="H2" i="7"/>
  <c r="O25" i="7"/>
  <c r="O32" i="7"/>
  <c r="H47" i="7"/>
  <c r="H52" i="7"/>
  <c r="H57" i="7"/>
  <c r="H78" i="7"/>
  <c r="O84" i="7"/>
  <c r="O28" i="7"/>
  <c r="O15" i="7"/>
  <c r="O14" i="7"/>
  <c r="O29" i="7"/>
  <c r="O13" i="7"/>
  <c r="H25" i="7"/>
  <c r="O26" i="7"/>
  <c r="H27" i="7"/>
  <c r="H30" i="7"/>
  <c r="O31" i="7"/>
  <c r="H34" i="7"/>
  <c r="O39" i="7"/>
  <c r="O40" i="7"/>
  <c r="O41" i="7"/>
  <c r="H41" i="7"/>
  <c r="H42" i="7"/>
  <c r="O42" i="7"/>
  <c r="H51" i="7"/>
  <c r="H53" i="7"/>
  <c r="O53" i="7"/>
  <c r="O56" i="7"/>
  <c r="H59" i="7"/>
  <c r="O59" i="7"/>
  <c r="O67" i="7"/>
  <c r="F91" i="7"/>
  <c r="O24" i="7"/>
  <c r="H26" i="7"/>
  <c r="H36" i="7"/>
  <c r="O36" i="7"/>
  <c r="H37" i="7"/>
  <c r="O37" i="7"/>
  <c r="O38" i="7"/>
  <c r="H81" i="7"/>
  <c r="H31" i="7"/>
  <c r="H45" i="7"/>
  <c r="O45" i="7"/>
  <c r="H46" i="7"/>
  <c r="O33" i="7"/>
  <c r="H44" i="7"/>
  <c r="H49" i="7"/>
  <c r="O54" i="7"/>
  <c r="H63" i="7"/>
  <c r="O49" i="7"/>
  <c r="H55" i="7"/>
  <c r="O55" i="7"/>
  <c r="H56" i="7"/>
  <c r="O69" i="7"/>
  <c r="O43" i="7"/>
  <c r="O58" i="7"/>
  <c r="H60" i="7"/>
  <c r="O60" i="7"/>
  <c r="O62" i="7"/>
  <c r="H83" i="7"/>
  <c r="O83" i="7"/>
  <c r="H64" i="7"/>
  <c r="H65" i="7"/>
  <c r="H67" i="7"/>
  <c r="O68" i="7"/>
  <c r="O85" i="7"/>
  <c r="O65" i="7"/>
  <c r="H77" i="7"/>
  <c r="H68" i="7"/>
  <c r="H73" i="7"/>
  <c r="H80" i="7"/>
  <c r="H86" i="7"/>
  <c r="O88" i="7"/>
  <c r="E61" i="5" l="1"/>
  <c r="G111" i="7"/>
  <c r="H111" i="7" s="1"/>
  <c r="H104" i="7"/>
  <c r="O64" i="7"/>
  <c r="H107" i="7"/>
  <c r="G114" i="7"/>
  <c r="H114" i="7" s="1"/>
  <c r="H91" i="7"/>
  <c r="E13" i="7"/>
  <c r="F12" i="7"/>
  <c r="H12" i="7" s="1"/>
  <c r="F6" i="7"/>
  <c r="H6" i="7" s="1"/>
  <c r="E20" i="7"/>
  <c r="F20" i="7" s="1"/>
  <c r="H20" i="7" s="1"/>
  <c r="F19" i="7"/>
  <c r="H19" i="7" s="1"/>
  <c r="E8" i="7"/>
  <c r="F8" i="7" s="1"/>
  <c r="H8" i="7" s="1"/>
  <c r="O63" i="7"/>
  <c r="E17" i="7"/>
  <c r="E18" i="7" s="1"/>
  <c r="F18" i="7" s="1"/>
  <c r="H18" i="7" s="1"/>
  <c r="E4" i="7"/>
  <c r="F4" i="7" s="1"/>
  <c r="H4" i="7" s="1"/>
  <c r="F5" i="7"/>
  <c r="O70" i="7"/>
  <c r="F17" i="7"/>
  <c r="H17" i="7" s="1"/>
  <c r="O71" i="7"/>
  <c r="F13" i="7" l="1"/>
  <c r="H13" i="7" s="1"/>
  <c r="E14" i="7"/>
  <c r="E9" i="7"/>
  <c r="F9" i="7" s="1"/>
  <c r="O5" i="7"/>
  <c r="O23" i="7" s="1"/>
  <c r="H5" i="7"/>
  <c r="O72" i="7"/>
  <c r="E10" i="7" l="1"/>
  <c r="E11" i="7" s="1"/>
  <c r="F11" i="7" s="1"/>
  <c r="H11" i="7" s="1"/>
  <c r="F14" i="7"/>
  <c r="H14" i="7" s="1"/>
  <c r="E15" i="7"/>
  <c r="F15" i="7" s="1"/>
  <c r="H15" i="7" s="1"/>
  <c r="F10" i="7"/>
  <c r="H10" i="7" s="1"/>
  <c r="O73" i="7"/>
  <c r="H9" i="7"/>
  <c r="F23" i="7" l="1"/>
  <c r="F92" i="7" s="1"/>
  <c r="D121" i="7" s="1"/>
  <c r="O74" i="7"/>
  <c r="H23" i="7"/>
  <c r="H92" i="7" s="1"/>
  <c r="D122" i="7" s="1"/>
  <c r="I97" i="7" l="1"/>
  <c r="J97" i="7" s="1"/>
  <c r="K97" i="7" s="1"/>
  <c r="L97" i="7" s="1"/>
  <c r="N97" i="7" s="1"/>
  <c r="I102" i="7"/>
  <c r="J102" i="7" s="1"/>
  <c r="K102" i="7" s="1"/>
  <c r="L102" i="7" s="1"/>
  <c r="N102" i="7" s="1"/>
  <c r="P102" i="7" s="1"/>
  <c r="I101" i="7"/>
  <c r="J101" i="7" s="1"/>
  <c r="K101" i="7" s="1"/>
  <c r="L101" i="7" s="1"/>
  <c r="N101" i="7" s="1"/>
  <c r="I98" i="7"/>
  <c r="J98" i="7" s="1"/>
  <c r="K98" i="7" s="1"/>
  <c r="L98" i="7" s="1"/>
  <c r="N98" i="7" s="1"/>
  <c r="I100" i="7"/>
  <c r="J100" i="7" s="1"/>
  <c r="K100" i="7" s="1"/>
  <c r="L100" i="7" s="1"/>
  <c r="N100" i="7" s="1"/>
  <c r="I109" i="7"/>
  <c r="J109" i="7" s="1"/>
  <c r="K109" i="7" s="1"/>
  <c r="L109" i="7" s="1"/>
  <c r="N109" i="7" s="1"/>
  <c r="P109" i="7" s="1"/>
  <c r="Q109" i="7" s="1"/>
  <c r="I105" i="7"/>
  <c r="J105" i="7" s="1"/>
  <c r="K105" i="7" s="1"/>
  <c r="L105" i="7" s="1"/>
  <c r="N105" i="7" s="1"/>
  <c r="P105" i="7" s="1"/>
  <c r="I106" i="7"/>
  <c r="J106" i="7" s="1"/>
  <c r="K106" i="7" s="1"/>
  <c r="L106" i="7" s="1"/>
  <c r="N106" i="7" s="1"/>
  <c r="I103" i="7"/>
  <c r="J103" i="7" s="1"/>
  <c r="K103" i="7" s="1"/>
  <c r="L103" i="7" s="1"/>
  <c r="N103" i="7" s="1"/>
  <c r="P103" i="7" s="1"/>
  <c r="I112" i="7"/>
  <c r="J112" i="7" s="1"/>
  <c r="K112" i="7" s="1"/>
  <c r="L112" i="7" s="1"/>
  <c r="N112" i="7" s="1"/>
  <c r="P112" i="7" s="1"/>
  <c r="Q112" i="7" s="1"/>
  <c r="I110" i="7"/>
  <c r="J110" i="7" s="1"/>
  <c r="K110" i="7" s="1"/>
  <c r="L110" i="7" s="1"/>
  <c r="N110" i="7" s="1"/>
  <c r="P110" i="7" s="1"/>
  <c r="Q110" i="7" s="1"/>
  <c r="I108" i="7"/>
  <c r="J108" i="7" s="1"/>
  <c r="K108" i="7" s="1"/>
  <c r="L108" i="7" s="1"/>
  <c r="N108" i="7" s="1"/>
  <c r="P108" i="7" s="1"/>
  <c r="Q108" i="7" s="1"/>
  <c r="I113" i="7"/>
  <c r="J113" i="7" s="1"/>
  <c r="K113" i="7" s="1"/>
  <c r="L113" i="7" s="1"/>
  <c r="N113" i="7" s="1"/>
  <c r="P113" i="7" s="1"/>
  <c r="Q113" i="7" s="1"/>
  <c r="I99" i="7"/>
  <c r="J99" i="7" s="1"/>
  <c r="K99" i="7" s="1"/>
  <c r="L99" i="7" s="1"/>
  <c r="N99" i="7" s="1"/>
  <c r="I114" i="7"/>
  <c r="J114" i="7" s="1"/>
  <c r="K114" i="7" s="1"/>
  <c r="L114" i="7" s="1"/>
  <c r="N114" i="7" s="1"/>
  <c r="P114" i="7" s="1"/>
  <c r="Q114" i="7" s="1"/>
  <c r="I107" i="7"/>
  <c r="J107" i="7" s="1"/>
  <c r="K107" i="7" s="1"/>
  <c r="L107" i="7" s="1"/>
  <c r="N107" i="7" s="1"/>
  <c r="I104" i="7"/>
  <c r="J104" i="7" s="1"/>
  <c r="K104" i="7" s="1"/>
  <c r="L104" i="7" s="1"/>
  <c r="N104" i="7" s="1"/>
  <c r="I111" i="7"/>
  <c r="J111" i="7" s="1"/>
  <c r="K111" i="7" s="1"/>
  <c r="L111" i="7" s="1"/>
  <c r="N111" i="7" s="1"/>
  <c r="P111" i="7" s="1"/>
  <c r="Q111" i="7" s="1"/>
  <c r="I81" i="7"/>
  <c r="J81" i="7" s="1"/>
  <c r="K81" i="7" s="1"/>
  <c r="I78" i="7"/>
  <c r="J78" i="7" s="1"/>
  <c r="K78" i="7" s="1"/>
  <c r="L78" i="7" s="1"/>
  <c r="I74" i="7"/>
  <c r="J74" i="7" s="1"/>
  <c r="K74" i="7" s="1"/>
  <c r="I70" i="7"/>
  <c r="J70" i="7" s="1"/>
  <c r="K70" i="7" s="1"/>
  <c r="I65" i="7"/>
  <c r="J65" i="7" s="1"/>
  <c r="K65" i="7" s="1"/>
  <c r="I89" i="7"/>
  <c r="J89" i="7" s="1"/>
  <c r="K89" i="7" s="1"/>
  <c r="I88" i="7"/>
  <c r="J88" i="7" s="1"/>
  <c r="K88" i="7" s="1"/>
  <c r="I63" i="7"/>
  <c r="J63" i="7" s="1"/>
  <c r="K63" i="7" s="1"/>
  <c r="I85" i="7"/>
  <c r="J85" i="7" s="1"/>
  <c r="K85" i="7" s="1"/>
  <c r="I84" i="7"/>
  <c r="J84" i="7" s="1"/>
  <c r="K84" i="7" s="1"/>
  <c r="I83" i="7"/>
  <c r="J83" i="7" s="1"/>
  <c r="K83" i="7" s="1"/>
  <c r="I72" i="7"/>
  <c r="J72" i="7" s="1"/>
  <c r="K72" i="7" s="1"/>
  <c r="I71" i="7"/>
  <c r="J71" i="7" s="1"/>
  <c r="K71" i="7" s="1"/>
  <c r="I67" i="7"/>
  <c r="J67" i="7" s="1"/>
  <c r="K67" i="7" s="1"/>
  <c r="I66" i="7"/>
  <c r="J66" i="7" s="1"/>
  <c r="K66" i="7" s="1"/>
  <c r="I64" i="7"/>
  <c r="J64" i="7" s="1"/>
  <c r="K64" i="7" s="1"/>
  <c r="I60" i="7"/>
  <c r="J60" i="7" s="1"/>
  <c r="K60" i="7" s="1"/>
  <c r="I87" i="7"/>
  <c r="J87" i="7" s="1"/>
  <c r="K87" i="7" s="1"/>
  <c r="I86" i="7"/>
  <c r="J86" i="7" s="1"/>
  <c r="K86" i="7" s="1"/>
  <c r="I76" i="7"/>
  <c r="J76" i="7" s="1"/>
  <c r="K76" i="7" s="1"/>
  <c r="L76" i="7" s="1"/>
  <c r="I75" i="7"/>
  <c r="J75" i="7" s="1"/>
  <c r="K75" i="7" s="1"/>
  <c r="I73" i="7"/>
  <c r="J73" i="7" s="1"/>
  <c r="K73" i="7" s="1"/>
  <c r="I69" i="7"/>
  <c r="J69" i="7" s="1"/>
  <c r="K69" i="7" s="1"/>
  <c r="I68" i="7"/>
  <c r="J68" i="7" s="1"/>
  <c r="K68" i="7" s="1"/>
  <c r="I61" i="7"/>
  <c r="J61" i="7" s="1"/>
  <c r="K61" i="7" s="1"/>
  <c r="I80" i="7"/>
  <c r="J80" i="7" s="1"/>
  <c r="K80" i="7" s="1"/>
  <c r="I59" i="7"/>
  <c r="J59" i="7" s="1"/>
  <c r="K59" i="7" s="1"/>
  <c r="I56" i="7"/>
  <c r="J56" i="7" s="1"/>
  <c r="K56" i="7" s="1"/>
  <c r="I51" i="7"/>
  <c r="J51" i="7" s="1"/>
  <c r="K51" i="7" s="1"/>
  <c r="I46" i="7"/>
  <c r="J46" i="7" s="1"/>
  <c r="K46" i="7" s="1"/>
  <c r="I44" i="7"/>
  <c r="J44" i="7" s="1"/>
  <c r="K44" i="7" s="1"/>
  <c r="I79" i="7"/>
  <c r="J79" i="7" s="1"/>
  <c r="K79" i="7" s="1"/>
  <c r="L79" i="7" s="1"/>
  <c r="I62" i="7"/>
  <c r="J62" i="7" s="1"/>
  <c r="K62" i="7" s="1"/>
  <c r="I57" i="7"/>
  <c r="J57" i="7" s="1"/>
  <c r="K57" i="7" s="1"/>
  <c r="I52" i="7"/>
  <c r="J52" i="7" s="1"/>
  <c r="K52" i="7" s="1"/>
  <c r="I50" i="7"/>
  <c r="J50" i="7" s="1"/>
  <c r="K50" i="7" s="1"/>
  <c r="I47" i="7"/>
  <c r="J47" i="7" s="1"/>
  <c r="K47" i="7" s="1"/>
  <c r="I41" i="7"/>
  <c r="J41" i="7" s="1"/>
  <c r="K41" i="7" s="1"/>
  <c r="I82" i="7"/>
  <c r="J82" i="7" s="1"/>
  <c r="K82" i="7" s="1"/>
  <c r="I58" i="7"/>
  <c r="J58" i="7" s="1"/>
  <c r="K58" i="7" s="1"/>
  <c r="I37" i="7"/>
  <c r="J37" i="7" s="1"/>
  <c r="K37" i="7" s="1"/>
  <c r="I34" i="7"/>
  <c r="J34" i="7" s="1"/>
  <c r="K34" i="7" s="1"/>
  <c r="I31" i="7"/>
  <c r="J31" i="7" s="1"/>
  <c r="K31" i="7" s="1"/>
  <c r="I77" i="7"/>
  <c r="J77" i="7" s="1"/>
  <c r="K77" i="7" s="1"/>
  <c r="L77" i="7" s="1"/>
  <c r="I53" i="7"/>
  <c r="J53" i="7" s="1"/>
  <c r="K53" i="7" s="1"/>
  <c r="I45" i="7"/>
  <c r="J45" i="7" s="1"/>
  <c r="K45" i="7" s="1"/>
  <c r="I42" i="7"/>
  <c r="J42" i="7" s="1"/>
  <c r="K42" i="7" s="1"/>
  <c r="I39" i="7"/>
  <c r="J39" i="7" s="1"/>
  <c r="K39" i="7" s="1"/>
  <c r="I35" i="7"/>
  <c r="J35" i="7" s="1"/>
  <c r="K35" i="7" s="1"/>
  <c r="I32" i="7"/>
  <c r="J32" i="7" s="1"/>
  <c r="K32" i="7" s="1"/>
  <c r="I48" i="7"/>
  <c r="J48" i="7" s="1"/>
  <c r="K48" i="7" s="1"/>
  <c r="I40" i="7"/>
  <c r="J40" i="7" s="1"/>
  <c r="K40" i="7" s="1"/>
  <c r="I36" i="7"/>
  <c r="J36" i="7" s="1"/>
  <c r="K36" i="7" s="1"/>
  <c r="I33" i="7"/>
  <c r="J33" i="7" s="1"/>
  <c r="K33" i="7" s="1"/>
  <c r="I29" i="7"/>
  <c r="J29" i="7" s="1"/>
  <c r="K29" i="7" s="1"/>
  <c r="I10" i="7"/>
  <c r="J10" i="7" s="1"/>
  <c r="K10" i="7" s="1"/>
  <c r="I6" i="7"/>
  <c r="J6" i="7" s="1"/>
  <c r="K6" i="7" s="1"/>
  <c r="I4" i="7"/>
  <c r="J4" i="7" s="1"/>
  <c r="K4" i="7" s="1"/>
  <c r="I55" i="7"/>
  <c r="J55" i="7" s="1"/>
  <c r="K55" i="7" s="1"/>
  <c r="I26" i="7"/>
  <c r="J26" i="7" s="1"/>
  <c r="K26" i="7" s="1"/>
  <c r="I16" i="7"/>
  <c r="J16" i="7" s="1"/>
  <c r="K16" i="7" s="1"/>
  <c r="I15" i="7"/>
  <c r="J15" i="7" s="1"/>
  <c r="K15" i="7" s="1"/>
  <c r="I14" i="7"/>
  <c r="J14" i="7" s="1"/>
  <c r="K14" i="7" s="1"/>
  <c r="I13" i="7"/>
  <c r="J13" i="7" s="1"/>
  <c r="K13" i="7" s="1"/>
  <c r="I11" i="7"/>
  <c r="J11" i="7" s="1"/>
  <c r="K11" i="7" s="1"/>
  <c r="I7" i="7"/>
  <c r="J7" i="7" s="1"/>
  <c r="K7" i="7" s="1"/>
  <c r="I5" i="7"/>
  <c r="J5" i="7" s="1"/>
  <c r="K5" i="7" s="1"/>
  <c r="I54" i="7"/>
  <c r="J54" i="7" s="1"/>
  <c r="K54" i="7" s="1"/>
  <c r="I49" i="7"/>
  <c r="J49" i="7" s="1"/>
  <c r="K49" i="7" s="1"/>
  <c r="I43" i="7"/>
  <c r="J43" i="7" s="1"/>
  <c r="K43" i="7" s="1"/>
  <c r="I30" i="7"/>
  <c r="J30" i="7" s="1"/>
  <c r="K30" i="7" s="1"/>
  <c r="I27" i="7"/>
  <c r="J27" i="7" s="1"/>
  <c r="K27" i="7" s="1"/>
  <c r="I25" i="7"/>
  <c r="J25" i="7" s="1"/>
  <c r="K25" i="7" s="1"/>
  <c r="I21" i="7"/>
  <c r="J21" i="7" s="1"/>
  <c r="K21" i="7" s="1"/>
  <c r="I19" i="7"/>
  <c r="J19" i="7" s="1"/>
  <c r="K19" i="7" s="1"/>
  <c r="I17" i="7"/>
  <c r="J17" i="7" s="1"/>
  <c r="K17" i="7" s="1"/>
  <c r="I12" i="7"/>
  <c r="J12" i="7" s="1"/>
  <c r="K12" i="7" s="1"/>
  <c r="I8" i="7"/>
  <c r="J8" i="7" s="1"/>
  <c r="K8" i="7" s="1"/>
  <c r="I2" i="7"/>
  <c r="I38" i="7"/>
  <c r="J38" i="7" s="1"/>
  <c r="K38" i="7" s="1"/>
  <c r="I28" i="7"/>
  <c r="J28" i="7" s="1"/>
  <c r="K28" i="7" s="1"/>
  <c r="I24" i="7"/>
  <c r="I20" i="7"/>
  <c r="J20" i="7" s="1"/>
  <c r="K20" i="7" s="1"/>
  <c r="I18" i="7"/>
  <c r="J18" i="7" s="1"/>
  <c r="K18" i="7" s="1"/>
  <c r="I9" i="7"/>
  <c r="J9" i="7" s="1"/>
  <c r="K9" i="7" s="1"/>
  <c r="I3" i="7"/>
  <c r="J3" i="7" s="1"/>
  <c r="K3" i="7" s="1"/>
  <c r="O75" i="7"/>
  <c r="L3" i="7" l="1"/>
  <c r="N3" i="7" s="1"/>
  <c r="P3" i="7" s="1"/>
  <c r="N8" i="7"/>
  <c r="L8" i="7"/>
  <c r="L21" i="7"/>
  <c r="N21" i="7" s="1"/>
  <c r="Q21" i="7" s="1"/>
  <c r="R21" i="7" s="1"/>
  <c r="S21" i="7" s="1"/>
  <c r="N43" i="7"/>
  <c r="T43" i="7" s="1"/>
  <c r="L43" i="7"/>
  <c r="L7" i="7"/>
  <c r="N7" i="7" s="1"/>
  <c r="Q7" i="7" s="1"/>
  <c r="R7" i="7" s="1"/>
  <c r="S7" i="7" s="1"/>
  <c r="N15" i="7"/>
  <c r="T15" i="7" s="1"/>
  <c r="L15" i="7"/>
  <c r="L4" i="7"/>
  <c r="N4" i="7" s="1"/>
  <c r="N33" i="7"/>
  <c r="L33" i="7"/>
  <c r="L32" i="7"/>
  <c r="N32" i="7" s="1"/>
  <c r="Q32" i="7" s="1"/>
  <c r="R32" i="7" s="1"/>
  <c r="S32" i="7" s="1"/>
  <c r="N45" i="7"/>
  <c r="L45" i="7"/>
  <c r="L34" i="7"/>
  <c r="N34" i="7" s="1"/>
  <c r="P34" i="7" s="1"/>
  <c r="N41" i="7"/>
  <c r="P41" i="7" s="1"/>
  <c r="L41" i="7"/>
  <c r="L57" i="7"/>
  <c r="N57" i="7" s="1"/>
  <c r="Q57" i="7" s="1"/>
  <c r="R57" i="7" s="1"/>
  <c r="S57" i="7" s="1"/>
  <c r="N46" i="7"/>
  <c r="T46" i="7" s="1"/>
  <c r="L46" i="7"/>
  <c r="L80" i="7"/>
  <c r="N80" i="7" s="1"/>
  <c r="N73" i="7"/>
  <c r="L73" i="7"/>
  <c r="L87" i="7"/>
  <c r="N87" i="7" s="1"/>
  <c r="Q87" i="7" s="1"/>
  <c r="R87" i="7" s="1"/>
  <c r="S87" i="7" s="1"/>
  <c r="N67" i="7"/>
  <c r="L67" i="7"/>
  <c r="L84" i="7"/>
  <c r="N84" i="7" s="1"/>
  <c r="Q84" i="7" s="1"/>
  <c r="R84" i="7" s="1"/>
  <c r="S84" i="7" s="1"/>
  <c r="N89" i="7"/>
  <c r="T89" i="7" s="1"/>
  <c r="V89" i="7" s="1"/>
  <c r="L89" i="7"/>
  <c r="L9" i="7"/>
  <c r="N9" i="7" s="1"/>
  <c r="T9" i="7" s="1"/>
  <c r="N28" i="7"/>
  <c r="Q28" i="7" s="1"/>
  <c r="R28" i="7" s="1"/>
  <c r="S28" i="7" s="1"/>
  <c r="L28" i="7"/>
  <c r="L12" i="7"/>
  <c r="N12" i="7" s="1"/>
  <c r="N25" i="7"/>
  <c r="Q25" i="7" s="1"/>
  <c r="R25" i="7" s="1"/>
  <c r="S25" i="7" s="1"/>
  <c r="L25" i="7"/>
  <c r="L49" i="7"/>
  <c r="N49" i="7" s="1"/>
  <c r="T49" i="7" s="1"/>
  <c r="N11" i="7"/>
  <c r="L11" i="7"/>
  <c r="L16" i="7"/>
  <c r="N16" i="7" s="1"/>
  <c r="N6" i="7"/>
  <c r="Q6" i="7" s="1"/>
  <c r="R6" i="7" s="1"/>
  <c r="S6" i="7" s="1"/>
  <c r="L6" i="7"/>
  <c r="L36" i="7"/>
  <c r="N36" i="7" s="1"/>
  <c r="Q36" i="7" s="1"/>
  <c r="R36" i="7" s="1"/>
  <c r="S36" i="7" s="1"/>
  <c r="N35" i="7"/>
  <c r="T35" i="7" s="1"/>
  <c r="L35" i="7"/>
  <c r="L53" i="7"/>
  <c r="N53" i="7" s="1"/>
  <c r="N37" i="7"/>
  <c r="Q37" i="7" s="1"/>
  <c r="R37" i="7" s="1"/>
  <c r="S37" i="7" s="1"/>
  <c r="L37" i="7"/>
  <c r="L47" i="7"/>
  <c r="N47" i="7" s="1"/>
  <c r="P47" i="7" s="1"/>
  <c r="N62" i="7"/>
  <c r="L62" i="7"/>
  <c r="L51" i="7"/>
  <c r="N51" i="7" s="1"/>
  <c r="T51" i="7" s="1"/>
  <c r="N61" i="7"/>
  <c r="Q61" i="7" s="1"/>
  <c r="R61" i="7" s="1"/>
  <c r="S61" i="7" s="1"/>
  <c r="L61" i="7"/>
  <c r="L75" i="7"/>
  <c r="N75" i="7" s="1"/>
  <c r="P75" i="7" s="1"/>
  <c r="N60" i="7"/>
  <c r="P60" i="7" s="1"/>
  <c r="L60" i="7"/>
  <c r="L71" i="7"/>
  <c r="N71" i="7" s="1"/>
  <c r="N85" i="7"/>
  <c r="T85" i="7" s="1"/>
  <c r="L85" i="7"/>
  <c r="L65" i="7"/>
  <c r="N65" i="7" s="1"/>
  <c r="T65" i="7" s="1"/>
  <c r="N81" i="7"/>
  <c r="L81" i="7"/>
  <c r="L18" i="7"/>
  <c r="N18" i="7" s="1"/>
  <c r="Q18" i="7" s="1"/>
  <c r="R18" i="7" s="1"/>
  <c r="S18" i="7" s="1"/>
  <c r="N38" i="7"/>
  <c r="T38" i="7" s="1"/>
  <c r="L38" i="7"/>
  <c r="L17" i="7"/>
  <c r="N17" i="7" s="1"/>
  <c r="N27" i="7"/>
  <c r="Q27" i="7" s="1"/>
  <c r="R27" i="7" s="1"/>
  <c r="S27" i="7" s="1"/>
  <c r="L27" i="7"/>
  <c r="L54" i="7"/>
  <c r="N54" i="7" s="1"/>
  <c r="N13" i="7"/>
  <c r="P13" i="7" s="1"/>
  <c r="L13" i="7"/>
  <c r="L26" i="7"/>
  <c r="N26" i="7" s="1"/>
  <c r="N10" i="7"/>
  <c r="Q10" i="7" s="1"/>
  <c r="R10" i="7" s="1"/>
  <c r="S10" i="7" s="1"/>
  <c r="L10" i="7"/>
  <c r="L40" i="7"/>
  <c r="N40" i="7" s="1"/>
  <c r="N39" i="7"/>
  <c r="P39" i="7" s="1"/>
  <c r="L39" i="7"/>
  <c r="L58" i="7"/>
  <c r="N58" i="7" s="1"/>
  <c r="N50" i="7"/>
  <c r="L50" i="7"/>
  <c r="L56" i="7"/>
  <c r="N56" i="7" s="1"/>
  <c r="N68" i="7"/>
  <c r="T68" i="7" s="1"/>
  <c r="L68" i="7"/>
  <c r="L64" i="7"/>
  <c r="N64" i="7" s="1"/>
  <c r="N72" i="7"/>
  <c r="P72" i="7" s="1"/>
  <c r="L72" i="7"/>
  <c r="L63" i="7"/>
  <c r="N63" i="7" s="1"/>
  <c r="N70" i="7"/>
  <c r="Q70" i="7" s="1"/>
  <c r="R70" i="7" s="1"/>
  <c r="S70" i="7" s="1"/>
  <c r="L70" i="7"/>
  <c r="L20" i="7"/>
  <c r="N20" i="7" s="1"/>
  <c r="N19" i="7"/>
  <c r="P19" i="7" s="1"/>
  <c r="L19" i="7"/>
  <c r="L30" i="7"/>
  <c r="N30" i="7" s="1"/>
  <c r="N5" i="7"/>
  <c r="P5" i="7" s="1"/>
  <c r="L5" i="7"/>
  <c r="L14" i="7"/>
  <c r="N14" i="7" s="1"/>
  <c r="N55" i="7"/>
  <c r="L55" i="7"/>
  <c r="L29" i="7"/>
  <c r="N29" i="7" s="1"/>
  <c r="N48" i="7"/>
  <c r="P48" i="7" s="1"/>
  <c r="L48" i="7"/>
  <c r="L42" i="7"/>
  <c r="N42" i="7" s="1"/>
  <c r="N31" i="7"/>
  <c r="L31" i="7"/>
  <c r="L82" i="7"/>
  <c r="N82" i="7" s="1"/>
  <c r="N52" i="7"/>
  <c r="Q52" i="7" s="1"/>
  <c r="R52" i="7" s="1"/>
  <c r="S52" i="7" s="1"/>
  <c r="L52" i="7"/>
  <c r="L44" i="7"/>
  <c r="N44" i="7" s="1"/>
  <c r="N59" i="7"/>
  <c r="P59" i="7" s="1"/>
  <c r="L59" i="7"/>
  <c r="L69" i="7"/>
  <c r="N69" i="7" s="1"/>
  <c r="N86" i="7"/>
  <c r="L86" i="7"/>
  <c r="L66" i="7"/>
  <c r="N66" i="7" s="1"/>
  <c r="N83" i="7"/>
  <c r="Q83" i="7" s="1"/>
  <c r="R83" i="7" s="1"/>
  <c r="S83" i="7" s="1"/>
  <c r="L83" i="7"/>
  <c r="L88" i="7"/>
  <c r="N88" i="7" s="1"/>
  <c r="N74" i="7"/>
  <c r="T74" i="7" s="1"/>
  <c r="L74" i="7"/>
  <c r="T19" i="7"/>
  <c r="Q19" i="7"/>
  <c r="R19" i="7" s="1"/>
  <c r="S19" i="7" s="1"/>
  <c r="T14" i="7"/>
  <c r="Q31" i="7"/>
  <c r="R31" i="7" s="1"/>
  <c r="S31" i="7" s="1"/>
  <c r="T31" i="7"/>
  <c r="P31" i="7"/>
  <c r="O76" i="7"/>
  <c r="P18" i="7"/>
  <c r="V18" i="7"/>
  <c r="P38" i="7"/>
  <c r="Q17" i="7"/>
  <c r="R17" i="7" s="1"/>
  <c r="S17" i="7" s="1"/>
  <c r="T17" i="7"/>
  <c r="P17" i="7"/>
  <c r="T27" i="7"/>
  <c r="P27" i="7"/>
  <c r="T54" i="7"/>
  <c r="Q13" i="7"/>
  <c r="R13" i="7" s="1"/>
  <c r="S13" i="7" s="1"/>
  <c r="T13" i="7"/>
  <c r="Q26" i="7"/>
  <c r="R26" i="7" s="1"/>
  <c r="S26" i="7" s="1"/>
  <c r="T10" i="7"/>
  <c r="P10" i="7"/>
  <c r="Q39" i="7"/>
  <c r="R39" i="7" s="1"/>
  <c r="S39" i="7" s="1"/>
  <c r="T39" i="7"/>
  <c r="N77" i="7"/>
  <c r="Q50" i="7"/>
  <c r="R50" i="7" s="1"/>
  <c r="S50" i="7" s="1"/>
  <c r="T50" i="7"/>
  <c r="P50" i="7"/>
  <c r="P56" i="7"/>
  <c r="Q68" i="7"/>
  <c r="R68" i="7" s="1"/>
  <c r="S68" i="7" s="1"/>
  <c r="P68" i="7"/>
  <c r="N76" i="7"/>
  <c r="T64" i="7"/>
  <c r="T72" i="7"/>
  <c r="Q72" i="7"/>
  <c r="R72" i="7" s="1"/>
  <c r="S72" i="7" s="1"/>
  <c r="Q63" i="7"/>
  <c r="R63" i="7" s="1"/>
  <c r="S63" i="7" s="1"/>
  <c r="T70" i="7"/>
  <c r="P70" i="7"/>
  <c r="Q74" i="7"/>
  <c r="R74" i="7" s="1"/>
  <c r="S74" i="7" s="1"/>
  <c r="P74" i="7"/>
  <c r="T30" i="7"/>
  <c r="T55" i="7"/>
  <c r="Q55" i="7"/>
  <c r="R55" i="7" s="1"/>
  <c r="S55" i="7" s="1"/>
  <c r="P55" i="7"/>
  <c r="T48" i="7"/>
  <c r="Q48" i="7"/>
  <c r="R48" i="7" s="1"/>
  <c r="S48" i="7" s="1"/>
  <c r="T69" i="7"/>
  <c r="W69" i="7" s="1"/>
  <c r="X69" i="7" s="1"/>
  <c r="P88" i="7"/>
  <c r="I91" i="7"/>
  <c r="J24" i="7"/>
  <c r="K24" i="7" s="1"/>
  <c r="T21" i="7"/>
  <c r="P21" i="7"/>
  <c r="P43" i="7"/>
  <c r="T7" i="7"/>
  <c r="P7" i="7"/>
  <c r="Q15" i="7"/>
  <c r="R15" i="7" s="1"/>
  <c r="S15" i="7" s="1"/>
  <c r="P15" i="7"/>
  <c r="T33" i="7"/>
  <c r="Q33" i="7"/>
  <c r="R33" i="7" s="1"/>
  <c r="S33" i="7" s="1"/>
  <c r="P33" i="7"/>
  <c r="T34" i="7"/>
  <c r="T41" i="7"/>
  <c r="Q41" i="7"/>
  <c r="R41" i="7" s="1"/>
  <c r="S41" i="7" s="1"/>
  <c r="T57" i="7"/>
  <c r="P57" i="7"/>
  <c r="Q46" i="7"/>
  <c r="R46" i="7" s="1"/>
  <c r="S46" i="7" s="1"/>
  <c r="T73" i="7"/>
  <c r="Q73" i="7"/>
  <c r="R73" i="7" s="1"/>
  <c r="S73" i="7" s="1"/>
  <c r="P73" i="7"/>
  <c r="P87" i="7"/>
  <c r="T87" i="7"/>
  <c r="P84" i="7"/>
  <c r="T84" i="7"/>
  <c r="P89" i="7"/>
  <c r="P20" i="7"/>
  <c r="I23" i="7"/>
  <c r="J2" i="7"/>
  <c r="K2" i="7" s="1"/>
  <c r="Q5" i="7"/>
  <c r="R5" i="7" s="1"/>
  <c r="S5" i="7" s="1"/>
  <c r="T5" i="7"/>
  <c r="W5" i="7" s="1"/>
  <c r="X5" i="7" s="1"/>
  <c r="T29" i="7"/>
  <c r="T52" i="7"/>
  <c r="P52" i="7"/>
  <c r="Q59" i="7"/>
  <c r="R59" i="7" s="1"/>
  <c r="S59" i="7" s="1"/>
  <c r="T59" i="7"/>
  <c r="Q86" i="7"/>
  <c r="R86" i="7" s="1"/>
  <c r="S86" i="7" s="1"/>
  <c r="P86" i="7"/>
  <c r="T86" i="7"/>
  <c r="T83" i="7"/>
  <c r="P83" i="7"/>
  <c r="Q9" i="7"/>
  <c r="R9" i="7" s="1"/>
  <c r="S9" i="7" s="1"/>
  <c r="P9" i="7"/>
  <c r="T28" i="7"/>
  <c r="P28" i="7"/>
  <c r="T25" i="7"/>
  <c r="W25" i="7" s="1"/>
  <c r="X25" i="7" s="1"/>
  <c r="P25" i="7"/>
  <c r="P49" i="7"/>
  <c r="Q16" i="7"/>
  <c r="R16" i="7" s="1"/>
  <c r="S16" i="7" s="1"/>
  <c r="T16" i="7"/>
  <c r="P16" i="7"/>
  <c r="T36" i="7"/>
  <c r="P36" i="7"/>
  <c r="P35" i="7"/>
  <c r="P37" i="7"/>
  <c r="T37" i="7"/>
  <c r="Q47" i="7"/>
  <c r="R47" i="7" s="1"/>
  <c r="S47" i="7" s="1"/>
  <c r="Q51" i="7"/>
  <c r="R51" i="7" s="1"/>
  <c r="S51" i="7" s="1"/>
  <c r="P51" i="7"/>
  <c r="T61" i="7"/>
  <c r="P61" i="7"/>
  <c r="Q75" i="7"/>
  <c r="R75" i="7" s="1"/>
  <c r="S75" i="7" s="1"/>
  <c r="T75" i="7"/>
  <c r="Q60" i="7"/>
  <c r="R60" i="7" s="1"/>
  <c r="S60" i="7" s="1"/>
  <c r="T60" i="7"/>
  <c r="Q85" i="7"/>
  <c r="R85" i="7" s="1"/>
  <c r="S85" i="7" s="1"/>
  <c r="P85" i="7"/>
  <c r="P65" i="7"/>
  <c r="Q81" i="7"/>
  <c r="R81" i="7" s="1"/>
  <c r="S81" i="7" s="1"/>
  <c r="P66" i="7" l="1"/>
  <c r="T66" i="7"/>
  <c r="Q66" i="7"/>
  <c r="R66" i="7" s="1"/>
  <c r="S66" i="7" s="1"/>
  <c r="T42" i="7"/>
  <c r="Q42" i="7"/>
  <c r="R42" i="7" s="1"/>
  <c r="S42" i="7" s="1"/>
  <c r="P42" i="7"/>
  <c r="T20" i="7"/>
  <c r="V20" i="7"/>
  <c r="W20" i="7" s="1"/>
  <c r="X20" i="7" s="1"/>
  <c r="Q20" i="7"/>
  <c r="R20" i="7" s="1"/>
  <c r="S20" i="7" s="1"/>
  <c r="P58" i="7"/>
  <c r="T58" i="7"/>
  <c r="Q58" i="7"/>
  <c r="R58" i="7" s="1"/>
  <c r="S58" i="7" s="1"/>
  <c r="T88" i="7"/>
  <c r="Q88" i="7"/>
  <c r="R88" i="7" s="1"/>
  <c r="S88" i="7" s="1"/>
  <c r="Q82" i="7"/>
  <c r="R82" i="7" s="1"/>
  <c r="S82" i="7" s="1"/>
  <c r="T82" i="7"/>
  <c r="P82" i="7"/>
  <c r="P30" i="7"/>
  <c r="Q30" i="7"/>
  <c r="R30" i="7" s="1"/>
  <c r="S30" i="7" s="1"/>
  <c r="Q56" i="7"/>
  <c r="R56" i="7" s="1"/>
  <c r="S56" i="7" s="1"/>
  <c r="T56" i="7"/>
  <c r="Q54" i="7"/>
  <c r="R54" i="7" s="1"/>
  <c r="S54" i="7" s="1"/>
  <c r="P54" i="7"/>
  <c r="P81" i="7"/>
  <c r="T81" i="7"/>
  <c r="P71" i="7"/>
  <c r="T71" i="7"/>
  <c r="Q71" i="7"/>
  <c r="R71" i="7" s="1"/>
  <c r="S71" i="7" s="1"/>
  <c r="P62" i="7"/>
  <c r="T62" i="7"/>
  <c r="Q62" i="7"/>
  <c r="R62" i="7" s="1"/>
  <c r="S62" i="7" s="1"/>
  <c r="P53" i="7"/>
  <c r="T53" i="7"/>
  <c r="P11" i="7"/>
  <c r="T11" i="7"/>
  <c r="T12" i="7"/>
  <c r="W12" i="7" s="1"/>
  <c r="X12" i="7" s="1"/>
  <c r="P12" i="7"/>
  <c r="Q12" i="7"/>
  <c r="R12" i="7" s="1"/>
  <c r="S12" i="7" s="1"/>
  <c r="Q67" i="7"/>
  <c r="R67" i="7" s="1"/>
  <c r="S67" i="7" s="1"/>
  <c r="T67" i="7"/>
  <c r="P67" i="7"/>
  <c r="P80" i="7"/>
  <c r="T80" i="7"/>
  <c r="Q80" i="7"/>
  <c r="R80" i="7" s="1"/>
  <c r="S80" i="7" s="1"/>
  <c r="Q45" i="7"/>
  <c r="R45" i="7" s="1"/>
  <c r="S45" i="7" s="1"/>
  <c r="T45" i="7"/>
  <c r="P4" i="7"/>
  <c r="T4" i="7"/>
  <c r="P8" i="7"/>
  <c r="T8" i="7"/>
  <c r="Q8" i="7"/>
  <c r="R8" i="7" s="1"/>
  <c r="S8" i="7" s="1"/>
  <c r="Q11" i="7"/>
  <c r="R11" i="7" s="1"/>
  <c r="S11" i="7" s="1"/>
  <c r="L2" i="7"/>
  <c r="N2" i="7" s="1"/>
  <c r="P44" i="7"/>
  <c r="T44" i="7"/>
  <c r="P14" i="7"/>
  <c r="Q14" i="7"/>
  <c r="R14" i="7" s="1"/>
  <c r="S14" i="7" s="1"/>
  <c r="Q64" i="7"/>
  <c r="R64" i="7" s="1"/>
  <c r="S64" i="7" s="1"/>
  <c r="P64" i="7"/>
  <c r="T26" i="7"/>
  <c r="P26" i="7"/>
  <c r="Q53" i="7"/>
  <c r="R53" i="7" s="1"/>
  <c r="S53" i="7" s="1"/>
  <c r="P45" i="7"/>
  <c r="Q4" i="7"/>
  <c r="R4" i="7" s="1"/>
  <c r="S4" i="7" s="1"/>
  <c r="L24" i="7"/>
  <c r="N24" i="7" s="1"/>
  <c r="Q44" i="7"/>
  <c r="R44" i="7" s="1"/>
  <c r="S44" i="7" s="1"/>
  <c r="Q69" i="7"/>
  <c r="R69" i="7" s="1"/>
  <c r="S69" i="7" s="1"/>
  <c r="P69" i="7"/>
  <c r="P29" i="7"/>
  <c r="Q29" i="7"/>
  <c r="R29" i="7" s="1"/>
  <c r="S29" i="7" s="1"/>
  <c r="T63" i="7"/>
  <c r="P63" i="7"/>
  <c r="Q40" i="7"/>
  <c r="R40" i="7" s="1"/>
  <c r="S40" i="7" s="1"/>
  <c r="T40" i="7"/>
  <c r="P40" i="7"/>
  <c r="Q65" i="7"/>
  <c r="R65" i="7" s="1"/>
  <c r="S65" i="7" s="1"/>
  <c r="P6" i="7"/>
  <c r="Q49" i="7"/>
  <c r="R49" i="7" s="1"/>
  <c r="S49" i="7" s="1"/>
  <c r="Q89" i="7"/>
  <c r="R89" i="7" s="1"/>
  <c r="S89" i="7" s="1"/>
  <c r="P32" i="7"/>
  <c r="Q43" i="7"/>
  <c r="R43" i="7" s="1"/>
  <c r="S43" i="7" s="1"/>
  <c r="T3" i="7"/>
  <c r="Q38" i="7"/>
  <c r="R38" i="7" s="1"/>
  <c r="S38" i="7" s="1"/>
  <c r="T47" i="7"/>
  <c r="Q35" i="7"/>
  <c r="R35" i="7" s="1"/>
  <c r="S35" i="7" s="1"/>
  <c r="T6" i="7"/>
  <c r="P46" i="7"/>
  <c r="Q34" i="7"/>
  <c r="R34" i="7" s="1"/>
  <c r="S34" i="7" s="1"/>
  <c r="T32" i="7"/>
  <c r="Q3" i="7"/>
  <c r="R3" i="7" s="1"/>
  <c r="S3" i="7" s="1"/>
  <c r="T18" i="7"/>
  <c r="V17" i="7"/>
  <c r="W17" i="7" s="1"/>
  <c r="X17" i="7" s="1"/>
  <c r="I92" i="7"/>
  <c r="T77" i="7"/>
  <c r="Q77" i="7"/>
  <c r="R77" i="7" s="1"/>
  <c r="P77" i="7"/>
  <c r="Q76" i="7"/>
  <c r="R76" i="7" s="1"/>
  <c r="S76" i="7" s="1"/>
  <c r="T76" i="7"/>
  <c r="P76" i="7"/>
  <c r="O77" i="7"/>
  <c r="Q24" i="7" l="1"/>
  <c r="R24" i="7" s="1"/>
  <c r="P24" i="7"/>
  <c r="T2" i="7"/>
  <c r="P2" i="7"/>
  <c r="P23" i="7" s="1"/>
  <c r="Q2" i="7"/>
  <c r="R2" i="7" s="1"/>
  <c r="R23" i="7" s="1"/>
  <c r="S2" i="7"/>
  <c r="S23" i="7" s="1"/>
  <c r="S77" i="7"/>
  <c r="S24" i="7"/>
  <c r="O78" i="7"/>
  <c r="N78" i="7"/>
  <c r="O79" i="7" l="1"/>
  <c r="O91" i="7" s="1"/>
  <c r="O92" i="7" s="1"/>
  <c r="N79" i="7"/>
  <c r="T23" i="7"/>
  <c r="Q78" i="7"/>
  <c r="R78" i="7" s="1"/>
  <c r="T78" i="7"/>
  <c r="P78" i="7"/>
  <c r="S78" i="7" l="1"/>
  <c r="Q79" i="7"/>
  <c r="R79" i="7" s="1"/>
  <c r="S79" i="7" s="1"/>
  <c r="P79" i="7"/>
  <c r="P91" i="7" s="1"/>
  <c r="P92" i="7" s="1"/>
  <c r="T79" i="7"/>
  <c r="R91" i="7" l="1"/>
  <c r="R92" i="7" s="1"/>
  <c r="S91" i="7"/>
  <c r="T91" i="7" l="1"/>
  <c r="S92" i="7"/>
  <c r="T92" i="7" l="1"/>
  <c r="B66" i="5"/>
  <c r="B6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Young</author>
  </authors>
  <commentList>
    <comment ref="Q4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check this on revised tariff pages</t>
        </r>
      </text>
    </comment>
  </commentList>
</comments>
</file>

<file path=xl/sharedStrings.xml><?xml version="1.0" encoding="utf-8"?>
<sst xmlns="http://schemas.openxmlformats.org/spreadsheetml/2006/main" count="245" uniqueCount="211">
  <si>
    <t>Total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</si>
  <si>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</si>
  <si>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</si>
  <si>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</si>
  <si>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</si>
  <si>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</si>
  <si>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</si>
  <si>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</si>
  <si>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</si>
  <si>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</si>
  <si>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</si>
  <si>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</si>
  <si>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</si>
  <si>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</si>
  <si>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</si>
  <si>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</si>
  <si>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</si>
  <si>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</si>
  <si>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</si>
  <si>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</si>
  <si>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</si>
  <si>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</si>
  <si>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</si>
  <si>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</si>
  <si>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</si>
  <si>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</si>
  <si>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</si>
  <si>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</si>
  <si>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</si>
  <si>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</si>
  <si>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</si>
  <si>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</si>
  <si>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</si>
  <si>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</si>
  <si>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</si>
  <si>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</si>
  <si>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</si>
  <si>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</si>
  <si>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</si>
  <si>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</si>
  <si>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</si>
  <si>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</si>
  <si>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</si>
  <si>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</si>
  <si>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</si>
  <si>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</si>
  <si>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</si>
  <si>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</si>
  <si>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</si>
  <si>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</si>
  <si>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</si>
  <si>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</si>
  <si>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</si>
  <si>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</si>
  <si>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</si>
  <si>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</si>
  <si>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</si>
  <si>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</si>
  <si>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</si>
  <si>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</si>
  <si>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</si>
  <si>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</si>
  <si>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</si>
  <si>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</si>
  <si>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Increase per ton</t>
  </si>
  <si>
    <t>Factor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</si>
  <si>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</si>
  <si>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</si>
  <si>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</si>
  <si>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</si>
  <si>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</si>
  <si>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</si>
  <si>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</si>
  <si>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Tariff Page</t>
  </si>
  <si>
    <t>Scheduled Service</t>
  </si>
  <si>
    <t>Monthly Customers</t>
  </si>
  <si>
    <t>Annual PU's</t>
  </si>
  <si>
    <t>Adjusted Annual Pounds</t>
  </si>
  <si>
    <t>Gross Up</t>
  </si>
  <si>
    <t>Company Current Tariff</t>
  </si>
  <si>
    <t>Company Current Revenue</t>
  </si>
  <si>
    <t>Revised Tariff Rate</t>
  </si>
  <si>
    <t>Revised Revenue</t>
  </si>
  <si>
    <t>Revised Revenue Increase</t>
  </si>
  <si>
    <t>Residential</t>
  </si>
  <si>
    <t>Commercial</t>
  </si>
  <si>
    <t>Totals</t>
  </si>
  <si>
    <t>Adjustment Factor Calculation</t>
  </si>
  <si>
    <t>Total Tonnage</t>
  </si>
  <si>
    <t>Total Pounds</t>
  </si>
  <si>
    <t>Total Pick Ups</t>
  </si>
  <si>
    <t>Adjustment factor</t>
  </si>
  <si>
    <t>C3M 32 GAL CAN MSW 1X MO</t>
  </si>
  <si>
    <t>T5M 35 GAL CART MSW 1X MO</t>
  </si>
  <si>
    <t>C21 1-20 GAL MINI CAN MSW</t>
  </si>
  <si>
    <t>C2T 20 GAL CART MSW</t>
  </si>
  <si>
    <t>C31 1-32 GAL CAN MSW</t>
  </si>
  <si>
    <t>C32 2-32 GAL CANS MSW</t>
  </si>
  <si>
    <t>C33 3-32 GAL CANS MSW</t>
  </si>
  <si>
    <t>C34 4-32 GAL CANS MSW</t>
  </si>
  <si>
    <t>C35 5-32 GAL CANS MSW</t>
  </si>
  <si>
    <t>T51 1-35 GAL CART MSW</t>
  </si>
  <si>
    <t>T52 2-35 GAL CARTS MSW</t>
  </si>
  <si>
    <t>T53 3-35 GAL CARTS MSW</t>
  </si>
  <si>
    <t>T54 4-35 GAL CARTS MSW</t>
  </si>
  <si>
    <t>T61 1-64 GAL CART MSW</t>
  </si>
  <si>
    <t>T62 2-64 GAL CARTS MSW</t>
  </si>
  <si>
    <t>T63 3-64 GAL CARTS MSW</t>
  </si>
  <si>
    <t>T91 1-96 GAL CART MSW</t>
  </si>
  <si>
    <t>T92 2-96 GAL CARTS MSW</t>
  </si>
  <si>
    <t>1AM 1-32 GAL CAN MSW</t>
  </si>
  <si>
    <t>2AM 2-32 GAL CANS MSW</t>
  </si>
  <si>
    <t>3AM 3-32 GAL CANS MSW</t>
  </si>
  <si>
    <t>4AM 4-32 GAL CANS MSW</t>
  </si>
  <si>
    <t>5AM 5-32 GAL CANS MSW</t>
  </si>
  <si>
    <t>BH0 28-32 GAL CANS MSW</t>
  </si>
  <si>
    <t>CM1 35 GAL CART MSW 1X WK</t>
  </si>
  <si>
    <t>CT2 2-35 GAL CARTS MSW</t>
  </si>
  <si>
    <t>CT4 4-35 GAL CARTS MSW</t>
  </si>
  <si>
    <t>1DM 1-64 GAL CART MSW</t>
  </si>
  <si>
    <t>2DM 2-64 GAL CARTS MSW</t>
  </si>
  <si>
    <t>1EM 1-96 GAL CART MSW</t>
  </si>
  <si>
    <t>2EM 2-96 GAL CARTS MSW</t>
  </si>
  <si>
    <t>1FE 1 YD MSW EOW</t>
  </si>
  <si>
    <t>111 1-1 YD 1X PER WEEK</t>
  </si>
  <si>
    <t>211 2-1 YD 1X PER WEEK</t>
  </si>
  <si>
    <t>112 1-1 YD 2X PER WEEK</t>
  </si>
  <si>
    <t>5FE 1.5 YD MSW EOW</t>
  </si>
  <si>
    <t>151 1-1.5 YD 1X PER WEEK</t>
  </si>
  <si>
    <t>2FE 2 YD MSW EOW</t>
  </si>
  <si>
    <t>121 1-2 YD 1X PER WEEK</t>
  </si>
  <si>
    <t>221 2-2 YD 1X PER WEEK</t>
  </si>
  <si>
    <t>321 3-2 YD 1X PER WEEK</t>
  </si>
  <si>
    <t>122 1-2 YD 2X PER WEEK</t>
  </si>
  <si>
    <t>222 2-2 YD 2X PER WEEK</t>
  </si>
  <si>
    <t>3FE 3 YD MSW EOW</t>
  </si>
  <si>
    <t>131 1-3 YD 1X PER WEEK</t>
  </si>
  <si>
    <t>132 1-3 YD 2X PER WEEK</t>
  </si>
  <si>
    <t>4FE 4 YD MSW EOW</t>
  </si>
  <si>
    <t>141 1-4 YD 1X PER WEEK</t>
  </si>
  <si>
    <t>241 2-4 YD 1X PER WEEK</t>
  </si>
  <si>
    <t>142 1-4 YD 2X PER WEEK</t>
  </si>
  <si>
    <t>242 2-4 YD 2X PER WEEK</t>
  </si>
  <si>
    <t>143 1-4 YD 3X PER WEEK</t>
  </si>
  <si>
    <t>6FE 6 YD MSW EOW</t>
  </si>
  <si>
    <t>161 1-6 YD 1X PER WEEK</t>
  </si>
  <si>
    <t>261 2-6 YD 1X PER WEEK</t>
  </si>
  <si>
    <t>361 3-6 YD 1X PER WEEK</t>
  </si>
  <si>
    <t>461 4-6 YD 1X PER WEEK</t>
  </si>
  <si>
    <t>561 5-6 YD 1X PER WEEK</t>
  </si>
  <si>
    <t>162 1-6 YD 2X PER WEEK</t>
  </si>
  <si>
    <t>262 2-6 YD 2X PER WEEK</t>
  </si>
  <si>
    <t>163 1-6 YD 3X PER WEEK</t>
  </si>
  <si>
    <t>463 4-6 YD 3X PER WEEK</t>
  </si>
  <si>
    <t>8FE 8 YD MSW EOW</t>
  </si>
  <si>
    <t>181 1-8 YD 1X PER WEEK</t>
  </si>
  <si>
    <t>281 2-8 YD 1X PER WEEK</t>
  </si>
  <si>
    <t>381 3-8 YD 1X PER WEEK</t>
  </si>
  <si>
    <t>581 5-8 YD 1X PER WEEK</t>
  </si>
  <si>
    <t>681 6-8 YD 1X PER WEEK</t>
  </si>
  <si>
    <t>182 1-8 YD 2X PER WEEK</t>
  </si>
  <si>
    <t>282 2-8 YD 2X PER WEEK</t>
  </si>
  <si>
    <t>183 1-8 YD 3X PER WEEK</t>
  </si>
  <si>
    <t>283 2-8 YD 3X PER WEEK</t>
  </si>
  <si>
    <t>184 1-8 YD 4X PER WEEK</t>
  </si>
  <si>
    <t>185 1-8 YD 5X PER WEEK</t>
  </si>
  <si>
    <t>2C1 2 YD COMPACTOR 1X WK</t>
  </si>
  <si>
    <t>2C2 2 YD COMPACTOR 2X WK</t>
  </si>
  <si>
    <t>3C1 3 YD COMPACTOR 1X WK</t>
  </si>
  <si>
    <t>4CE 4 YD COMPACTOR EOW</t>
  </si>
  <si>
    <t>4C1 4 YD COMPACTOR 1X WK</t>
  </si>
  <si>
    <t>4C2 4 YD COMPACTOR 2X WK</t>
  </si>
  <si>
    <t>YDC YARDAGE MSW</t>
  </si>
  <si>
    <t>OFC SNAPSHOT EXCESS YARDS</t>
  </si>
  <si>
    <t>WTE</t>
  </si>
  <si>
    <t>Transfer Stations</t>
  </si>
  <si>
    <t>Valley &amp; Spokane TS</t>
  </si>
  <si>
    <t>Tariff Rate Inc. (dec.)</t>
  </si>
  <si>
    <t>Company Calculated Rate</t>
  </si>
  <si>
    <t>Co. Calculated Revenue</t>
  </si>
  <si>
    <t>Monthly   Frequency</t>
  </si>
  <si>
    <t>Calculated  Annual  Pounds</t>
  </si>
  <si>
    <t>Regulated Tons delivered to Transfer Stations</t>
  </si>
  <si>
    <t>Regulated Tons delivered to WTE</t>
  </si>
  <si>
    <t>C36 6-32 GAL CANS MSW</t>
  </si>
  <si>
    <t>5C1 5 YD COMPACTOR 1X WK</t>
  </si>
  <si>
    <t>6C1 6 YD COMPACTOR 1X WK</t>
  </si>
  <si>
    <t>Loose Materials (Company Load)</t>
  </si>
  <si>
    <t>Item 240 - 35 Gal Special Pickup</t>
  </si>
  <si>
    <t>Item 240 - 64 Gal Special Pickup</t>
  </si>
  <si>
    <t>Item 240 - 96 Gal Special Pickup</t>
  </si>
  <si>
    <t>Item 240 - 1 Yard Special Pickup</t>
  </si>
  <si>
    <t>Item 240 - 1.5 Yard Special Pickup</t>
  </si>
  <si>
    <t>Item 240 - 2 Yard Special Pickup</t>
  </si>
  <si>
    <t>Item 240 - 3 Yard Special Pickup</t>
  </si>
  <si>
    <t>Item 240 - 4 Yard Special Pickup</t>
  </si>
  <si>
    <t>Item 240 - 8 Yard Special Pickup</t>
  </si>
  <si>
    <t>Item 240 - 1 Yard Temp Service Pickup</t>
  </si>
  <si>
    <t>Item 240 - 1.5 Yard Temp Service Pickup</t>
  </si>
  <si>
    <t>Item 240 - 2 Yard Temp Service Pickup</t>
  </si>
  <si>
    <t>Item 240 - 3 Yard Temp Service Pickup</t>
  </si>
  <si>
    <t>Item 240 - 4 Yard Temp Service Pickup</t>
  </si>
  <si>
    <t>Item 240 - 6 Yard Temp Service Pickup</t>
  </si>
  <si>
    <t>Item 240 - 8 Yard Temp Service Pickup</t>
  </si>
  <si>
    <t>Item 240 - 6 Yard Special Pickup</t>
  </si>
  <si>
    <t>No Customer Services</t>
  </si>
  <si>
    <t>Company Tariff pages</t>
  </si>
  <si>
    <t>Staff Calculated Rate</t>
  </si>
  <si>
    <t>No variance</t>
  </si>
  <si>
    <t>Company replacement tariff rate (higher) lower</t>
  </si>
  <si>
    <t>Per TG-143889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</si>
</sst>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0.0000%"/>
    <numFmt numFmtId="168" formatCode="_(&quot;$&quot;* #,##0.000_);_(&quot;$&quot;* \(#,##0.000\);_(&quot;$&quot;* &quot;-&quot;??_);_(@_)"/>
    <numFmt numFmtId="169" formatCode="_(* #,##0.000000_);_(* \(#,##0.000000\);_(* &quot;-&quot;??_);_(@_)"/>
    <numFmt numFmtId="170" formatCode="_(&quot;$&quot;* #,##0.000000_);_(&quot;$&quot;* \(#,##0.000000\);_(&quot;$&quot;* &quot;-&quot;??_);_(@_)"/>
    <numFmt numFmtId="171" formatCode="0.0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56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43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4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5" fillId="0" borderId="1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4" fontId="3" fillId="3" borderId="0" applyFont="0" applyFill="0" applyBorder="0" applyAlignment="0" applyProtection="0">
      <alignment wrapText="1"/>
    </xf>
  </cellStyleXfs>
  <cellXfs count="135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11" fillId="0" borderId="0" xfId="0" applyFont="1" applyBorder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3" fontId="10" fillId="0" borderId="0" xfId="1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11" fillId="0" borderId="0" xfId="0" applyFont="1"/>
    <xf numFmtId="43" fontId="10" fillId="0" borderId="0" xfId="1" applyFont="1" applyAlignment="1">
      <alignment horizontal="center"/>
    </xf>
    <xf numFmtId="0" fontId="0" fillId="0" borderId="0" xfId="0" applyFont="1" applyAlignment="1">
      <alignment horizontal="left" indent="1"/>
    </xf>
    <xf numFmtId="164" fontId="10" fillId="0" borderId="0" xfId="1" applyNumberFormat="1" applyFont="1"/>
    <xf numFmtId="0" fontId="0" fillId="4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1" fillId="5" borderId="2" xfId="0" applyFont="1" applyFill="1" applyBorder="1"/>
    <xf numFmtId="0" fontId="0" fillId="5" borderId="2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9" fontId="10" fillId="0" borderId="0" xfId="1" applyNumberFormat="1" applyFont="1"/>
    <xf numFmtId="169" fontId="10" fillId="0" borderId="0" xfId="1" applyNumberFormat="1" applyFont="1" applyBorder="1"/>
    <xf numFmtId="169" fontId="10" fillId="0" borderId="2" xfId="1" applyNumberFormat="1" applyFont="1" applyBorder="1"/>
    <xf numFmtId="167" fontId="0" fillId="0" borderId="0" xfId="0" applyNumberFormat="1" applyFont="1"/>
    <xf numFmtId="0" fontId="0" fillId="5" borderId="2" xfId="0" applyFont="1" applyFill="1" applyBorder="1"/>
    <xf numFmtId="44" fontId="0" fillId="0" borderId="0" xfId="0" applyNumberFormat="1" applyFont="1"/>
    <xf numFmtId="171" fontId="0" fillId="0" borderId="0" xfId="0" applyNumberFormat="1" applyFont="1"/>
    <xf numFmtId="164" fontId="10" fillId="0" borderId="2" xfId="1" applyNumberFormat="1" applyFont="1" applyBorder="1"/>
    <xf numFmtId="44" fontId="11" fillId="0" borderId="0" xfId="0" applyNumberFormat="1" applyFont="1"/>
    <xf numFmtId="0" fontId="11" fillId="0" borderId="3" xfId="0" applyFont="1" applyBorder="1"/>
    <xf numFmtId="0" fontId="0" fillId="5" borderId="4" xfId="0" applyFont="1" applyFill="1" applyBorder="1" applyAlignment="1">
      <alignment horizontal="center"/>
    </xf>
    <xf numFmtId="0" fontId="0" fillId="0" borderId="5" xfId="0" applyFont="1" applyBorder="1"/>
    <xf numFmtId="44" fontId="10" fillId="0" borderId="6" xfId="11" applyFont="1" applyBorder="1"/>
    <xf numFmtId="0" fontId="11" fillId="5" borderId="2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wrapText="1"/>
    </xf>
    <xf numFmtId="164" fontId="11" fillId="5" borderId="2" xfId="1" applyNumberFormat="1" applyFont="1" applyFill="1" applyBorder="1" applyAlignment="1">
      <alignment horizontal="center" wrapText="1"/>
    </xf>
    <xf numFmtId="0" fontId="11" fillId="5" borderId="2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 applyAlignment="1">
      <alignment horizontal="center" vertical="center"/>
    </xf>
    <xf numFmtId="44" fontId="10" fillId="6" borderId="0" xfId="11" applyFont="1" applyFill="1" applyBorder="1"/>
    <xf numFmtId="0" fontId="0" fillId="0" borderId="0" xfId="0" applyFont="1" applyFill="1" applyBorder="1"/>
    <xf numFmtId="43" fontId="13" fillId="0" borderId="0" xfId="1" applyNumberFormat="1" applyFont="1" applyFill="1" applyBorder="1"/>
    <xf numFmtId="0" fontId="0" fillId="0" borderId="0" xfId="0" applyFont="1" applyFill="1" applyBorder="1" applyAlignment="1">
      <alignment vertical="center" textRotation="90"/>
    </xf>
    <xf numFmtId="164" fontId="13" fillId="0" borderId="0" xfId="1" applyNumberFormat="1" applyFont="1" applyFill="1" applyBorder="1"/>
    <xf numFmtId="0" fontId="0" fillId="5" borderId="2" xfId="0" applyFont="1" applyFill="1" applyBorder="1" applyAlignment="1">
      <alignment vertical="center" textRotation="90"/>
    </xf>
    <xf numFmtId="0" fontId="0" fillId="5" borderId="2" xfId="0" applyFont="1" applyFill="1" applyBorder="1" applyAlignment="1">
      <alignment horizontal="center" vertical="center"/>
    </xf>
    <xf numFmtId="0" fontId="14" fillId="5" borderId="2" xfId="24" applyFont="1" applyFill="1" applyBorder="1" applyAlignment="1">
      <alignment horizontal="left"/>
    </xf>
    <xf numFmtId="3" fontId="11" fillId="5" borderId="2" xfId="0" applyNumberFormat="1" applyFont="1" applyFill="1" applyBorder="1" applyAlignment="1">
      <alignment horizontal="right"/>
    </xf>
    <xf numFmtId="43" fontId="10" fillId="5" borderId="2" xfId="1" applyFont="1" applyFill="1" applyBorder="1"/>
    <xf numFmtId="164" fontId="11" fillId="5" borderId="2" xfId="0" applyNumberFormat="1" applyFont="1" applyFill="1" applyBorder="1"/>
    <xf numFmtId="3" fontId="11" fillId="5" borderId="2" xfId="0" applyNumberFormat="1" applyFont="1" applyFill="1" applyBorder="1"/>
    <xf numFmtId="164" fontId="11" fillId="5" borderId="2" xfId="1" applyNumberFormat="1" applyFont="1" applyFill="1" applyBorder="1"/>
    <xf numFmtId="44" fontId="10" fillId="5" borderId="2" xfId="11" applyFont="1" applyFill="1" applyBorder="1"/>
    <xf numFmtId="44" fontId="11" fillId="5" borderId="2" xfId="11" applyFont="1" applyFill="1" applyBorder="1"/>
    <xf numFmtId="164" fontId="10" fillId="0" borderId="0" xfId="1" applyNumberFormat="1" applyFont="1" applyBorder="1"/>
    <xf numFmtId="164" fontId="1" fillId="0" borderId="0" xfId="1" applyNumberFormat="1" applyFont="1"/>
    <xf numFmtId="0" fontId="0" fillId="0" borderId="0" xfId="0" applyFont="1" applyBorder="1" applyAlignment="1">
      <alignment horizontal="center"/>
    </xf>
    <xf numFmtId="0" fontId="14" fillId="0" borderId="0" xfId="24" applyFont="1" applyFill="1" applyBorder="1" applyAlignment="1">
      <alignment horizontal="left"/>
    </xf>
    <xf numFmtId="164" fontId="11" fillId="0" borderId="0" xfId="1" applyNumberFormat="1" applyFont="1" applyBorder="1" applyAlignment="1">
      <alignment horizontal="right"/>
    </xf>
    <xf numFmtId="44" fontId="11" fillId="0" borderId="0" xfId="1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12" fillId="0" borderId="0" xfId="20" applyFont="1" applyBorder="1" applyAlignment="1">
      <alignment horizontal="left"/>
    </xf>
    <xf numFmtId="0" fontId="0" fillId="0" borderId="0" xfId="0" applyFont="1" applyFill="1" applyBorder="1" applyAlignment="1"/>
    <xf numFmtId="164" fontId="11" fillId="0" borderId="2" xfId="1" applyNumberFormat="1" applyFont="1" applyBorder="1" applyAlignment="1">
      <alignment horizontal="center"/>
    </xf>
    <xf numFmtId="43" fontId="0" fillId="0" borderId="0" xfId="0" applyNumberFormat="1" applyFont="1" applyBorder="1"/>
    <xf numFmtId="164" fontId="13" fillId="0" borderId="0" xfId="1" applyNumberFormat="1" applyFont="1" applyFill="1" applyBorder="1" applyAlignment="1">
      <alignment horizontal="left"/>
    </xf>
    <xf numFmtId="164" fontId="10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10" fontId="10" fillId="0" borderId="0" xfId="25" applyNumberFormat="1" applyFont="1" applyBorder="1" applyAlignment="1">
      <alignment horizontal="right"/>
    </xf>
    <xf numFmtId="0" fontId="13" fillId="0" borderId="0" xfId="24" applyFont="1" applyFill="1" applyBorder="1" applyAlignment="1">
      <alignment horizontal="left"/>
    </xf>
    <xf numFmtId="43" fontId="10" fillId="0" borderId="0" xfId="1" applyNumberFormat="1" applyFont="1" applyFill="1" applyBorder="1"/>
    <xf numFmtId="164" fontId="10" fillId="0" borderId="0" xfId="1" applyNumberFormat="1" applyFont="1" applyFill="1" applyBorder="1"/>
    <xf numFmtId="164" fontId="10" fillId="0" borderId="0" xfId="1" applyNumberFormat="1" applyFont="1" applyFill="1" applyBorder="1" applyAlignment="1">
      <alignment horizontal="center" wrapText="1"/>
    </xf>
    <xf numFmtId="44" fontId="10" fillId="0" borderId="0" xfId="11" applyFont="1" applyFill="1"/>
    <xf numFmtId="168" fontId="10" fillId="0" borderId="0" xfId="11" applyNumberFormat="1" applyFont="1" applyFill="1"/>
    <xf numFmtId="168" fontId="10" fillId="0" borderId="2" xfId="11" applyNumberFormat="1" applyFont="1" applyFill="1" applyBorder="1"/>
    <xf numFmtId="170" fontId="10" fillId="0" borderId="0" xfId="11" applyNumberFormat="1" applyFont="1" applyFill="1"/>
    <xf numFmtId="164" fontId="1" fillId="0" borderId="0" xfId="1" applyNumberFormat="1" applyFont="1" applyFill="1"/>
    <xf numFmtId="0" fontId="0" fillId="0" borderId="0" xfId="0" applyFont="1" applyFill="1" applyBorder="1" applyAlignment="1">
      <alignment horizontal="left"/>
    </xf>
    <xf numFmtId="43" fontId="7" fillId="0" borderId="9" xfId="7" applyNumberFormat="1" applyFont="1" applyFill="1" applyBorder="1"/>
    <xf numFmtId="0" fontId="0" fillId="0" borderId="0" xfId="0" applyFont="1" applyAlignment="1">
      <alignment horizontal="left"/>
    </xf>
    <xf numFmtId="164" fontId="1" fillId="0" borderId="0" xfId="4" applyNumberFormat="1" applyFont="1"/>
    <xf numFmtId="164" fontId="1" fillId="0" borderId="0" xfId="4" applyNumberFormat="1" applyFont="1" applyFill="1"/>
    <xf numFmtId="164" fontId="0" fillId="5" borderId="2" xfId="0" applyNumberFormat="1" applyFont="1" applyFill="1" applyBorder="1"/>
    <xf numFmtId="164" fontId="11" fillId="5" borderId="2" xfId="0" applyNumberFormat="1" applyFont="1" applyFill="1" applyBorder="1" applyAlignment="1">
      <alignment horizontal="right"/>
    </xf>
    <xf numFmtId="0" fontId="15" fillId="0" borderId="0" xfId="19" applyFont="1"/>
    <xf numFmtId="164" fontId="10" fillId="0" borderId="0" xfId="4" applyNumberFormat="1" applyFont="1"/>
    <xf numFmtId="0" fontId="15" fillId="0" borderId="0" xfId="0" applyFont="1"/>
    <xf numFmtId="0" fontId="15" fillId="0" borderId="0" xfId="0" applyFont="1" applyFill="1"/>
    <xf numFmtId="43" fontId="10" fillId="0" borderId="0" xfId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44" fontId="10" fillId="4" borderId="0" xfId="11" applyFont="1" applyFill="1" applyBorder="1"/>
    <xf numFmtId="10" fontId="10" fillId="0" borderId="0" xfId="25" applyNumberFormat="1" applyFont="1" applyBorder="1"/>
    <xf numFmtId="44" fontId="11" fillId="0" borderId="0" xfId="11" applyFont="1" applyFill="1" applyBorder="1" applyAlignment="1">
      <alignment horizontal="right"/>
    </xf>
    <xf numFmtId="166" fontId="11" fillId="5" borderId="0" xfId="11" applyNumberFormat="1" applyFont="1" applyFill="1" applyBorder="1" applyAlignment="1">
      <alignment horizontal="center" wrapText="1"/>
    </xf>
    <xf numFmtId="166" fontId="10" fillId="6" borderId="0" xfId="11" applyNumberFormat="1" applyFont="1" applyFill="1" applyBorder="1"/>
    <xf numFmtId="166" fontId="11" fillId="5" borderId="2" xfId="11" applyNumberFormat="1" applyFont="1" applyFill="1" applyBorder="1"/>
    <xf numFmtId="166" fontId="11" fillId="0" borderId="0" xfId="11" applyNumberFormat="1" applyFont="1" applyBorder="1" applyAlignment="1">
      <alignment horizontal="right"/>
    </xf>
    <xf numFmtId="166" fontId="11" fillId="5" borderId="2" xfId="11" applyNumberFormat="1" applyFont="1" applyFill="1" applyBorder="1" applyAlignment="1">
      <alignment horizontal="center" wrapText="1"/>
    </xf>
    <xf numFmtId="166" fontId="10" fillId="0" borderId="0" xfId="11" applyNumberFormat="1" applyFont="1" applyFill="1" applyBorder="1"/>
    <xf numFmtId="166" fontId="10" fillId="0" borderId="0" xfId="11" applyNumberFormat="1" applyFont="1" applyBorder="1" applyAlignment="1">
      <alignment horizontal="right"/>
    </xf>
    <xf numFmtId="166" fontId="10" fillId="0" borderId="0" xfId="11" applyNumberFormat="1" applyFont="1" applyBorder="1" applyAlignment="1">
      <alignment horizontal="center" wrapText="1"/>
    </xf>
    <xf numFmtId="166" fontId="10" fillId="0" borderId="0" xfId="11" applyNumberFormat="1" applyFont="1" applyBorder="1"/>
    <xf numFmtId="165" fontId="10" fillId="0" borderId="0" xfId="25" applyNumberFormat="1" applyFont="1" applyBorder="1"/>
    <xf numFmtId="44" fontId="0" fillId="0" borderId="0" xfId="0" applyNumberFormat="1" applyFont="1" applyFill="1" applyBorder="1"/>
    <xf numFmtId="165" fontId="10" fillId="0" borderId="0" xfId="25" applyNumberFormat="1" applyFont="1"/>
    <xf numFmtId="43" fontId="16" fillId="0" borderId="0" xfId="1" applyFont="1" applyBorder="1"/>
    <xf numFmtId="43" fontId="10" fillId="0" borderId="0" xfId="1" applyFont="1" applyBorder="1"/>
    <xf numFmtId="44" fontId="12" fillId="0" borderId="2" xfId="11" applyFont="1" applyFill="1" applyBorder="1"/>
    <xf numFmtId="0" fontId="11" fillId="5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10" fontId="10" fillId="0" borderId="0" xfId="25" applyNumberFormat="1" applyFont="1" applyFill="1" applyBorder="1"/>
    <xf numFmtId="10" fontId="11" fillId="0" borderId="0" xfId="25" applyNumberFormat="1" applyFont="1" applyFill="1" applyBorder="1"/>
    <xf numFmtId="44" fontId="10" fillId="0" borderId="0" xfId="11" applyFont="1" applyBorder="1"/>
    <xf numFmtId="44" fontId="10" fillId="0" borderId="0" xfId="11" applyFont="1" applyFill="1" applyBorder="1"/>
    <xf numFmtId="0" fontId="11" fillId="5" borderId="2" xfId="0" applyFont="1" applyFill="1" applyBorder="1" applyAlignment="1">
      <alignment horizontal="center"/>
    </xf>
    <xf numFmtId="10" fontId="0" fillId="0" borderId="0" xfId="25" applyNumberFormat="1" applyFont="1" applyBorder="1"/>
    <xf numFmtId="0" fontId="0" fillId="7" borderId="0" xfId="0" applyFont="1" applyFill="1" applyBorder="1"/>
    <xf numFmtId="0" fontId="0" fillId="7" borderId="0" xfId="0" applyFont="1" applyFill="1" applyBorder="1" applyAlignment="1">
      <alignment horizontal="right"/>
    </xf>
    <xf numFmtId="164" fontId="1" fillId="7" borderId="0" xfId="4" applyNumberFormat="1" applyFont="1" applyFill="1"/>
    <xf numFmtId="164" fontId="13" fillId="7" borderId="0" xfId="1" applyNumberFormat="1" applyFont="1" applyFill="1" applyBorder="1"/>
    <xf numFmtId="164" fontId="10" fillId="7" borderId="0" xfId="1" applyNumberFormat="1" applyFont="1" applyFill="1" applyBorder="1" applyAlignment="1">
      <alignment horizontal="center" wrapText="1"/>
    </xf>
    <xf numFmtId="44" fontId="10" fillId="7" borderId="0" xfId="11" applyFont="1" applyFill="1" applyBorder="1"/>
    <xf numFmtId="0" fontId="11" fillId="4" borderId="0" xfId="0" applyFont="1" applyFill="1" applyBorder="1" applyAlignment="1">
      <alignment horizontal="center" wrapTex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11" fillId="5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10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right"/>
    </xf>
    <xf numFmtId="0" fontId="0" fillId="0" borderId="7" xfId="0" applyFont="1" applyBorder="1"/>
    <xf numFmtId="0" fontId="0" fillId="0" borderId="8" xfId="0" applyFont="1" applyBorder="1"/>
    <xf numFmtId="0" fontId="17" fillId="0" borderId="0" xfId="0" applyFont="1"/>
  </cellXfs>
  <cellStyles count="37">
    <cellStyle name="Comma" xfId="1" builtinId="3"/>
    <cellStyle name="Comma [0] 2" xfId="2" xr:uid="{00000000-0005-0000-0000-000001000000}"/>
    <cellStyle name="Comma [0] 3" xfId="3" xr:uid="{00000000-0005-0000-0000-000002000000}"/>
    <cellStyle name="Comma 10" xfId="4" xr:uid="{00000000-0005-0000-0000-000003000000}"/>
    <cellStyle name="Comma 2" xfId="5" xr:uid="{00000000-0005-0000-0000-000004000000}"/>
    <cellStyle name="Comma 2 6" xfId="6" xr:uid="{00000000-0005-0000-0000-000005000000}"/>
    <cellStyle name="Comma 20" xfId="7" xr:uid="{00000000-0005-0000-0000-000006000000}"/>
    <cellStyle name="Comma 3" xfId="8" xr:uid="{00000000-0005-0000-0000-000007000000}"/>
    <cellStyle name="Comma 4" xfId="9" xr:uid="{00000000-0005-0000-0000-000008000000}"/>
    <cellStyle name="Comma 5" xfId="10" xr:uid="{00000000-0005-0000-0000-000009000000}"/>
    <cellStyle name="Currency" xfId="11" builtinId="4"/>
    <cellStyle name="Currency 11" xfId="12" xr:uid="{00000000-0005-0000-0000-00000B000000}"/>
    <cellStyle name="Currency 2" xfId="13" xr:uid="{00000000-0005-0000-0000-00000C000000}"/>
    <cellStyle name="Currency 2 6" xfId="14" xr:uid="{00000000-0005-0000-0000-00000D000000}"/>
    <cellStyle name="Normal" xfId="0" builtinId="0"/>
    <cellStyle name="Normal 10" xfId="15" xr:uid="{00000000-0005-0000-0000-00000F000000}"/>
    <cellStyle name="Normal 2" xfId="16" xr:uid="{00000000-0005-0000-0000-000010000000}"/>
    <cellStyle name="Normal 2 2 2 2 3" xfId="17" xr:uid="{00000000-0005-0000-0000-000011000000}"/>
    <cellStyle name="Normal 2 8" xfId="18" xr:uid="{00000000-0005-0000-0000-000012000000}"/>
    <cellStyle name="Normal 21" xfId="19" xr:uid="{00000000-0005-0000-0000-000013000000}"/>
    <cellStyle name="Normal 90" xfId="20" xr:uid="{00000000-0005-0000-0000-000014000000}"/>
    <cellStyle name="Normal 93" xfId="21" xr:uid="{00000000-0005-0000-0000-000015000000}"/>
    <cellStyle name="Normal 94" xfId="22" xr:uid="{00000000-0005-0000-0000-000016000000}"/>
    <cellStyle name="Normal 98" xfId="23" xr:uid="{00000000-0005-0000-0000-000017000000}"/>
    <cellStyle name="Normal_Price out" xfId="24" xr:uid="{00000000-0005-0000-0000-000018000000}"/>
    <cellStyle name="Percent" xfId="25" builtinId="5"/>
    <cellStyle name="Percent 2" xfId="26" xr:uid="{00000000-0005-0000-0000-00001A000000}"/>
    <cellStyle name="Percent 2 6" xfId="27" xr:uid="{00000000-0005-0000-0000-00001B000000}"/>
    <cellStyle name="Percent 3" xfId="28" xr:uid="{00000000-0005-0000-0000-00001C000000}"/>
    <cellStyle name="PS_Comma" xfId="29" xr:uid="{00000000-0005-0000-0000-00001D000000}"/>
    <cellStyle name="PSChar" xfId="30" xr:uid="{00000000-0005-0000-0000-00001E000000}"/>
    <cellStyle name="PSDate" xfId="31" xr:uid="{00000000-0005-0000-0000-00001F000000}"/>
    <cellStyle name="PSDec" xfId="32" xr:uid="{00000000-0005-0000-0000-000020000000}"/>
    <cellStyle name="PSHeading" xfId="33" xr:uid="{00000000-0005-0000-0000-000021000000}"/>
    <cellStyle name="PSInt" xfId="34" xr:uid="{00000000-0005-0000-0000-000022000000}"/>
    <cellStyle name="PSSpacer" xfId="35" xr:uid="{00000000-0005-0000-0000-000023000000}"/>
    <cellStyle name="WM_STANDARD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H68"/>
  <sheetViews>
    <sheetView topLeftCell="A52" workbookViewId="0">
      <selection activeCell="E68" sqref="E68"/>
    </sheetView>
  </sheetViews>
  <sheetFormatPr defaultRowHeight="15" x14ac:dyDescent="0.25"/>
  <cols>
    <col min="1" max="1" width="36.42578125" customWidth="1"/>
    <col min="2" max="2" width="16.7109375" customWidth="1"/>
    <col min="3" max="3" width="15.5703125" customWidth="1"/>
    <col min="5" max="5" width="12.5703125" bestFit="1" customWidth="1"/>
    <col min="6" max="6" width="12.42578125" customWidth="1"/>
    <col min="7" max="7" width="10.7109375" customWidth="1"/>
  </cols>
  <sheetData>
    <row r="1" spans="1:8" x14ac:dyDescent="0.25">
      <c r="A1" s="126" t="s">
        <v>1</v>
      </c>
      <c r="B1" s="126"/>
      <c r="C1" s="126"/>
      <c r="D1" s="126"/>
      <c r="E1" s="126"/>
      <c r="F1" s="126"/>
      <c r="G1" s="126"/>
      <c r="H1" s="126"/>
    </row>
    <row r="2" spans="1:8" x14ac:dyDescent="0.25">
      <c r="A2" s="5" t="s">
        <v>2</v>
      </c>
      <c r="B2" s="6" t="s">
        <v>3</v>
      </c>
      <c r="C2" s="6" t="s">
        <v>4</v>
      </c>
      <c r="D2" s="6" t="s">
        <v>5</v>
      </c>
      <c r="E2" s="7" t="s">
        <v>6</v>
      </c>
      <c r="F2" s="7" t="s">
        <v>7</v>
      </c>
      <c r="G2" s="7" t="s">
        <v>8</v>
      </c>
      <c r="H2" s="6" t="s">
        <v>9</v>
      </c>
    </row>
    <row r="3" spans="1:8" x14ac:dyDescent="0.25">
      <c r="A3" s="5" t="s">
        <v>10</v>
      </c>
      <c r="B3" s="8">
        <f>52*5/12</f>
        <v>21.666666666666668</v>
      </c>
      <c r="C3" s="9">
        <f>$B$3*2</f>
        <v>43.333333333333336</v>
      </c>
      <c r="D3" s="9">
        <f>$B$3*3</f>
        <v>65</v>
      </c>
      <c r="E3" s="9">
        <f>$B$3*4</f>
        <v>86.666666666666671</v>
      </c>
      <c r="F3" s="9">
        <f>$B$3*5</f>
        <v>108.33333333333334</v>
      </c>
      <c r="G3" s="9">
        <f>$B$3*6</f>
        <v>130</v>
      </c>
      <c r="H3" s="9">
        <f>$B$3*7</f>
        <v>151.66666666666669</v>
      </c>
    </row>
    <row r="4" spans="1:8" x14ac:dyDescent="0.25">
      <c r="A4" s="5" t="s">
        <v>11</v>
      </c>
      <c r="B4" s="8">
        <f>52*4/12</f>
        <v>17.333333333333332</v>
      </c>
      <c r="C4" s="9">
        <f>$B$4*2</f>
        <v>34.666666666666664</v>
      </c>
      <c r="D4" s="9">
        <f>$B$4*3</f>
        <v>52</v>
      </c>
      <c r="E4" s="9">
        <f>$B$4*4</f>
        <v>69.333333333333329</v>
      </c>
      <c r="F4" s="9">
        <f>$B$4*5</f>
        <v>86.666666666666657</v>
      </c>
      <c r="G4" s="9">
        <f>$B$4*6</f>
        <v>104</v>
      </c>
      <c r="H4" s="9">
        <f>$B$4*7</f>
        <v>121.33333333333333</v>
      </c>
    </row>
    <row r="5" spans="1:8" x14ac:dyDescent="0.25">
      <c r="A5" s="5" t="s">
        <v>12</v>
      </c>
      <c r="B5" s="8">
        <f>52*3/12</f>
        <v>13</v>
      </c>
      <c r="C5" s="9">
        <f>$B$5*2</f>
        <v>26</v>
      </c>
      <c r="D5" s="9">
        <f>$B$5*3</f>
        <v>39</v>
      </c>
      <c r="E5" s="9">
        <f>$B$5*4</f>
        <v>52</v>
      </c>
      <c r="F5" s="9">
        <f>$B$5*5</f>
        <v>65</v>
      </c>
      <c r="G5" s="9">
        <f>$B$5*6</f>
        <v>78</v>
      </c>
      <c r="H5" s="9">
        <f>$B$5*7</f>
        <v>91</v>
      </c>
    </row>
    <row r="6" spans="1:8" x14ac:dyDescent="0.25">
      <c r="A6" s="5" t="s">
        <v>13</v>
      </c>
      <c r="B6" s="8">
        <f>52*2/12</f>
        <v>8.6666666666666661</v>
      </c>
      <c r="C6" s="10">
        <f>$B$6*2</f>
        <v>17.333333333333332</v>
      </c>
      <c r="D6" s="10">
        <f>$B$6*3</f>
        <v>26</v>
      </c>
      <c r="E6" s="10">
        <f>$B$6*4</f>
        <v>34.666666666666664</v>
      </c>
      <c r="F6" s="10">
        <f>$B$6*5</f>
        <v>43.333333333333329</v>
      </c>
      <c r="G6" s="10">
        <f>$B$6*6</f>
        <v>52</v>
      </c>
      <c r="H6" s="10">
        <f>$B$6*7</f>
        <v>60.666666666666664</v>
      </c>
    </row>
    <row r="7" spans="1:8" x14ac:dyDescent="0.25">
      <c r="A7" s="5" t="s">
        <v>14</v>
      </c>
      <c r="B7" s="8">
        <f>52/12</f>
        <v>4.333333333333333</v>
      </c>
      <c r="C7" s="10">
        <f>$B$7*2</f>
        <v>8.6666666666666661</v>
      </c>
      <c r="D7" s="10">
        <f>$B$7*3</f>
        <v>13</v>
      </c>
      <c r="E7" s="10">
        <f>$B$7*4</f>
        <v>17.333333333333332</v>
      </c>
      <c r="F7" s="10">
        <f>$B$7*5</f>
        <v>21.666666666666664</v>
      </c>
      <c r="G7" s="10">
        <f>$B$7*6</f>
        <v>26</v>
      </c>
      <c r="H7" s="10">
        <f>$B$7*7</f>
        <v>30.333333333333332</v>
      </c>
    </row>
    <row r="8" spans="1:8" x14ac:dyDescent="0.25">
      <c r="A8" s="5" t="s">
        <v>15</v>
      </c>
      <c r="B8" s="8">
        <f>26/12</f>
        <v>2.1666666666666665</v>
      </c>
      <c r="C8" s="10">
        <f>$B$8*2</f>
        <v>4.333333333333333</v>
      </c>
      <c r="D8" s="10">
        <f>$B$8*3</f>
        <v>6.5</v>
      </c>
      <c r="E8" s="10">
        <f>$B$8*4</f>
        <v>8.6666666666666661</v>
      </c>
      <c r="F8" s="10">
        <f>$B$8*5</f>
        <v>10.833333333333332</v>
      </c>
      <c r="G8" s="10">
        <f>$B$8*6</f>
        <v>13</v>
      </c>
      <c r="H8" s="10">
        <f>$B$8*7</f>
        <v>15.166666666666666</v>
      </c>
    </row>
    <row r="9" spans="1:8" x14ac:dyDescent="0.25">
      <c r="A9" s="5" t="s">
        <v>16</v>
      </c>
      <c r="B9" s="8">
        <f>12/12</f>
        <v>1</v>
      </c>
      <c r="C9" s="10">
        <f>$B$9*2</f>
        <v>2</v>
      </c>
      <c r="D9" s="10">
        <f>$B$9*3</f>
        <v>3</v>
      </c>
      <c r="E9" s="10">
        <f>$B$9*4</f>
        <v>4</v>
      </c>
      <c r="F9" s="10">
        <f>$B$9*5</f>
        <v>5</v>
      </c>
      <c r="G9" s="10">
        <f>$B$9*6</f>
        <v>6</v>
      </c>
      <c r="H9" s="10">
        <f>$B$9*7</f>
        <v>7</v>
      </c>
    </row>
    <row r="10" spans="1:8" x14ac:dyDescent="0.25">
      <c r="A10" s="5"/>
      <c r="B10" s="8"/>
      <c r="C10" s="10"/>
      <c r="D10" s="10"/>
      <c r="E10" s="10"/>
      <c r="F10" s="10"/>
      <c r="G10" s="10"/>
      <c r="H10" s="10"/>
    </row>
    <row r="11" spans="1:8" x14ac:dyDescent="0.25">
      <c r="A11" s="126" t="s">
        <v>17</v>
      </c>
      <c r="B11" s="126"/>
      <c r="C11" s="10"/>
      <c r="D11" s="10"/>
      <c r="E11" s="10"/>
      <c r="F11" s="10"/>
      <c r="G11" s="10"/>
      <c r="H11" s="10"/>
    </row>
    <row r="12" spans="1:8" x14ac:dyDescent="0.25">
      <c r="A12" s="11" t="s">
        <v>18</v>
      </c>
      <c r="B12" s="12" t="s">
        <v>19</v>
      </c>
      <c r="C12" s="10"/>
      <c r="D12" s="10"/>
      <c r="E12" s="10"/>
      <c r="F12" s="10"/>
      <c r="G12" s="10"/>
      <c r="H12" s="10"/>
    </row>
    <row r="13" spans="1:8" x14ac:dyDescent="0.25">
      <c r="A13" s="13" t="s">
        <v>20</v>
      </c>
      <c r="B13" s="14">
        <v>20</v>
      </c>
      <c r="C13" s="10"/>
      <c r="D13" s="10"/>
      <c r="E13" s="10"/>
      <c r="F13" s="10"/>
      <c r="G13" s="10"/>
      <c r="H13" s="10"/>
    </row>
    <row r="14" spans="1:8" x14ac:dyDescent="0.25">
      <c r="A14" s="13" t="s">
        <v>21</v>
      </c>
      <c r="B14" s="14">
        <v>34</v>
      </c>
      <c r="C14" s="10"/>
      <c r="D14" s="10"/>
      <c r="E14" s="10"/>
      <c r="F14" s="10"/>
      <c r="G14" s="10"/>
      <c r="H14" s="10"/>
    </row>
    <row r="15" spans="1:8" x14ac:dyDescent="0.25">
      <c r="A15" s="13" t="s">
        <v>22</v>
      </c>
      <c r="B15" s="14">
        <v>51</v>
      </c>
      <c r="C15" s="10"/>
      <c r="D15" s="10"/>
      <c r="E15" s="10"/>
      <c r="F15" s="10"/>
      <c r="G15" s="10"/>
      <c r="H15" s="10"/>
    </row>
    <row r="16" spans="1:8" x14ac:dyDescent="0.25">
      <c r="A16" s="13" t="s">
        <v>23</v>
      </c>
      <c r="B16" s="14">
        <v>77</v>
      </c>
      <c r="C16" s="10"/>
      <c r="D16" s="10"/>
      <c r="E16" s="10"/>
      <c r="F16" s="5" t="s">
        <v>24</v>
      </c>
      <c r="G16" s="14">
        <v>2000</v>
      </c>
      <c r="H16" s="10"/>
    </row>
    <row r="17" spans="1:8" x14ac:dyDescent="0.25">
      <c r="A17" s="13" t="s">
        <v>25</v>
      </c>
      <c r="B17" s="14">
        <v>97</v>
      </c>
      <c r="C17" s="10"/>
      <c r="D17" s="10"/>
      <c r="E17" s="10"/>
      <c r="F17" s="5" t="s">
        <v>26</v>
      </c>
      <c r="G17" s="15" t="s">
        <v>27</v>
      </c>
      <c r="H17" s="10"/>
    </row>
    <row r="18" spans="1:8" x14ac:dyDescent="0.25">
      <c r="A18" s="13" t="s">
        <v>28</v>
      </c>
      <c r="B18" s="14">
        <v>117</v>
      </c>
      <c r="C18" s="10"/>
      <c r="D18" s="10"/>
      <c r="E18" s="10"/>
      <c r="F18" s="5"/>
      <c r="G18" s="5"/>
      <c r="H18" s="10"/>
    </row>
    <row r="19" spans="1:8" x14ac:dyDescent="0.25">
      <c r="A19" s="13" t="s">
        <v>29</v>
      </c>
      <c r="B19" s="14">
        <v>157</v>
      </c>
      <c r="C19" s="10"/>
      <c r="D19" s="10"/>
      <c r="E19" s="10"/>
      <c r="F19" s="16"/>
      <c r="G19" s="17"/>
      <c r="H19" s="10"/>
    </row>
    <row r="20" spans="1:8" x14ac:dyDescent="0.25">
      <c r="A20" s="13" t="s">
        <v>30</v>
      </c>
      <c r="B20" s="14">
        <v>37</v>
      </c>
      <c r="C20" s="10" t="s">
        <v>31</v>
      </c>
      <c r="D20" s="10"/>
      <c r="E20" s="10"/>
      <c r="F20" s="16"/>
      <c r="G20" s="17"/>
      <c r="H20" s="10"/>
    </row>
    <row r="21" spans="1:8" x14ac:dyDescent="0.25">
      <c r="A21" s="13" t="s">
        <v>32</v>
      </c>
      <c r="B21" s="14">
        <v>47</v>
      </c>
      <c r="C21" s="10"/>
      <c r="D21" s="10"/>
      <c r="E21" s="10"/>
      <c r="F21" s="10"/>
      <c r="G21" s="10"/>
      <c r="H21" s="10"/>
    </row>
    <row r="22" spans="1:8" x14ac:dyDescent="0.25">
      <c r="A22" s="13" t="s">
        <v>33</v>
      </c>
      <c r="B22" s="14">
        <v>68</v>
      </c>
      <c r="C22" s="10"/>
      <c r="D22" s="10"/>
      <c r="E22" s="10"/>
      <c r="F22" s="10"/>
      <c r="G22" s="10"/>
      <c r="H22" s="10"/>
    </row>
    <row r="23" spans="1:8" x14ac:dyDescent="0.25">
      <c r="A23" s="13" t="s">
        <v>34</v>
      </c>
      <c r="B23" s="14">
        <v>34</v>
      </c>
      <c r="C23" s="10"/>
      <c r="D23" s="10"/>
      <c r="E23" s="10"/>
      <c r="F23" s="10"/>
      <c r="G23" s="10"/>
      <c r="H23" s="10"/>
    </row>
    <row r="24" spans="1:8" x14ac:dyDescent="0.25">
      <c r="A24" s="13" t="s">
        <v>35</v>
      </c>
      <c r="B24" s="14">
        <v>34</v>
      </c>
      <c r="C24" s="10"/>
      <c r="D24" s="10"/>
      <c r="E24" s="10"/>
      <c r="F24" s="10"/>
      <c r="G24" s="10"/>
      <c r="H24" s="10"/>
    </row>
    <row r="25" spans="1:8" x14ac:dyDescent="0.25">
      <c r="A25" s="11" t="s">
        <v>36</v>
      </c>
      <c r="B25" s="14"/>
      <c r="C25" s="10"/>
      <c r="D25" s="10"/>
      <c r="E25" s="10"/>
      <c r="F25" s="10"/>
      <c r="G25" s="10"/>
      <c r="H25" s="10"/>
    </row>
    <row r="26" spans="1:8" x14ac:dyDescent="0.25">
      <c r="A26" s="13" t="s">
        <v>37</v>
      </c>
      <c r="B26" s="14">
        <v>29</v>
      </c>
      <c r="C26" s="10"/>
      <c r="D26" s="10"/>
      <c r="E26" s="10"/>
      <c r="F26" s="10"/>
      <c r="G26" s="10"/>
      <c r="H26" s="10"/>
    </row>
    <row r="27" spans="1:8" x14ac:dyDescent="0.25">
      <c r="A27" s="13" t="s">
        <v>38</v>
      </c>
      <c r="B27" s="14">
        <v>175</v>
      </c>
      <c r="C27" s="10"/>
      <c r="D27" s="10"/>
      <c r="E27" s="10"/>
      <c r="F27" s="10"/>
      <c r="G27" s="10"/>
      <c r="H27" s="10"/>
    </row>
    <row r="28" spans="1:8" x14ac:dyDescent="0.25">
      <c r="A28" s="13" t="s">
        <v>39</v>
      </c>
      <c r="B28" s="14">
        <v>250</v>
      </c>
      <c r="C28" s="10"/>
      <c r="D28" s="10"/>
      <c r="E28" s="10"/>
      <c r="F28" s="10"/>
      <c r="G28" s="10"/>
      <c r="H28" s="10"/>
    </row>
    <row r="29" spans="1:8" x14ac:dyDescent="0.25">
      <c r="A29" s="13" t="s">
        <v>40</v>
      </c>
      <c r="B29" s="14">
        <v>324</v>
      </c>
      <c r="C29" s="10"/>
      <c r="D29" s="10"/>
      <c r="E29" s="10"/>
      <c r="F29" s="10"/>
      <c r="G29" s="10"/>
      <c r="H29" s="10"/>
    </row>
    <row r="30" spans="1:8" x14ac:dyDescent="0.25">
      <c r="A30" s="13" t="s">
        <v>41</v>
      </c>
      <c r="B30" s="14">
        <v>473</v>
      </c>
      <c r="C30" s="10"/>
      <c r="D30" s="10"/>
      <c r="E30" s="10"/>
      <c r="F30" s="10"/>
      <c r="G30" s="10"/>
      <c r="H30" s="10"/>
    </row>
    <row r="31" spans="1:8" x14ac:dyDescent="0.25">
      <c r="A31" s="13" t="s">
        <v>42</v>
      </c>
      <c r="B31" s="14">
        <v>613</v>
      </c>
      <c r="C31" s="10"/>
      <c r="D31" s="10"/>
      <c r="E31" s="10"/>
      <c r="F31" s="10"/>
      <c r="G31" s="10"/>
      <c r="H31" s="10"/>
    </row>
    <row r="32" spans="1:8" x14ac:dyDescent="0.25">
      <c r="A32" s="13" t="s">
        <v>43</v>
      </c>
      <c r="B32" s="14">
        <v>840</v>
      </c>
      <c r="C32" s="10"/>
      <c r="D32" s="10"/>
      <c r="E32" s="10"/>
      <c r="F32" s="10"/>
      <c r="G32" s="10"/>
      <c r="H32" s="10"/>
    </row>
    <row r="33" spans="1:8" x14ac:dyDescent="0.25">
      <c r="A33" s="13" t="s">
        <v>44</v>
      </c>
      <c r="B33" s="14">
        <v>980</v>
      </c>
      <c r="C33" s="10"/>
      <c r="D33" s="10"/>
      <c r="E33" s="10"/>
      <c r="F33" s="10"/>
      <c r="G33" s="10"/>
      <c r="H33" s="10"/>
    </row>
    <row r="34" spans="1:8" x14ac:dyDescent="0.25">
      <c r="A34" s="13" t="s">
        <v>45</v>
      </c>
      <c r="B34" s="14">
        <v>482</v>
      </c>
      <c r="C34" s="10" t="s">
        <v>31</v>
      </c>
      <c r="D34" s="10"/>
      <c r="E34" s="10"/>
      <c r="F34" s="10"/>
      <c r="G34" s="10"/>
      <c r="H34" s="10"/>
    </row>
    <row r="35" spans="1:8" x14ac:dyDescent="0.25">
      <c r="A35" s="13" t="s">
        <v>46</v>
      </c>
      <c r="B35" s="14">
        <v>689</v>
      </c>
      <c r="C35" s="10" t="s">
        <v>31</v>
      </c>
      <c r="D35" s="10"/>
      <c r="E35" s="10"/>
      <c r="F35" s="10"/>
      <c r="G35" s="10"/>
      <c r="H35" s="10"/>
    </row>
    <row r="36" spans="1:8" x14ac:dyDescent="0.25">
      <c r="A36" s="13" t="s">
        <v>47</v>
      </c>
      <c r="B36" s="14">
        <v>892</v>
      </c>
      <c r="C36" s="10" t="s">
        <v>31</v>
      </c>
      <c r="D36" s="10"/>
      <c r="E36" s="10"/>
      <c r="F36" s="10"/>
      <c r="G36" s="10"/>
      <c r="H36" s="10"/>
    </row>
    <row r="37" spans="1:8" x14ac:dyDescent="0.25">
      <c r="A37" s="13" t="s">
        <v>48</v>
      </c>
      <c r="B37" s="14">
        <v>1301</v>
      </c>
      <c r="C37" s="10"/>
      <c r="D37" s="10"/>
      <c r="E37" s="10"/>
      <c r="F37" s="10"/>
      <c r="G37" s="10"/>
      <c r="H37" s="10"/>
    </row>
    <row r="38" spans="1:8" x14ac:dyDescent="0.25">
      <c r="A38" s="13" t="s">
        <v>49</v>
      </c>
      <c r="B38" s="14">
        <v>1686</v>
      </c>
      <c r="C38" s="10"/>
      <c r="D38" s="10"/>
      <c r="E38" s="10"/>
      <c r="F38" s="10"/>
      <c r="G38" s="10"/>
      <c r="H38" s="10"/>
    </row>
    <row r="39" spans="1:8" x14ac:dyDescent="0.25">
      <c r="A39" s="13" t="s">
        <v>50</v>
      </c>
      <c r="B39" s="14">
        <v>2046</v>
      </c>
      <c r="C39" s="10"/>
      <c r="D39" s="10"/>
      <c r="E39" s="10"/>
      <c r="F39" s="10"/>
      <c r="G39" s="10"/>
      <c r="H39" s="10"/>
    </row>
    <row r="40" spans="1:8" x14ac:dyDescent="0.25">
      <c r="A40" s="13" t="s">
        <v>51</v>
      </c>
      <c r="B40" s="14">
        <v>2310</v>
      </c>
      <c r="C40" s="10"/>
      <c r="D40" s="10"/>
      <c r="E40" s="10"/>
      <c r="F40" s="10"/>
      <c r="G40" s="10"/>
      <c r="H40" s="10"/>
    </row>
    <row r="41" spans="1:8" x14ac:dyDescent="0.25">
      <c r="A41" s="13" t="s">
        <v>52</v>
      </c>
      <c r="B41" s="14">
        <v>2800</v>
      </c>
      <c r="C41" s="10" t="s">
        <v>31</v>
      </c>
      <c r="D41" s="10"/>
      <c r="E41" s="10"/>
      <c r="F41" s="10"/>
      <c r="G41" s="10"/>
      <c r="H41" s="10"/>
    </row>
    <row r="42" spans="1:8" x14ac:dyDescent="0.25">
      <c r="A42" s="13" t="s">
        <v>53</v>
      </c>
      <c r="B42" s="14">
        <v>125</v>
      </c>
      <c r="C42" s="10"/>
      <c r="D42" s="10"/>
      <c r="E42" s="10"/>
      <c r="F42" s="10"/>
      <c r="G42" s="10"/>
      <c r="H42" s="10"/>
    </row>
    <row r="43" spans="1:8" x14ac:dyDescent="0.25">
      <c r="A43" s="5"/>
      <c r="B43" s="127" t="s">
        <v>54</v>
      </c>
      <c r="C43" s="127"/>
      <c r="D43" s="5"/>
      <c r="E43" s="5"/>
      <c r="F43" s="5"/>
      <c r="G43" s="5"/>
      <c r="H43" s="5"/>
    </row>
    <row r="44" spans="1:8" x14ac:dyDescent="0.25">
      <c r="A44" s="5"/>
      <c r="B44" s="5"/>
      <c r="C44" s="5"/>
      <c r="D44" s="5"/>
      <c r="E44" s="5"/>
      <c r="F44" s="5"/>
      <c r="G44" s="5"/>
      <c r="H44" s="5"/>
    </row>
    <row r="45" spans="1:8" x14ac:dyDescent="0.25">
      <c r="A45" s="5"/>
      <c r="B45" s="5"/>
      <c r="C45" s="5"/>
      <c r="D45" s="5"/>
      <c r="E45" s="5"/>
      <c r="F45" s="5"/>
      <c r="G45" s="5"/>
      <c r="H45" s="5"/>
    </row>
    <row r="46" spans="1:8" x14ac:dyDescent="0.25">
      <c r="A46" s="18" t="s">
        <v>174</v>
      </c>
      <c r="B46" s="19" t="s">
        <v>55</v>
      </c>
      <c r="C46" s="19" t="s">
        <v>56</v>
      </c>
      <c r="D46" s="5"/>
      <c r="E46" s="5"/>
      <c r="F46" s="128" t="s">
        <v>57</v>
      </c>
      <c r="G46" s="128"/>
      <c r="H46" s="5"/>
    </row>
    <row r="47" spans="1:8" x14ac:dyDescent="0.25">
      <c r="A47" s="20" t="s">
        <v>58</v>
      </c>
      <c r="B47" s="75">
        <v>113.86</v>
      </c>
      <c r="C47" s="76">
        <f>B47/2000</f>
        <v>5.6930000000000001E-2</v>
      </c>
      <c r="D47" s="5"/>
      <c r="E47" s="5"/>
      <c r="F47" s="5" t="s">
        <v>59</v>
      </c>
      <c r="G47" s="21">
        <f>0.0175</f>
        <v>1.7500000000000002E-2</v>
      </c>
      <c r="H47" s="5"/>
    </row>
    <row r="48" spans="1:8" x14ac:dyDescent="0.25">
      <c r="A48" s="20" t="s">
        <v>60</v>
      </c>
      <c r="B48" s="110">
        <v>117.16</v>
      </c>
      <c r="C48" s="77">
        <f>B48/2000</f>
        <v>5.858E-2</v>
      </c>
      <c r="D48" s="5"/>
      <c r="E48" s="5"/>
      <c r="F48" s="5" t="s">
        <v>61</v>
      </c>
      <c r="G48" s="22">
        <f>0.0051</f>
        <v>5.1000000000000004E-3</v>
      </c>
      <c r="H48" s="5"/>
    </row>
    <row r="49" spans="1:8" x14ac:dyDescent="0.25">
      <c r="A49" s="13" t="s">
        <v>62</v>
      </c>
      <c r="B49" s="75">
        <f>B48-B47</f>
        <v>3.2999999999999972</v>
      </c>
      <c r="C49" s="78">
        <f>C48-C47</f>
        <v>1.6499999999999987E-3</v>
      </c>
      <c r="D49" s="5"/>
      <c r="E49" s="5"/>
      <c r="F49" s="5" t="s">
        <v>63</v>
      </c>
      <c r="G49" s="23">
        <v>7.4999999999999997E-3</v>
      </c>
      <c r="H49" s="5"/>
    </row>
    <row r="50" spans="1:8" x14ac:dyDescent="0.25">
      <c r="A50" s="5"/>
      <c r="B50" s="107">
        <f>+B49/B47</f>
        <v>2.8982961531705577E-2</v>
      </c>
      <c r="C50" s="5"/>
      <c r="D50" s="5"/>
      <c r="E50" s="5"/>
      <c r="F50" s="5" t="s">
        <v>0</v>
      </c>
      <c r="G50" s="24">
        <f>SUM(G47:G49)</f>
        <v>3.0100000000000002E-2</v>
      </c>
      <c r="H50" s="5"/>
    </row>
    <row r="51" spans="1:8" x14ac:dyDescent="0.25">
      <c r="A51" s="18" t="s">
        <v>176</v>
      </c>
      <c r="B51" s="19" t="s">
        <v>55</v>
      </c>
      <c r="C51" s="19" t="s">
        <v>56</v>
      </c>
      <c r="D51" s="5"/>
      <c r="E51" s="5"/>
      <c r="F51" s="5"/>
      <c r="G51" s="24"/>
      <c r="H51" s="5"/>
    </row>
    <row r="52" spans="1:8" x14ac:dyDescent="0.25">
      <c r="A52" s="82" t="s">
        <v>58</v>
      </c>
      <c r="B52" s="75">
        <v>110</v>
      </c>
      <c r="C52" s="76">
        <f>B52/2000</f>
        <v>5.5E-2</v>
      </c>
      <c r="D52" s="5"/>
      <c r="E52" s="5"/>
      <c r="F52" s="5"/>
      <c r="G52" s="24"/>
      <c r="H52" s="5"/>
    </row>
    <row r="53" spans="1:8" x14ac:dyDescent="0.25">
      <c r="A53" s="82" t="s">
        <v>60</v>
      </c>
      <c r="B53" s="110">
        <v>112</v>
      </c>
      <c r="C53" s="77">
        <f>B53/2000</f>
        <v>5.6000000000000001E-2</v>
      </c>
      <c r="D53" s="5"/>
      <c r="E53" s="5"/>
      <c r="F53" s="5" t="s">
        <v>65</v>
      </c>
      <c r="G53" s="27">
        <f>1-G50</f>
        <v>0.96989999999999998</v>
      </c>
      <c r="H53" s="5"/>
    </row>
    <row r="54" spans="1:8" x14ac:dyDescent="0.25">
      <c r="A54" s="13" t="s">
        <v>62</v>
      </c>
      <c r="B54" s="75">
        <f>B53-B52</f>
        <v>2</v>
      </c>
      <c r="C54" s="78">
        <f>C53-C52</f>
        <v>1.0000000000000009E-3</v>
      </c>
      <c r="D54" s="5"/>
      <c r="E54" s="5"/>
      <c r="F54" s="5"/>
      <c r="G54" s="24"/>
      <c r="H54" s="5"/>
    </row>
    <row r="55" spans="1:8" x14ac:dyDescent="0.25">
      <c r="A55" s="5"/>
      <c r="B55" s="107">
        <f>+B54/B52</f>
        <v>1.8181818181818181E-2</v>
      </c>
      <c r="C55" s="5"/>
      <c r="D55" s="5"/>
      <c r="E55" s="5"/>
      <c r="F55" s="5"/>
      <c r="G55" s="24"/>
      <c r="H55" s="5"/>
    </row>
    <row r="56" spans="1:8" x14ac:dyDescent="0.25">
      <c r="A56" s="5"/>
      <c r="B56" s="5"/>
      <c r="C56" s="5"/>
      <c r="D56" s="5"/>
      <c r="E56" s="5"/>
      <c r="F56" s="5"/>
      <c r="G56" s="24"/>
      <c r="H56" s="5"/>
    </row>
    <row r="57" spans="1:8" x14ac:dyDescent="0.25">
      <c r="A57" s="5"/>
      <c r="B57" s="25" t="s">
        <v>174</v>
      </c>
      <c r="C57" s="25" t="s">
        <v>175</v>
      </c>
      <c r="D57" s="5"/>
      <c r="E57" s="5"/>
      <c r="F57" s="5"/>
      <c r="G57" s="5"/>
      <c r="H57" s="5"/>
    </row>
    <row r="58" spans="1:8" x14ac:dyDescent="0.25">
      <c r="A58" s="5" t="s">
        <v>64</v>
      </c>
      <c r="B58" s="26">
        <f>B49</f>
        <v>3.2999999999999972</v>
      </c>
      <c r="C58" s="26">
        <f>B54</f>
        <v>2</v>
      </c>
      <c r="D58" s="5"/>
      <c r="E58" s="5"/>
      <c r="H58" s="5"/>
    </row>
    <row r="59" spans="1:8" x14ac:dyDescent="0.25">
      <c r="A59" s="5" t="s">
        <v>66</v>
      </c>
      <c r="B59" s="26">
        <f>B58/$G$53</f>
        <v>3.4024126198577145</v>
      </c>
      <c r="C59" s="26">
        <f>C58/$G$53</f>
        <v>2.0620682544592226</v>
      </c>
      <c r="D59" s="5"/>
      <c r="E59" s="5"/>
      <c r="F59" s="5"/>
      <c r="G59" s="5"/>
      <c r="H59" s="5"/>
    </row>
    <row r="60" spans="1:8" x14ac:dyDescent="0.25">
      <c r="A60" s="5" t="s">
        <v>67</v>
      </c>
      <c r="B60" s="28">
        <f>+Calculations!G125</f>
        <v>1193.08</v>
      </c>
      <c r="C60" s="28">
        <f>+Calculations!G124</f>
        <v>29072.720000000001</v>
      </c>
      <c r="D60" s="5"/>
      <c r="E60" s="5"/>
      <c r="F60" s="5"/>
      <c r="G60" s="5"/>
      <c r="H60" s="5"/>
    </row>
    <row r="61" spans="1:8" x14ac:dyDescent="0.25">
      <c r="A61" s="11" t="s">
        <v>68</v>
      </c>
      <c r="B61" s="29">
        <f>B59*B60</f>
        <v>4059.3504484998416</v>
      </c>
      <c r="C61" s="29">
        <f>C59*C60</f>
        <v>59949.932982781735</v>
      </c>
      <c r="D61" s="5"/>
      <c r="E61" s="26">
        <f>B61+C61</f>
        <v>64009.283431281576</v>
      </c>
      <c r="F61" s="5"/>
      <c r="G61" s="5"/>
      <c r="H61" s="5"/>
    </row>
    <row r="62" spans="1:8" x14ac:dyDescent="0.25">
      <c r="A62" s="5"/>
      <c r="B62" s="5"/>
      <c r="C62" s="5"/>
      <c r="D62" s="5"/>
      <c r="E62" s="5"/>
      <c r="F62" s="5"/>
      <c r="G62" s="5"/>
      <c r="H62" s="5"/>
    </row>
    <row r="63" spans="1:8" x14ac:dyDescent="0.25">
      <c r="A63" s="5"/>
      <c r="B63" s="5"/>
      <c r="C63" s="5"/>
      <c r="D63" s="5"/>
      <c r="E63" s="5"/>
      <c r="F63" s="5"/>
      <c r="G63" s="5"/>
      <c r="H63" s="5"/>
    </row>
    <row r="64" spans="1:8" ht="15.75" thickBot="1" x14ac:dyDescent="0.3">
      <c r="A64" s="5"/>
      <c r="B64" s="5"/>
      <c r="C64" s="5"/>
      <c r="D64" s="5"/>
      <c r="E64" s="5"/>
      <c r="F64" s="5"/>
      <c r="G64" s="5"/>
      <c r="H64" s="5"/>
    </row>
    <row r="65" spans="1:8" x14ac:dyDescent="0.25">
      <c r="A65" s="30" t="s">
        <v>69</v>
      </c>
      <c r="B65" s="31" t="s">
        <v>70</v>
      </c>
      <c r="C65" s="5"/>
      <c r="D65" s="26"/>
      <c r="E65" s="5"/>
      <c r="F65" s="5"/>
      <c r="G65" s="5"/>
      <c r="H65" s="5"/>
    </row>
    <row r="66" spans="1:8" x14ac:dyDescent="0.25">
      <c r="A66" s="32" t="s">
        <v>71</v>
      </c>
      <c r="B66" s="33">
        <f>+Calculations!S92</f>
        <v>64512.656047699813</v>
      </c>
      <c r="C66" s="5"/>
      <c r="D66" s="5"/>
      <c r="E66" s="5"/>
      <c r="F66" s="5"/>
      <c r="G66" s="5"/>
      <c r="H66" s="5"/>
    </row>
    <row r="67" spans="1:8" x14ac:dyDescent="0.25">
      <c r="A67" s="32" t="s">
        <v>72</v>
      </c>
      <c r="B67" s="33">
        <f>B66-C61-B61</f>
        <v>503.3726164182367</v>
      </c>
      <c r="C67" s="5"/>
      <c r="D67" s="5"/>
      <c r="E67" s="5"/>
      <c r="F67" s="5"/>
      <c r="G67" s="5"/>
      <c r="H67" s="5"/>
    </row>
    <row r="68" spans="1:8" ht="15.75" thickBot="1" x14ac:dyDescent="0.3">
      <c r="A68" s="132"/>
      <c r="B68" s="133"/>
      <c r="C68" s="5"/>
      <c r="D68" s="5"/>
      <c r="E68" s="5"/>
      <c r="F68" s="5"/>
      <c r="G68" s="5"/>
      <c r="H68" s="5"/>
    </row>
  </sheetData>
  <mergeCells count="4">
    <mergeCell ref="A1:H1"/>
    <mergeCell ref="A11:B11"/>
    <mergeCell ref="B43:C43"/>
    <mergeCell ref="F46:G46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Z150"/>
  <sheetViews>
    <sheetView tabSelected="1" topLeftCell="C1" zoomScale="80" zoomScaleNormal="80" workbookViewId="0">
      <pane xSplit="2" ySplit="1" topLeftCell="I73" activePane="bottomRight" state="frozen"/>
      <selection activeCell="C1" sqref="C1"/>
      <selection pane="topRight" activeCell="E1" sqref="E1"/>
      <selection pane="bottomLeft" activeCell="C2" sqref="C2"/>
      <selection pane="bottomRight" activeCell="T92" sqref="T92"/>
    </sheetView>
  </sheetViews>
  <sheetFormatPr defaultColWidth="8.85546875" defaultRowHeight="15" x14ac:dyDescent="0.25"/>
  <cols>
    <col min="1" max="1" width="4.5703125" style="39" customWidth="1"/>
    <col min="2" max="2" width="16.85546875" style="58" customWidth="1"/>
    <col min="3" max="3" width="31.42578125" style="39" bestFit="1" customWidth="1"/>
    <col min="4" max="4" width="13" style="62" customWidth="1"/>
    <col min="5" max="5" width="13.5703125" style="39" customWidth="1"/>
    <col min="6" max="6" width="13.28515625" style="39" customWidth="1"/>
    <col min="7" max="7" width="11.28515625" style="39" bestFit="1" customWidth="1"/>
    <col min="8" max="8" width="19.5703125" style="39" bestFit="1" customWidth="1"/>
    <col min="9" max="9" width="13.28515625" style="56" customWidth="1"/>
    <col min="10" max="10" width="14.140625" style="39" customWidth="1"/>
    <col min="11" max="11" width="14.28515625" style="39" customWidth="1"/>
    <col min="12" max="13" width="10.7109375" style="39" customWidth="1"/>
    <col min="14" max="14" width="10.7109375" style="42" customWidth="1"/>
    <col min="15" max="15" width="15" style="104" bestFit="1" customWidth="1"/>
    <col min="16" max="16" width="14.85546875" style="104" customWidth="1"/>
    <col min="17" max="17" width="13.5703125" style="39" bestFit="1" customWidth="1"/>
    <col min="18" max="18" width="13.42578125" style="104" bestFit="1" customWidth="1"/>
    <col min="19" max="19" width="11.42578125" style="104" customWidth="1"/>
    <col min="20" max="21" width="8.85546875" style="39"/>
    <col min="22" max="22" width="8.85546875" style="115"/>
    <col min="23" max="16384" width="8.85546875" style="39"/>
  </cols>
  <sheetData>
    <row r="1" spans="1:26" ht="45" x14ac:dyDescent="0.25">
      <c r="A1" s="18"/>
      <c r="B1" s="34" t="s">
        <v>73</v>
      </c>
      <c r="C1" s="35" t="s">
        <v>74</v>
      </c>
      <c r="D1" s="34" t="s">
        <v>75</v>
      </c>
      <c r="E1" s="34" t="s">
        <v>180</v>
      </c>
      <c r="F1" s="111" t="s">
        <v>76</v>
      </c>
      <c r="G1" s="34" t="s">
        <v>17</v>
      </c>
      <c r="H1" s="36" t="s">
        <v>181</v>
      </c>
      <c r="I1" s="37" t="s">
        <v>77</v>
      </c>
      <c r="J1" s="38" t="s">
        <v>62</v>
      </c>
      <c r="K1" s="34" t="s">
        <v>78</v>
      </c>
      <c r="L1" s="36" t="s">
        <v>177</v>
      </c>
      <c r="M1" s="36" t="s">
        <v>79</v>
      </c>
      <c r="N1" s="36" t="s">
        <v>178</v>
      </c>
      <c r="O1" s="96" t="s">
        <v>80</v>
      </c>
      <c r="P1" s="96" t="s">
        <v>179</v>
      </c>
      <c r="Q1" s="34" t="s">
        <v>81</v>
      </c>
      <c r="R1" s="96" t="s">
        <v>82</v>
      </c>
      <c r="S1" s="100" t="s">
        <v>83</v>
      </c>
    </row>
    <row r="2" spans="1:26" s="42" customFormat="1" x14ac:dyDescent="0.25">
      <c r="A2" s="129" t="s">
        <v>84</v>
      </c>
      <c r="B2" s="40"/>
      <c r="C2" s="87" t="s">
        <v>92</v>
      </c>
      <c r="D2" s="88">
        <v>118</v>
      </c>
      <c r="E2" s="43">
        <v>1</v>
      </c>
      <c r="F2" s="73">
        <f>D2*E2*12</f>
        <v>1416</v>
      </c>
      <c r="G2" s="83">
        <f>References!$B$14</f>
        <v>34</v>
      </c>
      <c r="H2" s="73">
        <f t="shared" ref="H2:H21" si="0">G2*F2</f>
        <v>48144</v>
      </c>
      <c r="I2" s="74">
        <f t="shared" ref="I2:I21" si="1">$D$122*H2</f>
        <v>28693.993426083463</v>
      </c>
      <c r="J2" s="116">
        <f>((References!$C$49*I2)*$H$125)+((References!$C$54*I2)*$H$124)</f>
        <v>29.42922095319047</v>
      </c>
      <c r="K2" s="116">
        <f>J2/References!$G$53</f>
        <v>30.342531140520126</v>
      </c>
      <c r="L2" s="116">
        <f>ROUND((K2/F2)*E2,2)</f>
        <v>0.02</v>
      </c>
      <c r="M2" s="116">
        <v>7.17</v>
      </c>
      <c r="N2" s="93">
        <f t="shared" ref="N2:N21" si="2">L2+M2</f>
        <v>7.1899999999999995</v>
      </c>
      <c r="O2" s="101">
        <f>D2*M2*12</f>
        <v>10152.719999999999</v>
      </c>
      <c r="P2" s="101">
        <f>D2*N2*12</f>
        <v>10181.039999999999</v>
      </c>
      <c r="Q2" s="41">
        <f t="shared" ref="Q2:Q21" si="3">N2</f>
        <v>7.1899999999999995</v>
      </c>
      <c r="R2" s="97">
        <f>D2*Q2*12</f>
        <v>10181.039999999999</v>
      </c>
      <c r="S2" s="97">
        <f t="shared" ref="S2:S21" si="4">R2-O2</f>
        <v>28.319999999999709</v>
      </c>
      <c r="T2" s="113">
        <f>+N2/M2-1</f>
        <v>2.7894002789399241E-3</v>
      </c>
      <c r="U2" s="106"/>
      <c r="V2" s="116"/>
      <c r="Z2" s="116"/>
    </row>
    <row r="3" spans="1:26" s="42" customFormat="1" x14ac:dyDescent="0.25">
      <c r="A3" s="129"/>
      <c r="B3" s="40"/>
      <c r="C3" s="87" t="s">
        <v>93</v>
      </c>
      <c r="D3" s="88">
        <v>129</v>
      </c>
      <c r="E3" s="43">
        <f>+E2</f>
        <v>1</v>
      </c>
      <c r="F3" s="73">
        <f>D3*E3*12</f>
        <v>1548</v>
      </c>
      <c r="G3" s="83">
        <f>References!B20</f>
        <v>37</v>
      </c>
      <c r="H3" s="73">
        <f t="shared" si="0"/>
        <v>57276</v>
      </c>
      <c r="I3" s="74">
        <f t="shared" si="1"/>
        <v>34136.697562985137</v>
      </c>
      <c r="J3" s="116">
        <f>((References!$C$49*I3)*$H$125)+((References!$C$54*I3)*$H$124)</f>
        <v>35.011383751141111</v>
      </c>
      <c r="K3" s="116">
        <f>J3/References!$G$53</f>
        <v>36.097931488958771</v>
      </c>
      <c r="L3" s="116">
        <f t="shared" ref="L3:L21" si="5">ROUND((K3/F3)*E3,2)</f>
        <v>0.02</v>
      </c>
      <c r="M3" s="116">
        <v>8.3800000000000008</v>
      </c>
      <c r="N3" s="93">
        <f t="shared" si="2"/>
        <v>8.4</v>
      </c>
      <c r="O3" s="101">
        <f>D3*M3*12</f>
        <v>12972.240000000002</v>
      </c>
      <c r="P3" s="101">
        <f>D3*N3*12</f>
        <v>13003.2</v>
      </c>
      <c r="Q3" s="41">
        <f t="shared" si="3"/>
        <v>8.4</v>
      </c>
      <c r="R3" s="97">
        <f>D3*Q3*12</f>
        <v>13003.2</v>
      </c>
      <c r="S3" s="97">
        <f t="shared" si="4"/>
        <v>30.959999999999127</v>
      </c>
      <c r="T3" s="113">
        <f t="shared" ref="T3:T21" si="6">+N3/M3-1</f>
        <v>2.3866348448686736E-3</v>
      </c>
      <c r="U3" s="106"/>
      <c r="V3" s="116"/>
      <c r="Z3" s="116"/>
    </row>
    <row r="4" spans="1:26" s="42" customFormat="1" x14ac:dyDescent="0.25">
      <c r="A4" s="129"/>
      <c r="B4" s="40"/>
      <c r="C4" s="87" t="s">
        <v>94</v>
      </c>
      <c r="D4" s="88">
        <v>147</v>
      </c>
      <c r="E4" s="43">
        <f>+E5</f>
        <v>4.333333333333333</v>
      </c>
      <c r="F4" s="73">
        <f>D4*E4*12</f>
        <v>7644</v>
      </c>
      <c r="G4" s="83">
        <f>References!B13</f>
        <v>20</v>
      </c>
      <c r="H4" s="73">
        <f t="shared" si="0"/>
        <v>152880</v>
      </c>
      <c r="I4" s="74">
        <f t="shared" si="1"/>
        <v>91117.018008051673</v>
      </c>
      <c r="J4" s="116">
        <f>((References!$C$49*I4)*$H$125)+((References!$C$54*I4)*$H$124)</f>
        <v>93.451713595126279</v>
      </c>
      <c r="K4" s="116">
        <f>J4/References!$G$53</f>
        <v>96.35190596466262</v>
      </c>
      <c r="L4" s="116">
        <f t="shared" si="5"/>
        <v>0.05</v>
      </c>
      <c r="M4" s="116">
        <v>11.03</v>
      </c>
      <c r="N4" s="93">
        <f t="shared" si="2"/>
        <v>11.08</v>
      </c>
      <c r="O4" s="101">
        <f>D4*M4*12</f>
        <v>19456.919999999998</v>
      </c>
      <c r="P4" s="101">
        <f>D4*N4*12</f>
        <v>19545.12</v>
      </c>
      <c r="Q4" s="41">
        <f t="shared" si="3"/>
        <v>11.08</v>
      </c>
      <c r="R4" s="97">
        <f>D4*Q4*12</f>
        <v>19545.12</v>
      </c>
      <c r="S4" s="97">
        <f t="shared" si="4"/>
        <v>88.200000000000728</v>
      </c>
      <c r="T4" s="113">
        <f t="shared" si="6"/>
        <v>4.5330915684498319E-3</v>
      </c>
      <c r="U4" s="106"/>
      <c r="V4" s="116"/>
      <c r="Z4" s="116"/>
    </row>
    <row r="5" spans="1:26" s="42" customFormat="1" x14ac:dyDescent="0.25">
      <c r="A5" s="129"/>
      <c r="B5" s="40"/>
      <c r="C5" s="87" t="s">
        <v>95</v>
      </c>
      <c r="D5" s="88">
        <v>1120</v>
      </c>
      <c r="E5" s="43">
        <f>References!B7</f>
        <v>4.333333333333333</v>
      </c>
      <c r="F5" s="73">
        <f>D5*E5*12</f>
        <v>58240</v>
      </c>
      <c r="G5" s="83">
        <f>References!B13</f>
        <v>20</v>
      </c>
      <c r="H5" s="73">
        <f t="shared" si="0"/>
        <v>1164800</v>
      </c>
      <c r="I5" s="74">
        <f t="shared" si="1"/>
        <v>694224.89910896518</v>
      </c>
      <c r="J5" s="116">
        <f>((References!$C$49*I5)*$H$125)+((References!$C$54*I5)*$H$124)</f>
        <v>712.01305596286693</v>
      </c>
      <c r="K5" s="116">
        <f>J5/References!$G$53</f>
        <v>734.1097597307629</v>
      </c>
      <c r="L5" s="116">
        <f t="shared" si="5"/>
        <v>0.05</v>
      </c>
      <c r="M5" s="116">
        <v>12.03</v>
      </c>
      <c r="N5" s="93">
        <f t="shared" si="2"/>
        <v>12.08</v>
      </c>
      <c r="O5" s="101">
        <f>F5*M5</f>
        <v>700627.2</v>
      </c>
      <c r="P5" s="101">
        <f>N5*F5</f>
        <v>703539.19999999995</v>
      </c>
      <c r="Q5" s="41">
        <f t="shared" si="3"/>
        <v>12.08</v>
      </c>
      <c r="R5" s="97">
        <f>F5*Q5</f>
        <v>703539.19999999995</v>
      </c>
      <c r="S5" s="97">
        <f t="shared" si="4"/>
        <v>2912</v>
      </c>
      <c r="T5" s="113">
        <f t="shared" si="6"/>
        <v>4.1562759767248547E-3</v>
      </c>
      <c r="U5" s="106"/>
      <c r="V5" s="116">
        <v>6.65</v>
      </c>
      <c r="W5" s="42">
        <f>+V5*T5</f>
        <v>2.7639235245220287E-2</v>
      </c>
      <c r="X5" s="106">
        <f>+W5+V5</f>
        <v>6.6776392352452207</v>
      </c>
      <c r="Z5" s="116"/>
    </row>
    <row r="6" spans="1:26" s="42" customFormat="1" x14ac:dyDescent="0.25">
      <c r="A6" s="129"/>
      <c r="B6" s="40"/>
      <c r="C6" s="87" t="s">
        <v>96</v>
      </c>
      <c r="D6" s="88">
        <v>4049</v>
      </c>
      <c r="E6" s="43">
        <f>References!B7</f>
        <v>4.333333333333333</v>
      </c>
      <c r="F6" s="73">
        <f>D6*E6*12</f>
        <v>210547.99999999997</v>
      </c>
      <c r="G6" s="83">
        <f>References!$B$14</f>
        <v>34</v>
      </c>
      <c r="H6" s="73">
        <f t="shared" si="0"/>
        <v>7158631.9999999991</v>
      </c>
      <c r="I6" s="74">
        <f t="shared" si="1"/>
        <v>4266569.864318517</v>
      </c>
      <c r="J6" s="116">
        <f>((References!$C$49*I6)*$H$125)+((References!$C$54*I6)*$H$124)</f>
        <v>4375.8923822403567</v>
      </c>
      <c r="K6" s="116">
        <f>J6/References!$G$53</f>
        <v>4511.6943831738909</v>
      </c>
      <c r="L6" s="116">
        <f t="shared" si="5"/>
        <v>0.09</v>
      </c>
      <c r="M6" s="116">
        <v>14.48</v>
      </c>
      <c r="N6" s="93">
        <f t="shared" si="2"/>
        <v>14.57</v>
      </c>
      <c r="O6" s="101">
        <f t="shared" ref="O6:O20" si="7">D6*M6*12</f>
        <v>703554.24</v>
      </c>
      <c r="P6" s="101">
        <f t="shared" ref="P6:P20" si="8">D6*N6*12</f>
        <v>707927.16</v>
      </c>
      <c r="Q6" s="41">
        <f t="shared" si="3"/>
        <v>14.57</v>
      </c>
      <c r="R6" s="97">
        <f t="shared" ref="R6:R20" si="9">D6*Q6*12</f>
        <v>707927.16</v>
      </c>
      <c r="S6" s="97">
        <f t="shared" si="4"/>
        <v>4372.9200000000419</v>
      </c>
      <c r="T6" s="113">
        <f t="shared" si="6"/>
        <v>6.2154696132596943E-3</v>
      </c>
      <c r="U6" s="106"/>
      <c r="V6" s="116"/>
      <c r="Z6" s="116"/>
    </row>
    <row r="7" spans="1:26" s="42" customFormat="1" x14ac:dyDescent="0.25">
      <c r="A7" s="129"/>
      <c r="B7" s="40"/>
      <c r="C7" s="87" t="s">
        <v>97</v>
      </c>
      <c r="D7" s="88">
        <v>1155</v>
      </c>
      <c r="E7" s="43">
        <f>+E6</f>
        <v>4.333333333333333</v>
      </c>
      <c r="F7" s="73">
        <f>D7*E7*12*2</f>
        <v>120120</v>
      </c>
      <c r="G7" s="83">
        <f>References!$B$14</f>
        <v>34</v>
      </c>
      <c r="H7" s="73">
        <f t="shared" si="0"/>
        <v>4084080</v>
      </c>
      <c r="I7" s="74">
        <f t="shared" si="1"/>
        <v>2434126.0525008091</v>
      </c>
      <c r="J7" s="116">
        <f>((References!$C$49*I7)*$H$125)+((References!$C$54*I7)*$H$124)</f>
        <v>2496.4957774698019</v>
      </c>
      <c r="K7" s="116">
        <f>J7/References!$G$53</f>
        <v>2573.9723450559873</v>
      </c>
      <c r="L7" s="116">
        <f t="shared" si="5"/>
        <v>0.09</v>
      </c>
      <c r="M7" s="116">
        <v>22.57</v>
      </c>
      <c r="N7" s="93">
        <f t="shared" si="2"/>
        <v>22.66</v>
      </c>
      <c r="O7" s="101">
        <f t="shared" si="7"/>
        <v>312820.19999999995</v>
      </c>
      <c r="P7" s="101">
        <f t="shared" si="8"/>
        <v>314067.59999999998</v>
      </c>
      <c r="Q7" s="41">
        <f t="shared" si="3"/>
        <v>22.66</v>
      </c>
      <c r="R7" s="97">
        <f t="shared" si="9"/>
        <v>314067.59999999998</v>
      </c>
      <c r="S7" s="97">
        <f t="shared" si="4"/>
        <v>1247.4000000000233</v>
      </c>
      <c r="T7" s="113">
        <f t="shared" si="6"/>
        <v>3.9875941515286062E-3</v>
      </c>
      <c r="U7" s="106"/>
      <c r="V7" s="116"/>
      <c r="Z7" s="116"/>
    </row>
    <row r="8" spans="1:26" s="42" customFormat="1" x14ac:dyDescent="0.25">
      <c r="A8" s="129"/>
      <c r="B8" s="40"/>
      <c r="C8" s="87" t="s">
        <v>98</v>
      </c>
      <c r="D8" s="88">
        <v>64</v>
      </c>
      <c r="E8" s="43">
        <f>+E7</f>
        <v>4.333333333333333</v>
      </c>
      <c r="F8" s="73">
        <f>D8*E8*12*3</f>
        <v>9984</v>
      </c>
      <c r="G8" s="83">
        <f>References!$B$14</f>
        <v>34</v>
      </c>
      <c r="H8" s="73">
        <f t="shared" si="0"/>
        <v>339456</v>
      </c>
      <c r="I8" s="74">
        <f t="shared" si="1"/>
        <v>202316.97059746983</v>
      </c>
      <c r="J8" s="116">
        <f>((References!$C$49*I8)*$H$125)+((References!$C$54*I8)*$H$124)</f>
        <v>207.50094773774973</v>
      </c>
      <c r="K8" s="116">
        <f>J8/References!$G$53</f>
        <v>213.94055855010797</v>
      </c>
      <c r="L8" s="116">
        <f t="shared" si="5"/>
        <v>0.09</v>
      </c>
      <c r="M8" s="116">
        <v>30.66</v>
      </c>
      <c r="N8" s="93">
        <f t="shared" si="2"/>
        <v>30.75</v>
      </c>
      <c r="O8" s="101">
        <f t="shared" si="7"/>
        <v>23546.880000000001</v>
      </c>
      <c r="P8" s="101">
        <f t="shared" si="8"/>
        <v>23616</v>
      </c>
      <c r="Q8" s="41">
        <f t="shared" si="3"/>
        <v>30.75</v>
      </c>
      <c r="R8" s="97">
        <f t="shared" si="9"/>
        <v>23616</v>
      </c>
      <c r="S8" s="97">
        <f t="shared" si="4"/>
        <v>69.119999999998981</v>
      </c>
      <c r="T8" s="113">
        <f t="shared" si="6"/>
        <v>2.9354207436398383E-3</v>
      </c>
      <c r="U8" s="106"/>
      <c r="V8" s="116"/>
      <c r="Z8" s="116"/>
    </row>
    <row r="9" spans="1:26" s="42" customFormat="1" x14ac:dyDescent="0.25">
      <c r="A9" s="129"/>
      <c r="B9" s="40"/>
      <c r="C9" s="87" t="s">
        <v>99</v>
      </c>
      <c r="D9" s="88">
        <v>13</v>
      </c>
      <c r="E9" s="43">
        <f>+E8</f>
        <v>4.333333333333333</v>
      </c>
      <c r="F9" s="73">
        <f>D9*E9*12*4</f>
        <v>2704</v>
      </c>
      <c r="G9" s="83">
        <f>References!$B$14</f>
        <v>34</v>
      </c>
      <c r="H9" s="73">
        <f t="shared" si="0"/>
        <v>91936</v>
      </c>
      <c r="I9" s="74">
        <f t="shared" si="1"/>
        <v>54794.17953681475</v>
      </c>
      <c r="J9" s="116">
        <f>((References!$C$49*I9)*$H$125)+((References!$C$54*I9)*$H$124)</f>
        <v>56.198173345640569</v>
      </c>
      <c r="K9" s="116">
        <f>J9/References!$G$53</f>
        <v>57.942234607320927</v>
      </c>
      <c r="L9" s="116">
        <f t="shared" si="5"/>
        <v>0.09</v>
      </c>
      <c r="M9" s="116">
        <v>38.75</v>
      </c>
      <c r="N9" s="93">
        <f t="shared" si="2"/>
        <v>38.840000000000003</v>
      </c>
      <c r="O9" s="101">
        <f t="shared" si="7"/>
        <v>6045</v>
      </c>
      <c r="P9" s="101">
        <f t="shared" si="8"/>
        <v>6059.0400000000009</v>
      </c>
      <c r="Q9" s="41">
        <f t="shared" si="3"/>
        <v>38.840000000000003</v>
      </c>
      <c r="R9" s="97">
        <f t="shared" si="9"/>
        <v>6059.0400000000009</v>
      </c>
      <c r="S9" s="97">
        <f t="shared" si="4"/>
        <v>14.040000000000873</v>
      </c>
      <c r="T9" s="113">
        <f t="shared" si="6"/>
        <v>2.3225806451614428E-3</v>
      </c>
      <c r="U9" s="106"/>
      <c r="V9" s="116"/>
      <c r="Z9" s="116"/>
    </row>
    <row r="10" spans="1:26" s="42" customFormat="1" x14ac:dyDescent="0.25">
      <c r="A10" s="129"/>
      <c r="B10" s="40"/>
      <c r="C10" s="87" t="s">
        <v>100</v>
      </c>
      <c r="D10" s="88">
        <v>3</v>
      </c>
      <c r="E10" s="43">
        <f>+E9</f>
        <v>4.333333333333333</v>
      </c>
      <c r="F10" s="73">
        <f>D10*E10*12*5</f>
        <v>780</v>
      </c>
      <c r="G10" s="83">
        <f>References!$B$14</f>
        <v>34</v>
      </c>
      <c r="H10" s="73">
        <f t="shared" si="0"/>
        <v>26520</v>
      </c>
      <c r="I10" s="74">
        <f t="shared" si="1"/>
        <v>15806.01332792733</v>
      </c>
      <c r="J10" s="116">
        <f>((References!$C$49*I10)*$H$125)+((References!$C$54*I10)*$H$124)</f>
        <v>16.211011542011697</v>
      </c>
      <c r="K10" s="116">
        <f>J10/References!$G$53</f>
        <v>16.714106136727185</v>
      </c>
      <c r="L10" s="116">
        <f t="shared" si="5"/>
        <v>0.09</v>
      </c>
      <c r="M10" s="116">
        <v>46.85</v>
      </c>
      <c r="N10" s="93">
        <f t="shared" si="2"/>
        <v>46.940000000000005</v>
      </c>
      <c r="O10" s="101">
        <f t="shared" si="7"/>
        <v>1686.6000000000001</v>
      </c>
      <c r="P10" s="101">
        <f t="shared" si="8"/>
        <v>1689.8400000000001</v>
      </c>
      <c r="Q10" s="41">
        <f t="shared" si="3"/>
        <v>46.940000000000005</v>
      </c>
      <c r="R10" s="97">
        <f t="shared" si="9"/>
        <v>1689.8400000000001</v>
      </c>
      <c r="S10" s="97">
        <f t="shared" si="4"/>
        <v>3.2400000000000091</v>
      </c>
      <c r="T10" s="113">
        <f t="shared" si="6"/>
        <v>1.9210245464247322E-3</v>
      </c>
      <c r="U10" s="106"/>
      <c r="V10" s="116"/>
      <c r="Z10" s="116"/>
    </row>
    <row r="11" spans="1:26" s="42" customFormat="1" x14ac:dyDescent="0.25">
      <c r="A11" s="129"/>
      <c r="B11" s="40"/>
      <c r="C11" s="87" t="s">
        <v>184</v>
      </c>
      <c r="D11" s="88">
        <v>1E-4</v>
      </c>
      <c r="E11" s="43">
        <f>+E10</f>
        <v>4.333333333333333</v>
      </c>
      <c r="F11" s="73">
        <f>D11*E11*12*6</f>
        <v>3.1199999999999999E-2</v>
      </c>
      <c r="G11" s="83">
        <f>References!$B$14</f>
        <v>34</v>
      </c>
      <c r="H11" s="73">
        <f>G11*F11</f>
        <v>1.0608</v>
      </c>
      <c r="I11" s="74">
        <f t="shared" si="1"/>
        <v>0.63224053311709327</v>
      </c>
      <c r="J11" s="116">
        <f>((References!$C$49*I11)*$H$125)+((References!$C$54*I11)*$H$124)</f>
        <v>6.4844046168046807E-4</v>
      </c>
      <c r="K11" s="116">
        <f>J11/References!$G$53</f>
        <v>6.6856424546908762E-4</v>
      </c>
      <c r="L11" s="116">
        <f t="shared" si="5"/>
        <v>0.09</v>
      </c>
      <c r="M11" s="116">
        <v>54.89</v>
      </c>
      <c r="N11" s="93">
        <f>L11+M11</f>
        <v>54.980000000000004</v>
      </c>
      <c r="O11" s="101">
        <f>D11*M11*12</f>
        <v>6.5867999999999996E-2</v>
      </c>
      <c r="P11" s="101">
        <f>D11*N11*12</f>
        <v>6.5976000000000007E-2</v>
      </c>
      <c r="Q11" s="41">
        <f>N11</f>
        <v>54.980000000000004</v>
      </c>
      <c r="R11" s="97">
        <f>D11*Q11*12</f>
        <v>6.5976000000000007E-2</v>
      </c>
      <c r="S11" s="97">
        <f>R11-O11</f>
        <v>1.0800000000001087E-4</v>
      </c>
      <c r="T11" s="113">
        <f>+N11/M11-1</f>
        <v>1.6396429222080844E-3</v>
      </c>
      <c r="U11" s="106"/>
      <c r="V11" s="116"/>
      <c r="Z11" s="116"/>
    </row>
    <row r="12" spans="1:26" s="42" customFormat="1" x14ac:dyDescent="0.25">
      <c r="A12" s="129"/>
      <c r="B12" s="40"/>
      <c r="C12" s="87" t="s">
        <v>101</v>
      </c>
      <c r="D12" s="88">
        <v>8197</v>
      </c>
      <c r="E12" s="43">
        <f>References!B7</f>
        <v>4.333333333333333</v>
      </c>
      <c r="F12" s="73">
        <f>D12*E12*12</f>
        <v>426243.99999999994</v>
      </c>
      <c r="G12" s="83">
        <f>References!$B$20</f>
        <v>37</v>
      </c>
      <c r="H12" s="73">
        <f t="shared" si="0"/>
        <v>15771027.999999998</v>
      </c>
      <c r="I12" s="74">
        <f t="shared" si="1"/>
        <v>9399588.1886544153</v>
      </c>
      <c r="J12" s="116">
        <f>((References!$C$49*I12)*$H$125)+((References!$C$54*I12)*$H$124)</f>
        <v>9640.4342736572271</v>
      </c>
      <c r="K12" s="116">
        <f>J12/References!$G$53</f>
        <v>9939.6167374546112</v>
      </c>
      <c r="L12" s="116">
        <f t="shared" si="5"/>
        <v>0.1</v>
      </c>
      <c r="M12" s="116">
        <v>15.62</v>
      </c>
      <c r="N12" s="93">
        <f t="shared" si="2"/>
        <v>15.719999999999999</v>
      </c>
      <c r="O12" s="101">
        <f t="shared" si="7"/>
        <v>1536445.68</v>
      </c>
      <c r="P12" s="101">
        <f t="shared" si="8"/>
        <v>1546282.08</v>
      </c>
      <c r="Q12" s="41">
        <f t="shared" si="3"/>
        <v>15.719999999999999</v>
      </c>
      <c r="R12" s="97">
        <f t="shared" si="9"/>
        <v>1546282.08</v>
      </c>
      <c r="S12" s="97">
        <f t="shared" si="4"/>
        <v>9836.4000000001397</v>
      </c>
      <c r="T12" s="113">
        <f t="shared" si="6"/>
        <v>6.4020486555698142E-3</v>
      </c>
      <c r="U12" s="106"/>
      <c r="V12" s="116">
        <v>8.69</v>
      </c>
      <c r="W12" s="42">
        <f>+V12*T12</f>
        <v>5.5633802816901681E-2</v>
      </c>
      <c r="X12" s="106">
        <f>+W12+V12</f>
        <v>8.7456338028169007</v>
      </c>
      <c r="Z12" s="116"/>
    </row>
    <row r="13" spans="1:26" s="42" customFormat="1" x14ac:dyDescent="0.25">
      <c r="A13" s="129"/>
      <c r="B13" s="40"/>
      <c r="C13" s="87" t="s">
        <v>102</v>
      </c>
      <c r="D13" s="88">
        <v>24</v>
      </c>
      <c r="E13" s="43">
        <f>+E12</f>
        <v>4.333333333333333</v>
      </c>
      <c r="F13" s="73">
        <f>D13*E13*12*2</f>
        <v>2496</v>
      </c>
      <c r="G13" s="83">
        <f>References!$B$20</f>
        <v>37</v>
      </c>
      <c r="H13" s="73">
        <f t="shared" si="0"/>
        <v>92352</v>
      </c>
      <c r="I13" s="74">
        <f t="shared" si="1"/>
        <v>55042.117000782237</v>
      </c>
      <c r="J13" s="116">
        <f>((References!$C$49*I13)*$H$125)+((References!$C$54*I13)*$H$124)</f>
        <v>56.452463722770155</v>
      </c>
      <c r="K13" s="116">
        <f>J13/References!$G$53</f>
        <v>58.204416664367621</v>
      </c>
      <c r="L13" s="116">
        <f t="shared" si="5"/>
        <v>0.1</v>
      </c>
      <c r="M13" s="116">
        <f>15.62+8.69</f>
        <v>24.31</v>
      </c>
      <c r="N13" s="93">
        <f t="shared" si="2"/>
        <v>24.41</v>
      </c>
      <c r="O13" s="101">
        <f t="shared" si="7"/>
        <v>7001.2799999999988</v>
      </c>
      <c r="P13" s="101">
        <f t="shared" si="8"/>
        <v>7030.08</v>
      </c>
      <c r="Q13" s="41">
        <f t="shared" si="3"/>
        <v>24.41</v>
      </c>
      <c r="R13" s="97">
        <f t="shared" si="9"/>
        <v>7030.08</v>
      </c>
      <c r="S13" s="97">
        <f t="shared" si="4"/>
        <v>28.800000000001091</v>
      </c>
      <c r="T13" s="113">
        <f t="shared" si="6"/>
        <v>4.1135335252981964E-3</v>
      </c>
      <c r="U13" s="106"/>
      <c r="V13" s="116"/>
      <c r="Z13" s="116"/>
    </row>
    <row r="14" spans="1:26" s="42" customFormat="1" x14ac:dyDescent="0.25">
      <c r="A14" s="129"/>
      <c r="B14" s="40"/>
      <c r="C14" s="87" t="s">
        <v>103</v>
      </c>
      <c r="D14" s="88">
        <v>1</v>
      </c>
      <c r="E14" s="43">
        <f>+E13</f>
        <v>4.333333333333333</v>
      </c>
      <c r="F14" s="73">
        <f>D14*E14*12*3</f>
        <v>156</v>
      </c>
      <c r="G14" s="83">
        <f>References!$B$20</f>
        <v>37</v>
      </c>
      <c r="H14" s="73">
        <f t="shared" si="0"/>
        <v>5772</v>
      </c>
      <c r="I14" s="74">
        <f t="shared" si="1"/>
        <v>3440.1323125488898</v>
      </c>
      <c r="J14" s="116">
        <f>((References!$C$49*I14)*$H$125)+((References!$C$54*I14)*$H$124)</f>
        <v>3.5282789826731347</v>
      </c>
      <c r="K14" s="116">
        <f>J14/References!$G$53</f>
        <v>3.6377760415229763</v>
      </c>
      <c r="L14" s="116">
        <f t="shared" si="5"/>
        <v>0.1</v>
      </c>
      <c r="M14" s="116">
        <f>+M13+8.69</f>
        <v>33</v>
      </c>
      <c r="N14" s="93">
        <f t="shared" si="2"/>
        <v>33.1</v>
      </c>
      <c r="O14" s="101">
        <f t="shared" si="7"/>
        <v>396</v>
      </c>
      <c r="P14" s="101">
        <f t="shared" si="8"/>
        <v>397.20000000000005</v>
      </c>
      <c r="Q14" s="41">
        <f t="shared" si="3"/>
        <v>33.1</v>
      </c>
      <c r="R14" s="97">
        <f t="shared" si="9"/>
        <v>397.20000000000005</v>
      </c>
      <c r="S14" s="97">
        <f t="shared" si="4"/>
        <v>1.2000000000000455</v>
      </c>
      <c r="T14" s="113">
        <f t="shared" si="6"/>
        <v>3.0303030303031608E-3</v>
      </c>
      <c r="U14" s="106"/>
      <c r="V14" s="116"/>
      <c r="Z14" s="116"/>
    </row>
    <row r="15" spans="1:26" s="42" customFormat="1" x14ac:dyDescent="0.25">
      <c r="A15" s="129"/>
      <c r="B15" s="40"/>
      <c r="C15" s="87" t="s">
        <v>104</v>
      </c>
      <c r="D15" s="88">
        <v>2</v>
      </c>
      <c r="E15" s="43">
        <f>+E14</f>
        <v>4.333333333333333</v>
      </c>
      <c r="F15" s="73">
        <f>D15*E15*12*4</f>
        <v>416</v>
      </c>
      <c r="G15" s="83">
        <f>References!$B$20</f>
        <v>37</v>
      </c>
      <c r="H15" s="73">
        <f t="shared" si="0"/>
        <v>15392</v>
      </c>
      <c r="I15" s="74">
        <f t="shared" si="1"/>
        <v>9173.6861667970388</v>
      </c>
      <c r="J15" s="116">
        <f>((References!$C$49*I15)*$H$125)+((References!$C$54*I15)*$H$124)</f>
        <v>9.4087439537950246</v>
      </c>
      <c r="K15" s="116">
        <f>J15/References!$G$53</f>
        <v>9.7007361107279362</v>
      </c>
      <c r="L15" s="116">
        <f t="shared" si="5"/>
        <v>0.1</v>
      </c>
      <c r="M15" s="116">
        <f>+M14+8.69</f>
        <v>41.69</v>
      </c>
      <c r="N15" s="93">
        <f t="shared" si="2"/>
        <v>41.79</v>
      </c>
      <c r="O15" s="101">
        <f t="shared" si="7"/>
        <v>1000.56</v>
      </c>
      <c r="P15" s="101">
        <f t="shared" si="8"/>
        <v>1002.96</v>
      </c>
      <c r="Q15" s="41">
        <f t="shared" si="3"/>
        <v>41.79</v>
      </c>
      <c r="R15" s="97">
        <f t="shared" si="9"/>
        <v>1002.96</v>
      </c>
      <c r="S15" s="97">
        <f t="shared" si="4"/>
        <v>2.4000000000000909</v>
      </c>
      <c r="T15" s="113">
        <f t="shared" si="6"/>
        <v>2.3986567522187308E-3</v>
      </c>
      <c r="U15" s="106"/>
      <c r="V15" s="116"/>
      <c r="Z15" s="116"/>
    </row>
    <row r="16" spans="1:26" s="42" customFormat="1" x14ac:dyDescent="0.25">
      <c r="A16" s="129"/>
      <c r="B16" s="40"/>
      <c r="C16" s="87" t="s">
        <v>105</v>
      </c>
      <c r="D16" s="88">
        <v>7933</v>
      </c>
      <c r="E16" s="43">
        <f>References!B7</f>
        <v>4.333333333333333</v>
      </c>
      <c r="F16" s="73">
        <f>D16*E16*12</f>
        <v>412515.99999999994</v>
      </c>
      <c r="G16" s="84">
        <f>References!$B$21</f>
        <v>47</v>
      </c>
      <c r="H16" s="73">
        <f t="shared" si="0"/>
        <v>19388251.999999996</v>
      </c>
      <c r="I16" s="74">
        <f t="shared" si="1"/>
        <v>11555466.42221771</v>
      </c>
      <c r="J16" s="116">
        <f>((References!$C$49*I16)*$H$125)+((References!$C$54*I16)*$H$124)</f>
        <v>11851.552675393339</v>
      </c>
      <c r="K16" s="116">
        <f>J16/References!$G$53</f>
        <v>12219.355268989937</v>
      </c>
      <c r="L16" s="116">
        <f t="shared" si="5"/>
        <v>0.13</v>
      </c>
      <c r="M16" s="116">
        <v>23.45</v>
      </c>
      <c r="N16" s="93">
        <f t="shared" si="2"/>
        <v>23.58</v>
      </c>
      <c r="O16" s="101">
        <f t="shared" si="7"/>
        <v>2232346.2000000002</v>
      </c>
      <c r="P16" s="101">
        <f t="shared" si="8"/>
        <v>2244721.6799999997</v>
      </c>
      <c r="Q16" s="41">
        <f t="shared" si="3"/>
        <v>23.58</v>
      </c>
      <c r="R16" s="97">
        <f t="shared" si="9"/>
        <v>2244721.6799999997</v>
      </c>
      <c r="S16" s="97">
        <f t="shared" si="4"/>
        <v>12375.479999999516</v>
      </c>
      <c r="T16" s="113">
        <f t="shared" si="6"/>
        <v>5.5437100213218127E-3</v>
      </c>
      <c r="U16" s="106"/>
      <c r="V16" s="116"/>
      <c r="Z16" s="116"/>
    </row>
    <row r="17" spans="1:26" s="42" customFormat="1" x14ac:dyDescent="0.25">
      <c r="A17" s="129"/>
      <c r="B17" s="40"/>
      <c r="C17" s="87" t="s">
        <v>106</v>
      </c>
      <c r="D17" s="88">
        <v>59</v>
      </c>
      <c r="E17" s="43">
        <f>+E16</f>
        <v>4.333333333333333</v>
      </c>
      <c r="F17" s="73">
        <f>D17*E17*12*2</f>
        <v>6136</v>
      </c>
      <c r="G17" s="84">
        <f>References!$B$21</f>
        <v>47</v>
      </c>
      <c r="H17" s="73">
        <f t="shared" si="0"/>
        <v>288392</v>
      </c>
      <c r="I17" s="74">
        <f t="shared" si="1"/>
        <v>171882.64689546076</v>
      </c>
      <c r="J17" s="116">
        <f>((References!$C$49*I17)*$H$125)+((References!$C$54*I17)*$H$124)</f>
        <v>176.28680394509195</v>
      </c>
      <c r="K17" s="116">
        <f>J17/References!$G$53</f>
        <v>181.75771104762546</v>
      </c>
      <c r="L17" s="116">
        <f t="shared" si="5"/>
        <v>0.13</v>
      </c>
      <c r="M17" s="116">
        <f>+M16+12.94</f>
        <v>36.39</v>
      </c>
      <c r="N17" s="93">
        <f t="shared" si="2"/>
        <v>36.520000000000003</v>
      </c>
      <c r="O17" s="101">
        <f t="shared" si="7"/>
        <v>25764.120000000003</v>
      </c>
      <c r="P17" s="101">
        <f t="shared" si="8"/>
        <v>25856.160000000003</v>
      </c>
      <c r="Q17" s="41">
        <f t="shared" si="3"/>
        <v>36.520000000000003</v>
      </c>
      <c r="R17" s="97">
        <f t="shared" si="9"/>
        <v>25856.160000000003</v>
      </c>
      <c r="S17" s="97">
        <f t="shared" si="4"/>
        <v>92.040000000000873</v>
      </c>
      <c r="T17" s="113">
        <f t="shared" si="6"/>
        <v>3.5724100027481054E-3</v>
      </c>
      <c r="U17" s="106"/>
      <c r="V17" s="116">
        <f>+N17-N16</f>
        <v>12.940000000000005</v>
      </c>
      <c r="W17" s="42">
        <f>+V17*T17</f>
        <v>4.6226985435560503E-2</v>
      </c>
      <c r="X17" s="106">
        <f>+W17+V17</f>
        <v>12.986226985435565</v>
      </c>
      <c r="Z17" s="116"/>
    </row>
    <row r="18" spans="1:26" s="42" customFormat="1" x14ac:dyDescent="0.25">
      <c r="A18" s="129"/>
      <c r="B18" s="40"/>
      <c r="C18" s="87" t="s">
        <v>107</v>
      </c>
      <c r="D18" s="88">
        <v>4</v>
      </c>
      <c r="E18" s="43">
        <f>+E17</f>
        <v>4.333333333333333</v>
      </c>
      <c r="F18" s="73">
        <f>D18*E18*12*3</f>
        <v>624</v>
      </c>
      <c r="G18" s="84">
        <f>References!$B$21</f>
        <v>47</v>
      </c>
      <c r="H18" s="73">
        <f t="shared" si="0"/>
        <v>29328</v>
      </c>
      <c r="I18" s="74">
        <f t="shared" si="1"/>
        <v>17479.591209707873</v>
      </c>
      <c r="J18" s="116">
        <f>((References!$C$49*I18)*$H$125)+((References!$C$54*I18)*$H$124)</f>
        <v>17.927471587636465</v>
      </c>
      <c r="K18" s="116">
        <f>J18/References!$G$53</f>
        <v>18.483835021792416</v>
      </c>
      <c r="L18" s="116">
        <f t="shared" si="5"/>
        <v>0.13</v>
      </c>
      <c r="M18" s="116">
        <f>+M17+12.94</f>
        <v>49.33</v>
      </c>
      <c r="N18" s="93">
        <f t="shared" si="2"/>
        <v>49.46</v>
      </c>
      <c r="O18" s="101">
        <f t="shared" si="7"/>
        <v>2367.84</v>
      </c>
      <c r="P18" s="101">
        <f t="shared" si="8"/>
        <v>2374.08</v>
      </c>
      <c r="Q18" s="41">
        <f t="shared" si="3"/>
        <v>49.46</v>
      </c>
      <c r="R18" s="97">
        <f t="shared" si="9"/>
        <v>2374.08</v>
      </c>
      <c r="S18" s="97">
        <f t="shared" si="4"/>
        <v>6.2399999999997817</v>
      </c>
      <c r="T18" s="113">
        <f t="shared" si="6"/>
        <v>2.6353131968377408E-3</v>
      </c>
      <c r="U18" s="106"/>
      <c r="V18" s="116">
        <f>+N18-N17</f>
        <v>12.939999999999998</v>
      </c>
      <c r="Z18" s="116"/>
    </row>
    <row r="19" spans="1:26" s="42" customFormat="1" x14ac:dyDescent="0.25">
      <c r="A19" s="129"/>
      <c r="B19" s="40"/>
      <c r="C19" s="87" t="s">
        <v>108</v>
      </c>
      <c r="D19" s="88">
        <v>2045</v>
      </c>
      <c r="E19" s="43">
        <f>References!B7</f>
        <v>4.333333333333333</v>
      </c>
      <c r="F19" s="73">
        <f>D19*E19*12</f>
        <v>106340</v>
      </c>
      <c r="G19" s="84">
        <f>References!$B$22</f>
        <v>68</v>
      </c>
      <c r="H19" s="73">
        <f t="shared" si="0"/>
        <v>7231120</v>
      </c>
      <c r="I19" s="74">
        <f t="shared" si="1"/>
        <v>4309772.9674148522</v>
      </c>
      <c r="J19" s="116">
        <f>((References!$C$49*I19)*$H$125)+((References!$C$54*I19)*$H$124)</f>
        <v>4420.2024804551893</v>
      </c>
      <c r="K19" s="116">
        <f>J19/References!$G$53</f>
        <v>4557.3796066142795</v>
      </c>
      <c r="L19" s="116">
        <f t="shared" si="5"/>
        <v>0.19</v>
      </c>
      <c r="M19" s="116">
        <v>31.43</v>
      </c>
      <c r="N19" s="93">
        <f t="shared" si="2"/>
        <v>31.62</v>
      </c>
      <c r="O19" s="101">
        <f t="shared" si="7"/>
        <v>771292.2</v>
      </c>
      <c r="P19" s="101">
        <f t="shared" si="8"/>
        <v>775954.8</v>
      </c>
      <c r="Q19" s="41">
        <f t="shared" si="3"/>
        <v>31.62</v>
      </c>
      <c r="R19" s="97">
        <f t="shared" si="9"/>
        <v>775954.8</v>
      </c>
      <c r="S19" s="97">
        <f t="shared" si="4"/>
        <v>4662.6000000000931</v>
      </c>
      <c r="T19" s="113">
        <f t="shared" si="6"/>
        <v>6.0451797645562078E-3</v>
      </c>
      <c r="U19" s="106"/>
      <c r="V19" s="116"/>
      <c r="Z19" s="116"/>
    </row>
    <row r="20" spans="1:26" s="42" customFormat="1" x14ac:dyDescent="0.25">
      <c r="A20" s="129"/>
      <c r="B20" s="40"/>
      <c r="C20" s="87" t="s">
        <v>109</v>
      </c>
      <c r="D20" s="88">
        <v>53</v>
      </c>
      <c r="E20" s="43">
        <f>+E19</f>
        <v>4.333333333333333</v>
      </c>
      <c r="F20" s="73">
        <f>D20*E20*12*2</f>
        <v>5512</v>
      </c>
      <c r="G20" s="84">
        <f>References!$B$22</f>
        <v>68</v>
      </c>
      <c r="H20" s="73">
        <f t="shared" si="0"/>
        <v>374816</v>
      </c>
      <c r="I20" s="74">
        <f t="shared" si="1"/>
        <v>223391.65503470629</v>
      </c>
      <c r="J20" s="116">
        <f>((References!$C$49*I20)*$H$125)+((References!$C$54*I20)*$H$124)</f>
        <v>229.11562979376532</v>
      </c>
      <c r="K20" s="116">
        <f>J20/References!$G$53</f>
        <v>236.22603339907755</v>
      </c>
      <c r="L20" s="116">
        <f t="shared" si="5"/>
        <v>0.19</v>
      </c>
      <c r="M20" s="116">
        <f>+M19+17.36</f>
        <v>48.79</v>
      </c>
      <c r="N20" s="93">
        <f t="shared" si="2"/>
        <v>48.98</v>
      </c>
      <c r="O20" s="101">
        <f t="shared" si="7"/>
        <v>31030.44</v>
      </c>
      <c r="P20" s="101">
        <f t="shared" si="8"/>
        <v>31151.279999999999</v>
      </c>
      <c r="Q20" s="41">
        <f t="shared" si="3"/>
        <v>48.98</v>
      </c>
      <c r="R20" s="97">
        <f t="shared" si="9"/>
        <v>31151.279999999999</v>
      </c>
      <c r="S20" s="97">
        <f t="shared" si="4"/>
        <v>120.84000000000015</v>
      </c>
      <c r="T20" s="113">
        <f t="shared" si="6"/>
        <v>3.8942406230784155E-3</v>
      </c>
      <c r="U20" s="106"/>
      <c r="V20" s="116">
        <f>+N20-N19</f>
        <v>17.359999999999996</v>
      </c>
      <c r="W20" s="42">
        <f>+V20*T20</f>
        <v>6.7604017216641277E-2</v>
      </c>
      <c r="X20" s="106">
        <f>+W20+V20</f>
        <v>17.427604017216638</v>
      </c>
      <c r="Z20" s="116"/>
    </row>
    <row r="21" spans="1:26" s="42" customFormat="1" x14ac:dyDescent="0.25">
      <c r="A21" s="129"/>
      <c r="B21" s="40"/>
      <c r="C21" s="87" t="s">
        <v>35</v>
      </c>
      <c r="D21" s="88"/>
      <c r="E21" s="43">
        <v>1</v>
      </c>
      <c r="F21" s="73">
        <v>2942</v>
      </c>
      <c r="G21" s="84">
        <f>References!B24</f>
        <v>34</v>
      </c>
      <c r="H21" s="73">
        <f t="shared" si="0"/>
        <v>100028</v>
      </c>
      <c r="I21" s="74">
        <f t="shared" si="1"/>
        <v>59617.040013797705</v>
      </c>
      <c r="J21" s="116">
        <f>((References!$C$49*I21)*$H$125)+((References!$C$54*I21)*$H$124)</f>
        <v>61.144610200767204</v>
      </c>
      <c r="K21" s="116">
        <f>J21/References!$G$53</f>
        <v>63.042179813142802</v>
      </c>
      <c r="L21" s="116">
        <f t="shared" si="5"/>
        <v>0.02</v>
      </c>
      <c r="M21" s="116">
        <v>3.94</v>
      </c>
      <c r="N21" s="93">
        <f t="shared" si="2"/>
        <v>3.96</v>
      </c>
      <c r="O21" s="101">
        <f>F21*M21</f>
        <v>11591.48</v>
      </c>
      <c r="P21" s="101">
        <f>F21*N21</f>
        <v>11650.32</v>
      </c>
      <c r="Q21" s="41">
        <f t="shared" si="3"/>
        <v>3.96</v>
      </c>
      <c r="R21" s="97">
        <f>F21*Q21</f>
        <v>11650.32</v>
      </c>
      <c r="S21" s="97">
        <f t="shared" si="4"/>
        <v>58.840000000000146</v>
      </c>
      <c r="T21" s="113">
        <f t="shared" si="6"/>
        <v>5.0761421319795996E-3</v>
      </c>
      <c r="U21" s="106"/>
      <c r="V21" s="116"/>
      <c r="Z21" s="116"/>
    </row>
    <row r="22" spans="1:26" s="42" customFormat="1" x14ac:dyDescent="0.25">
      <c r="A22" s="129"/>
      <c r="B22" s="40"/>
      <c r="C22" s="1"/>
      <c r="D22" s="73"/>
      <c r="E22" s="43"/>
      <c r="F22" s="73"/>
      <c r="G22" s="83"/>
      <c r="H22" s="73"/>
      <c r="I22" s="74"/>
      <c r="J22" s="116"/>
      <c r="K22" s="116"/>
      <c r="L22" s="116"/>
      <c r="M22" s="116"/>
      <c r="N22" s="116"/>
      <c r="O22" s="101"/>
      <c r="P22" s="101"/>
      <c r="Q22" s="41"/>
      <c r="R22" s="97"/>
      <c r="S22" s="97"/>
      <c r="T22" s="113"/>
      <c r="U22" s="106"/>
      <c r="V22" s="116"/>
      <c r="Z22" s="116"/>
    </row>
    <row r="23" spans="1:26" s="42" customFormat="1" x14ac:dyDescent="0.25">
      <c r="A23" s="46"/>
      <c r="B23" s="47"/>
      <c r="C23" s="48" t="s">
        <v>0</v>
      </c>
      <c r="D23" s="49">
        <f>SUM(D2:D22)</f>
        <v>25116.000100000001</v>
      </c>
      <c r="E23" s="50"/>
      <c r="F23" s="51">
        <f>SUM(F2:F22)</f>
        <v>1376366.0311999999</v>
      </c>
      <c r="G23" s="85"/>
      <c r="H23" s="52">
        <f>SUM(H2:H22)</f>
        <v>56420205.060799994</v>
      </c>
      <c r="I23" s="53">
        <f>SUM(I2:I22)</f>
        <v>33626640.767548934</v>
      </c>
      <c r="J23" s="54"/>
      <c r="K23" s="54"/>
      <c r="L23" s="54"/>
      <c r="M23" s="54"/>
      <c r="N23" s="54"/>
      <c r="O23" s="98">
        <f>SUM(O2:O22)</f>
        <v>6410097.8658680012</v>
      </c>
      <c r="P23" s="98">
        <f>SUM(P2:P22)</f>
        <v>6446048.9059760002</v>
      </c>
      <c r="Q23" s="55"/>
      <c r="R23" s="98">
        <f>SUM(R2:R22)</f>
        <v>6446048.9059760002</v>
      </c>
      <c r="S23" s="98">
        <f>SUM(S2:S22)</f>
        <v>35951.040107999812</v>
      </c>
      <c r="T23" s="113">
        <f>+S23/O23</f>
        <v>5.608500971479571E-3</v>
      </c>
      <c r="U23" s="106"/>
      <c r="V23" s="116"/>
      <c r="Z23" s="116"/>
    </row>
    <row r="24" spans="1:26" s="42" customFormat="1" ht="15" customHeight="1" x14ac:dyDescent="0.25">
      <c r="A24" s="130" t="s">
        <v>85</v>
      </c>
      <c r="B24" s="40"/>
      <c r="C24" s="89" t="s">
        <v>110</v>
      </c>
      <c r="D24" s="73">
        <v>4</v>
      </c>
      <c r="E24" s="72">
        <v>1</v>
      </c>
      <c r="F24" s="57">
        <f>E24*52</f>
        <v>52</v>
      </c>
      <c r="G24" s="84">
        <f>References!$B$26</f>
        <v>29</v>
      </c>
      <c r="H24" s="45">
        <f>F24*G24</f>
        <v>1508</v>
      </c>
      <c r="I24" s="74">
        <f t="shared" ref="I24:I55" si="10">$D$122*H24</f>
        <v>898.77330688214238</v>
      </c>
      <c r="J24" s="116">
        <f>ROUND(((References!$C$49*I24)*$H$125)+((References!$C$54*I24)*$H$124),2)</f>
        <v>0.92</v>
      </c>
      <c r="K24" s="116">
        <f>J24/References!$G$53</f>
        <v>0.94855139705124247</v>
      </c>
      <c r="L24" s="116">
        <f>ROUND((K24/F24),2)</f>
        <v>0.02</v>
      </c>
      <c r="M24" s="116">
        <v>3.76</v>
      </c>
      <c r="N24" s="93">
        <f t="shared" ref="N24:N85" si="11">L24+M24</f>
        <v>3.78</v>
      </c>
      <c r="O24" s="101">
        <f t="shared" ref="O24:O85" si="12">F24*M24</f>
        <v>195.51999999999998</v>
      </c>
      <c r="P24" s="101">
        <f t="shared" ref="P24:P85" si="13">F24*N24</f>
        <v>196.56</v>
      </c>
      <c r="Q24" s="41">
        <f t="shared" ref="Q24:Q85" si="14">N24</f>
        <v>3.78</v>
      </c>
      <c r="R24" s="97">
        <f t="shared" ref="R24:R85" si="15">F24*Q24</f>
        <v>196.56</v>
      </c>
      <c r="S24" s="97">
        <f t="shared" ref="S24:S85" si="16">R24-O24</f>
        <v>1.0400000000000205</v>
      </c>
      <c r="U24" s="106"/>
      <c r="V24" s="116"/>
      <c r="Z24" s="116"/>
    </row>
    <row r="25" spans="1:26" s="42" customFormat="1" x14ac:dyDescent="0.25">
      <c r="A25" s="129"/>
      <c r="B25" s="40"/>
      <c r="C25" s="89" t="s">
        <v>111</v>
      </c>
      <c r="D25" s="73">
        <v>12</v>
      </c>
      <c r="E25" s="72">
        <v>1</v>
      </c>
      <c r="F25" s="57">
        <f>D25*E25*52*2</f>
        <v>1248</v>
      </c>
      <c r="G25" s="84">
        <f>References!$B$26</f>
        <v>29</v>
      </c>
      <c r="H25" s="45">
        <f t="shared" ref="H25:H89" si="17">F25*G25</f>
        <v>36192</v>
      </c>
      <c r="I25" s="74">
        <f t="shared" si="10"/>
        <v>21570.559365171415</v>
      </c>
      <c r="J25" s="116">
        <f>ROUND(((References!$C$49*I25)*$H$125)+((References!$C$54*I25)*$H$124),2)</f>
        <v>22.12</v>
      </c>
      <c r="K25" s="116">
        <f>ROUND(J25/References!$G$53,2)</f>
        <v>22.81</v>
      </c>
      <c r="L25" s="116">
        <f t="shared" ref="L25:L88" si="18">ROUND((K25/F25),2)</f>
        <v>0.02</v>
      </c>
      <c r="M25" s="116">
        <v>3.76</v>
      </c>
      <c r="N25" s="93">
        <f t="shared" si="11"/>
        <v>3.78</v>
      </c>
      <c r="O25" s="101">
        <f t="shared" si="12"/>
        <v>4692.4799999999996</v>
      </c>
      <c r="P25" s="101">
        <f t="shared" si="13"/>
        <v>4717.4399999999996</v>
      </c>
      <c r="Q25" s="41">
        <f t="shared" si="14"/>
        <v>3.78</v>
      </c>
      <c r="R25" s="97">
        <f t="shared" si="15"/>
        <v>4717.4399999999996</v>
      </c>
      <c r="S25" s="97">
        <f t="shared" si="16"/>
        <v>24.960000000000036</v>
      </c>
      <c r="T25" s="113">
        <f>+N25/M25-1</f>
        <v>5.3191489361701372E-3</v>
      </c>
      <c r="U25" s="106"/>
      <c r="V25" s="116">
        <v>22.48</v>
      </c>
      <c r="W25" s="42">
        <f>+V25*T25</f>
        <v>0.11957446808510469</v>
      </c>
      <c r="X25" s="106">
        <f>+W25+V25</f>
        <v>22.599574468085105</v>
      </c>
      <c r="Z25" s="116"/>
    </row>
    <row r="26" spans="1:26" s="42" customFormat="1" x14ac:dyDescent="0.25">
      <c r="A26" s="129"/>
      <c r="B26" s="40"/>
      <c r="C26" s="89" t="s">
        <v>112</v>
      </c>
      <c r="D26" s="73">
        <v>3</v>
      </c>
      <c r="E26" s="72">
        <v>1</v>
      </c>
      <c r="F26" s="57">
        <f>D26*E26*52*3</f>
        <v>468</v>
      </c>
      <c r="G26" s="84">
        <f>References!$B$26</f>
        <v>29</v>
      </c>
      <c r="H26" s="45">
        <f t="shared" si="17"/>
        <v>13572</v>
      </c>
      <c r="I26" s="74">
        <f t="shared" si="10"/>
        <v>8088.9597619392807</v>
      </c>
      <c r="J26" s="116">
        <f>ROUND(((References!$C$49*I26)*$H$125)+((References!$C$54*I26)*$H$124),2)</f>
        <v>8.3000000000000007</v>
      </c>
      <c r="K26" s="116">
        <f>ROUND(J26/References!$G$53,2)</f>
        <v>8.56</v>
      </c>
      <c r="L26" s="116">
        <f t="shared" si="18"/>
        <v>0.02</v>
      </c>
      <c r="M26" s="116">
        <v>3.76</v>
      </c>
      <c r="N26" s="93">
        <f t="shared" si="11"/>
        <v>3.78</v>
      </c>
      <c r="O26" s="101">
        <f t="shared" si="12"/>
        <v>1759.6799999999998</v>
      </c>
      <c r="P26" s="101">
        <f t="shared" si="13"/>
        <v>1769.04</v>
      </c>
      <c r="Q26" s="41">
        <f t="shared" si="14"/>
        <v>3.78</v>
      </c>
      <c r="R26" s="97">
        <f t="shared" si="15"/>
        <v>1769.04</v>
      </c>
      <c r="S26" s="97">
        <f t="shared" si="16"/>
        <v>9.3600000000001273</v>
      </c>
      <c r="T26" s="113">
        <f>+N26/M26-1</f>
        <v>5.3191489361701372E-3</v>
      </c>
      <c r="U26" s="106"/>
      <c r="V26" s="116"/>
      <c r="Z26" s="116"/>
    </row>
    <row r="27" spans="1:26" s="42" customFormat="1" x14ac:dyDescent="0.25">
      <c r="A27" s="129"/>
      <c r="B27" s="40"/>
      <c r="C27" s="89" t="s">
        <v>113</v>
      </c>
      <c r="D27" s="73">
        <v>8</v>
      </c>
      <c r="E27" s="72">
        <v>1</v>
      </c>
      <c r="F27" s="57">
        <f>D27*E27*52*4</f>
        <v>1664</v>
      </c>
      <c r="G27" s="84">
        <f>References!$B$26</f>
        <v>29</v>
      </c>
      <c r="H27" s="45">
        <f t="shared" si="17"/>
        <v>48256</v>
      </c>
      <c r="I27" s="74">
        <f t="shared" si="10"/>
        <v>28760.745820228556</v>
      </c>
      <c r="J27" s="116">
        <f>ROUND(((References!$C$49*I27)*$H$125)+((References!$C$54*I27)*$H$124),2)</f>
        <v>29.5</v>
      </c>
      <c r="K27" s="116">
        <f>ROUND(J27/References!$G$53,2)</f>
        <v>30.42</v>
      </c>
      <c r="L27" s="116">
        <f t="shared" si="18"/>
        <v>0.02</v>
      </c>
      <c r="M27" s="116">
        <v>3.76</v>
      </c>
      <c r="N27" s="93">
        <f t="shared" si="11"/>
        <v>3.78</v>
      </c>
      <c r="O27" s="101">
        <f t="shared" si="12"/>
        <v>6256.6399999999994</v>
      </c>
      <c r="P27" s="101">
        <f t="shared" si="13"/>
        <v>6289.92</v>
      </c>
      <c r="Q27" s="41">
        <f t="shared" si="14"/>
        <v>3.78</v>
      </c>
      <c r="R27" s="97">
        <f t="shared" si="15"/>
        <v>6289.92</v>
      </c>
      <c r="S27" s="97">
        <f t="shared" si="16"/>
        <v>33.280000000000655</v>
      </c>
      <c r="T27" s="113">
        <f t="shared" ref="T27:T89" si="19">+N27/M27-1</f>
        <v>5.3191489361701372E-3</v>
      </c>
      <c r="U27" s="106"/>
      <c r="V27" s="116"/>
      <c r="Z27" s="116"/>
    </row>
    <row r="28" spans="1:26" s="42" customFormat="1" x14ac:dyDescent="0.25">
      <c r="A28" s="129"/>
      <c r="B28" s="40"/>
      <c r="C28" s="89" t="s">
        <v>114</v>
      </c>
      <c r="D28" s="73">
        <v>5</v>
      </c>
      <c r="E28" s="72">
        <v>1</v>
      </c>
      <c r="F28" s="57">
        <f>D28*E28*52*5</f>
        <v>1300</v>
      </c>
      <c r="G28" s="84">
        <f>References!$B$26</f>
        <v>29</v>
      </c>
      <c r="H28" s="45">
        <f t="shared" si="17"/>
        <v>37700</v>
      </c>
      <c r="I28" s="74">
        <f t="shared" si="10"/>
        <v>22469.332672053559</v>
      </c>
      <c r="J28" s="116">
        <f>ROUND(((References!$C$49*I28)*$H$125)+((References!$C$54*I28)*$H$124),2)</f>
        <v>23.05</v>
      </c>
      <c r="K28" s="116">
        <f>ROUND(J28/References!$G$53,2)</f>
        <v>23.77</v>
      </c>
      <c r="L28" s="116">
        <f t="shared" si="18"/>
        <v>0.02</v>
      </c>
      <c r="M28" s="116">
        <v>3.76</v>
      </c>
      <c r="N28" s="93">
        <f t="shared" si="11"/>
        <v>3.78</v>
      </c>
      <c r="O28" s="101">
        <f t="shared" si="12"/>
        <v>4888</v>
      </c>
      <c r="P28" s="101">
        <f t="shared" si="13"/>
        <v>4914</v>
      </c>
      <c r="Q28" s="41">
        <f t="shared" si="14"/>
        <v>3.78</v>
      </c>
      <c r="R28" s="97">
        <f t="shared" si="15"/>
        <v>4914</v>
      </c>
      <c r="S28" s="97">
        <f t="shared" si="16"/>
        <v>26</v>
      </c>
      <c r="T28" s="113">
        <f t="shared" si="19"/>
        <v>5.3191489361701372E-3</v>
      </c>
      <c r="U28" s="106"/>
      <c r="V28" s="116"/>
      <c r="Z28" s="116"/>
    </row>
    <row r="29" spans="1:26" s="42" customFormat="1" x14ac:dyDescent="0.25">
      <c r="A29" s="129"/>
      <c r="B29" s="40"/>
      <c r="C29" s="90" t="s">
        <v>115</v>
      </c>
      <c r="D29" s="73">
        <v>28</v>
      </c>
      <c r="E29" s="72">
        <v>1</v>
      </c>
      <c r="F29" s="57">
        <f>D29*E29*52*28</f>
        <v>40768</v>
      </c>
      <c r="G29" s="84">
        <f>References!$B$26</f>
        <v>29</v>
      </c>
      <c r="H29" s="45">
        <f t="shared" si="17"/>
        <v>1182272</v>
      </c>
      <c r="I29" s="74">
        <f t="shared" si="10"/>
        <v>704638.27259559964</v>
      </c>
      <c r="J29" s="116">
        <f>ROUND(((References!$C$49*I29)*$H$125)+((References!$C$54*I29)*$H$124),2)</f>
        <v>722.69</v>
      </c>
      <c r="K29" s="116">
        <f>ROUND(J29/References!$G$53,2)</f>
        <v>745.12</v>
      </c>
      <c r="L29" s="116">
        <f t="shared" si="18"/>
        <v>0.02</v>
      </c>
      <c r="M29" s="116">
        <v>3.76</v>
      </c>
      <c r="N29" s="93">
        <f t="shared" si="11"/>
        <v>3.78</v>
      </c>
      <c r="O29" s="101">
        <f t="shared" si="12"/>
        <v>153287.67999999999</v>
      </c>
      <c r="P29" s="101">
        <f t="shared" si="13"/>
        <v>154103.03999999998</v>
      </c>
      <c r="Q29" s="41">
        <f t="shared" si="14"/>
        <v>3.78</v>
      </c>
      <c r="R29" s="97">
        <f t="shared" si="15"/>
        <v>154103.03999999998</v>
      </c>
      <c r="S29" s="97">
        <f t="shared" si="16"/>
        <v>815.35999999998603</v>
      </c>
      <c r="T29" s="113">
        <f t="shared" si="19"/>
        <v>5.3191489361701372E-3</v>
      </c>
      <c r="U29" s="106"/>
      <c r="V29" s="116"/>
      <c r="Z29" s="116"/>
    </row>
    <row r="30" spans="1:26" s="42" customFormat="1" x14ac:dyDescent="0.25">
      <c r="A30" s="129"/>
      <c r="B30" s="40"/>
      <c r="C30" s="90" t="s">
        <v>116</v>
      </c>
      <c r="D30" s="73">
        <v>18</v>
      </c>
      <c r="E30" s="72">
        <v>1</v>
      </c>
      <c r="F30" s="79">
        <f t="shared" ref="F30:F37" si="20">D30*E30*52</f>
        <v>936</v>
      </c>
      <c r="G30" s="84">
        <v>37</v>
      </c>
      <c r="H30" s="45">
        <f t="shared" si="17"/>
        <v>34632</v>
      </c>
      <c r="I30" s="74">
        <f t="shared" si="10"/>
        <v>20640.793875293337</v>
      </c>
      <c r="J30" s="116">
        <f>ROUND(((References!$C$49*I30)*$H$125)+((References!$C$54*I30)*$H$124),2)</f>
        <v>21.17</v>
      </c>
      <c r="K30" s="116">
        <f>ROUND(J30/References!$G$53,2)</f>
        <v>21.83</v>
      </c>
      <c r="L30" s="116">
        <f t="shared" si="18"/>
        <v>0.02</v>
      </c>
      <c r="M30" s="116">
        <v>3.97</v>
      </c>
      <c r="N30" s="93">
        <f t="shared" si="11"/>
        <v>3.99</v>
      </c>
      <c r="O30" s="101">
        <f t="shared" si="12"/>
        <v>3715.92</v>
      </c>
      <c r="P30" s="101">
        <f t="shared" si="13"/>
        <v>3734.6400000000003</v>
      </c>
      <c r="Q30" s="41">
        <f t="shared" si="14"/>
        <v>3.99</v>
      </c>
      <c r="R30" s="97">
        <f t="shared" si="15"/>
        <v>3734.6400000000003</v>
      </c>
      <c r="S30" s="97">
        <f t="shared" si="16"/>
        <v>18.720000000000255</v>
      </c>
      <c r="T30" s="113">
        <f t="shared" si="19"/>
        <v>5.0377833753147971E-3</v>
      </c>
      <c r="U30" s="106"/>
      <c r="V30" s="116"/>
      <c r="Z30" s="116"/>
    </row>
    <row r="31" spans="1:26" s="42" customFormat="1" x14ac:dyDescent="0.25">
      <c r="A31" s="129"/>
      <c r="B31" s="40"/>
      <c r="C31" s="90" t="s">
        <v>117</v>
      </c>
      <c r="D31" s="73">
        <v>4</v>
      </c>
      <c r="E31" s="72">
        <v>1</v>
      </c>
      <c r="F31" s="57">
        <f>D31*E31*52*2</f>
        <v>416</v>
      </c>
      <c r="G31" s="84">
        <f>References!B20</f>
        <v>37</v>
      </c>
      <c r="H31" s="45">
        <f t="shared" si="17"/>
        <v>15392</v>
      </c>
      <c r="I31" s="74">
        <f t="shared" si="10"/>
        <v>9173.6861667970388</v>
      </c>
      <c r="J31" s="116">
        <f>ROUND(((References!$C$49*I31)*$H$125)+((References!$C$54*I31)*$H$124),2)</f>
        <v>9.41</v>
      </c>
      <c r="K31" s="116">
        <f>ROUND(J31/References!$G$53,2)</f>
        <v>9.6999999999999993</v>
      </c>
      <c r="L31" s="116">
        <f t="shared" si="18"/>
        <v>0.02</v>
      </c>
      <c r="M31" s="116">
        <v>3.97</v>
      </c>
      <c r="N31" s="93">
        <f t="shared" si="11"/>
        <v>3.99</v>
      </c>
      <c r="O31" s="101">
        <f t="shared" si="12"/>
        <v>1651.52</v>
      </c>
      <c r="P31" s="101">
        <f t="shared" si="13"/>
        <v>1659.8400000000001</v>
      </c>
      <c r="Q31" s="41">
        <f t="shared" si="14"/>
        <v>3.99</v>
      </c>
      <c r="R31" s="97">
        <f t="shared" si="15"/>
        <v>1659.8400000000001</v>
      </c>
      <c r="S31" s="97">
        <f t="shared" si="16"/>
        <v>8.3200000000001637</v>
      </c>
      <c r="T31" s="113">
        <f t="shared" si="19"/>
        <v>5.0377833753147971E-3</v>
      </c>
      <c r="U31" s="106"/>
      <c r="V31" s="116"/>
      <c r="Z31" s="116"/>
    </row>
    <row r="32" spans="1:26" s="42" customFormat="1" x14ac:dyDescent="0.25">
      <c r="A32" s="129"/>
      <c r="B32" s="40"/>
      <c r="C32" s="90" t="s">
        <v>118</v>
      </c>
      <c r="D32" s="73">
        <v>4</v>
      </c>
      <c r="E32" s="72">
        <v>1</v>
      </c>
      <c r="F32" s="57">
        <f>D32*E32*52*4</f>
        <v>832</v>
      </c>
      <c r="G32" s="84">
        <f>References!B20</f>
        <v>37</v>
      </c>
      <c r="H32" s="45">
        <f t="shared" si="17"/>
        <v>30784</v>
      </c>
      <c r="I32" s="74">
        <f t="shared" si="10"/>
        <v>18347.372333594078</v>
      </c>
      <c r="J32" s="116">
        <f>ROUND(((References!$C$49*I32)*$H$125)+((References!$C$54*I32)*$H$124),2)</f>
        <v>18.82</v>
      </c>
      <c r="K32" s="116">
        <f>ROUND(J32/References!$G$53,2)</f>
        <v>19.399999999999999</v>
      </c>
      <c r="L32" s="116">
        <f t="shared" si="18"/>
        <v>0.02</v>
      </c>
      <c r="M32" s="116">
        <v>3.97</v>
      </c>
      <c r="N32" s="93">
        <f t="shared" si="11"/>
        <v>3.99</v>
      </c>
      <c r="O32" s="101">
        <f t="shared" si="12"/>
        <v>3303.04</v>
      </c>
      <c r="P32" s="101">
        <f t="shared" si="13"/>
        <v>3319.6800000000003</v>
      </c>
      <c r="Q32" s="41">
        <f t="shared" si="14"/>
        <v>3.99</v>
      </c>
      <c r="R32" s="97">
        <f t="shared" si="15"/>
        <v>3319.6800000000003</v>
      </c>
      <c r="S32" s="97">
        <f t="shared" si="16"/>
        <v>16.640000000000327</v>
      </c>
      <c r="T32" s="113">
        <f t="shared" si="19"/>
        <v>5.0377833753147971E-3</v>
      </c>
      <c r="U32" s="106"/>
      <c r="V32" s="116"/>
      <c r="Z32" s="116"/>
    </row>
    <row r="33" spans="1:26" s="42" customFormat="1" x14ac:dyDescent="0.25">
      <c r="A33" s="129"/>
      <c r="B33" s="40"/>
      <c r="C33" s="90" t="s">
        <v>119</v>
      </c>
      <c r="D33" s="73">
        <v>26</v>
      </c>
      <c r="E33" s="72">
        <v>1</v>
      </c>
      <c r="F33" s="57">
        <f t="shared" si="20"/>
        <v>1352</v>
      </c>
      <c r="G33" s="84">
        <f>References!$B$21</f>
        <v>47</v>
      </c>
      <c r="H33" s="45">
        <f t="shared" si="17"/>
        <v>63544</v>
      </c>
      <c r="I33" s="74">
        <f t="shared" si="10"/>
        <v>37872.447621033723</v>
      </c>
      <c r="J33" s="116">
        <f>ROUND(((References!$C$49*I33)*$H$125)+((References!$C$54*I33)*$H$124),2)</f>
        <v>38.840000000000003</v>
      </c>
      <c r="K33" s="116">
        <f>ROUND(J33/References!$G$53,2)</f>
        <v>40.049999999999997</v>
      </c>
      <c r="L33" s="116">
        <f t="shared" si="18"/>
        <v>0.03</v>
      </c>
      <c r="M33" s="116">
        <v>7.03</v>
      </c>
      <c r="N33" s="93">
        <f t="shared" si="11"/>
        <v>7.0600000000000005</v>
      </c>
      <c r="O33" s="101">
        <f t="shared" si="12"/>
        <v>9504.56</v>
      </c>
      <c r="P33" s="101">
        <f t="shared" si="13"/>
        <v>9545.1200000000008</v>
      </c>
      <c r="Q33" s="41">
        <f t="shared" si="14"/>
        <v>7.0600000000000005</v>
      </c>
      <c r="R33" s="97">
        <f t="shared" si="15"/>
        <v>9545.1200000000008</v>
      </c>
      <c r="S33" s="97">
        <f t="shared" si="16"/>
        <v>40.56000000000131</v>
      </c>
      <c r="T33" s="113">
        <f t="shared" si="19"/>
        <v>4.2674253200569723E-3</v>
      </c>
      <c r="U33" s="106"/>
      <c r="V33" s="116"/>
      <c r="Z33" s="116"/>
    </row>
    <row r="34" spans="1:26" s="42" customFormat="1" x14ac:dyDescent="0.25">
      <c r="A34" s="129"/>
      <c r="B34" s="40"/>
      <c r="C34" s="90" t="s">
        <v>120</v>
      </c>
      <c r="D34" s="73">
        <v>4</v>
      </c>
      <c r="E34" s="72">
        <v>1</v>
      </c>
      <c r="F34" s="57">
        <f>D34*E34*52*2</f>
        <v>416</v>
      </c>
      <c r="G34" s="84">
        <f>References!$B$21</f>
        <v>47</v>
      </c>
      <c r="H34" s="45">
        <f t="shared" si="17"/>
        <v>19552</v>
      </c>
      <c r="I34" s="74">
        <f t="shared" si="10"/>
        <v>11653.060806471914</v>
      </c>
      <c r="J34" s="116">
        <f>ROUND(((References!$C$49*I34)*$H$125)+((References!$C$54*I34)*$H$124),2)</f>
        <v>11.95</v>
      </c>
      <c r="K34" s="116">
        <f>ROUND(J34/References!$G$53,2)</f>
        <v>12.32</v>
      </c>
      <c r="L34" s="116">
        <f t="shared" si="18"/>
        <v>0.03</v>
      </c>
      <c r="M34" s="116">
        <v>7.03</v>
      </c>
      <c r="N34" s="93">
        <f t="shared" si="11"/>
        <v>7.0600000000000005</v>
      </c>
      <c r="O34" s="101">
        <f t="shared" si="12"/>
        <v>2924.48</v>
      </c>
      <c r="P34" s="101">
        <f t="shared" si="13"/>
        <v>2936.96</v>
      </c>
      <c r="Q34" s="41">
        <f t="shared" si="14"/>
        <v>7.0600000000000005</v>
      </c>
      <c r="R34" s="97">
        <f t="shared" si="15"/>
        <v>2936.96</v>
      </c>
      <c r="S34" s="97">
        <f t="shared" si="16"/>
        <v>12.480000000000018</v>
      </c>
      <c r="T34" s="113">
        <f t="shared" si="19"/>
        <v>4.2674253200569723E-3</v>
      </c>
      <c r="U34" s="106"/>
      <c r="V34" s="116"/>
      <c r="Z34" s="116"/>
    </row>
    <row r="35" spans="1:26" s="42" customFormat="1" x14ac:dyDescent="0.25">
      <c r="A35" s="129"/>
      <c r="B35" s="40"/>
      <c r="C35" s="2" t="s">
        <v>121</v>
      </c>
      <c r="D35" s="73">
        <v>20</v>
      </c>
      <c r="E35" s="72">
        <v>1</v>
      </c>
      <c r="F35" s="57">
        <f t="shared" si="20"/>
        <v>1040</v>
      </c>
      <c r="G35" s="84">
        <f>References!$B$22</f>
        <v>68</v>
      </c>
      <c r="H35" s="45">
        <f t="shared" si="17"/>
        <v>70720</v>
      </c>
      <c r="I35" s="74">
        <f t="shared" si="10"/>
        <v>42149.368874472886</v>
      </c>
      <c r="J35" s="116">
        <f>ROUND(((References!$C$49*I35)*$H$125)+((References!$C$54*I35)*$H$124),2)</f>
        <v>43.23</v>
      </c>
      <c r="K35" s="116">
        <f>ROUND(J35/References!$G$53,2)</f>
        <v>44.57</v>
      </c>
      <c r="L35" s="116">
        <f t="shared" si="18"/>
        <v>0.04</v>
      </c>
      <c r="M35" s="116">
        <v>10.14</v>
      </c>
      <c r="N35" s="93">
        <f t="shared" si="11"/>
        <v>10.18</v>
      </c>
      <c r="O35" s="101">
        <f t="shared" si="12"/>
        <v>10545.6</v>
      </c>
      <c r="P35" s="101">
        <f t="shared" si="13"/>
        <v>10587.199999999999</v>
      </c>
      <c r="Q35" s="41">
        <f t="shared" si="14"/>
        <v>10.18</v>
      </c>
      <c r="R35" s="97">
        <f t="shared" si="15"/>
        <v>10587.199999999999</v>
      </c>
      <c r="S35" s="97">
        <f t="shared" si="16"/>
        <v>41.599999999998545</v>
      </c>
      <c r="T35" s="113">
        <f t="shared" si="19"/>
        <v>3.9447731755424265E-3</v>
      </c>
      <c r="U35" s="106"/>
      <c r="V35" s="116"/>
      <c r="Z35" s="116"/>
    </row>
    <row r="36" spans="1:26" s="42" customFormat="1" x14ac:dyDescent="0.25">
      <c r="A36" s="129"/>
      <c r="B36" s="40"/>
      <c r="C36" s="2" t="s">
        <v>122</v>
      </c>
      <c r="D36" s="73">
        <v>8</v>
      </c>
      <c r="E36" s="72">
        <v>1</v>
      </c>
      <c r="F36" s="57">
        <f>D36*E36*52*2</f>
        <v>832</v>
      </c>
      <c r="G36" s="84">
        <f>References!$B$22</f>
        <v>68</v>
      </c>
      <c r="H36" s="45">
        <f t="shared" si="17"/>
        <v>56576</v>
      </c>
      <c r="I36" s="74">
        <f t="shared" si="10"/>
        <v>33719.495099578307</v>
      </c>
      <c r="J36" s="116">
        <f>ROUND(((References!$C$49*I36)*$H$125)+((References!$C$54*I36)*$H$124),2)</f>
        <v>34.58</v>
      </c>
      <c r="K36" s="116">
        <f>ROUND(J36/References!$G$53,2)</f>
        <v>35.65</v>
      </c>
      <c r="L36" s="116">
        <f t="shared" si="18"/>
        <v>0.04</v>
      </c>
      <c r="M36" s="116">
        <v>10.14</v>
      </c>
      <c r="N36" s="93">
        <f t="shared" si="11"/>
        <v>10.18</v>
      </c>
      <c r="O36" s="101">
        <f t="shared" si="12"/>
        <v>8436.48</v>
      </c>
      <c r="P36" s="101">
        <f t="shared" si="13"/>
        <v>8469.76</v>
      </c>
      <c r="Q36" s="41">
        <f t="shared" si="14"/>
        <v>10.18</v>
      </c>
      <c r="R36" s="97">
        <f t="shared" si="15"/>
        <v>8469.76</v>
      </c>
      <c r="S36" s="97">
        <f t="shared" si="16"/>
        <v>33.280000000000655</v>
      </c>
      <c r="T36" s="113">
        <f t="shared" si="19"/>
        <v>3.9447731755424265E-3</v>
      </c>
      <c r="U36" s="106"/>
      <c r="V36" s="116"/>
      <c r="Z36" s="116"/>
    </row>
    <row r="37" spans="1:26" s="42" customFormat="1" x14ac:dyDescent="0.25">
      <c r="A37" s="129"/>
      <c r="B37" s="40"/>
      <c r="C37" s="2" t="s">
        <v>123</v>
      </c>
      <c r="D37" s="73">
        <v>104</v>
      </c>
      <c r="E37" s="72">
        <v>0.5</v>
      </c>
      <c r="F37" s="57">
        <f t="shared" si="20"/>
        <v>2704</v>
      </c>
      <c r="G37" s="84">
        <f>References!$B$27</f>
        <v>175</v>
      </c>
      <c r="H37" s="45">
        <f t="shared" si="17"/>
        <v>473200</v>
      </c>
      <c r="I37" s="74">
        <f t="shared" si="10"/>
        <v>282028.86526301707</v>
      </c>
      <c r="J37" s="116">
        <f>ROUND(((References!$C$49*I37)*$H$125)+((References!$C$54*I37)*$H$124),2)</f>
        <v>289.26</v>
      </c>
      <c r="K37" s="116">
        <f>ROUND(J37/References!$G$53,2)</f>
        <v>298.24</v>
      </c>
      <c r="L37" s="116">
        <f t="shared" si="18"/>
        <v>0.11</v>
      </c>
      <c r="M37" s="116">
        <v>16.5</v>
      </c>
      <c r="N37" s="93">
        <f t="shared" si="11"/>
        <v>16.61</v>
      </c>
      <c r="O37" s="101">
        <f t="shared" si="12"/>
        <v>44616</v>
      </c>
      <c r="P37" s="101">
        <f t="shared" si="13"/>
        <v>44913.439999999995</v>
      </c>
      <c r="Q37" s="41">
        <f t="shared" si="14"/>
        <v>16.61</v>
      </c>
      <c r="R37" s="97">
        <f t="shared" si="15"/>
        <v>44913.439999999995</v>
      </c>
      <c r="S37" s="97">
        <f t="shared" si="16"/>
        <v>297.43999999999505</v>
      </c>
      <c r="T37" s="113">
        <f t="shared" si="19"/>
        <v>6.6666666666665986E-3</v>
      </c>
      <c r="U37" s="106"/>
      <c r="V37" s="116"/>
      <c r="Z37" s="116"/>
    </row>
    <row r="38" spans="1:26" s="42" customFormat="1" x14ac:dyDescent="0.25">
      <c r="A38" s="129"/>
      <c r="B38" s="40"/>
      <c r="C38" s="2" t="s">
        <v>124</v>
      </c>
      <c r="D38" s="73">
        <v>101</v>
      </c>
      <c r="E38" s="72">
        <v>1</v>
      </c>
      <c r="F38" s="57">
        <f>D38*E38*52</f>
        <v>5252</v>
      </c>
      <c r="G38" s="84">
        <f>References!$B$27</f>
        <v>175</v>
      </c>
      <c r="H38" s="45">
        <f t="shared" si="17"/>
        <v>919100</v>
      </c>
      <c r="I38" s="74">
        <f t="shared" si="10"/>
        <v>547786.83445316774</v>
      </c>
      <c r="J38" s="116">
        <f>ROUND(((References!$C$49*I38)*$H$125)+((References!$C$54*I38)*$H$124),2)</f>
        <v>561.82000000000005</v>
      </c>
      <c r="K38" s="116">
        <f>ROUND(J38/References!$G$53,2)</f>
        <v>579.26</v>
      </c>
      <c r="L38" s="116">
        <f t="shared" si="18"/>
        <v>0.11</v>
      </c>
      <c r="M38" s="116">
        <v>16.5</v>
      </c>
      <c r="N38" s="93">
        <f t="shared" si="11"/>
        <v>16.61</v>
      </c>
      <c r="O38" s="101">
        <f t="shared" si="12"/>
        <v>86658</v>
      </c>
      <c r="P38" s="101">
        <f t="shared" si="13"/>
        <v>87235.72</v>
      </c>
      <c r="Q38" s="41">
        <f t="shared" si="14"/>
        <v>16.61</v>
      </c>
      <c r="R38" s="97">
        <f t="shared" si="15"/>
        <v>87235.72</v>
      </c>
      <c r="S38" s="97">
        <f t="shared" si="16"/>
        <v>577.72000000000116</v>
      </c>
      <c r="T38" s="113">
        <f t="shared" si="19"/>
        <v>6.6666666666665986E-3</v>
      </c>
      <c r="U38" s="106"/>
      <c r="V38" s="116"/>
      <c r="W38" s="116"/>
      <c r="X38" s="106"/>
      <c r="Z38" s="116"/>
    </row>
    <row r="39" spans="1:26" s="42" customFormat="1" x14ac:dyDescent="0.25">
      <c r="A39" s="129"/>
      <c r="B39" s="40"/>
      <c r="C39" s="3" t="s">
        <v>125</v>
      </c>
      <c r="D39" s="73">
        <v>4</v>
      </c>
      <c r="E39" s="72">
        <v>1</v>
      </c>
      <c r="F39" s="57">
        <f>D39*E39*52*2</f>
        <v>416</v>
      </c>
      <c r="G39" s="84">
        <f>References!$B$27</f>
        <v>175</v>
      </c>
      <c r="H39" s="45">
        <f t="shared" si="17"/>
        <v>72800</v>
      </c>
      <c r="I39" s="74">
        <f t="shared" si="10"/>
        <v>43389.056194310324</v>
      </c>
      <c r="J39" s="116">
        <f>ROUND(((References!$C$49*I39)*$H$125)+((References!$C$54*I39)*$H$124),2)</f>
        <v>44.5</v>
      </c>
      <c r="K39" s="116">
        <f>ROUND(J39/References!$G$53,2)</f>
        <v>45.88</v>
      </c>
      <c r="L39" s="116">
        <f t="shared" si="18"/>
        <v>0.11</v>
      </c>
      <c r="M39" s="116">
        <v>16.5</v>
      </c>
      <c r="N39" s="93">
        <f t="shared" si="11"/>
        <v>16.61</v>
      </c>
      <c r="O39" s="101">
        <f t="shared" si="12"/>
        <v>6864</v>
      </c>
      <c r="P39" s="101">
        <f t="shared" si="13"/>
        <v>6909.76</v>
      </c>
      <c r="Q39" s="41">
        <f t="shared" si="14"/>
        <v>16.61</v>
      </c>
      <c r="R39" s="97">
        <f t="shared" si="15"/>
        <v>6909.76</v>
      </c>
      <c r="S39" s="97">
        <f t="shared" si="16"/>
        <v>45.760000000000218</v>
      </c>
      <c r="T39" s="113">
        <f t="shared" si="19"/>
        <v>6.6666666666665986E-3</v>
      </c>
      <c r="U39" s="106"/>
      <c r="V39" s="116"/>
      <c r="W39" s="116"/>
      <c r="Z39" s="116"/>
    </row>
    <row r="40" spans="1:26" s="42" customFormat="1" x14ac:dyDescent="0.25">
      <c r="A40" s="129"/>
      <c r="B40" s="40"/>
      <c r="C40" s="3" t="s">
        <v>126</v>
      </c>
      <c r="D40" s="73">
        <v>2</v>
      </c>
      <c r="E40" s="72">
        <v>1</v>
      </c>
      <c r="F40" s="57">
        <f>D40*E40*52*2</f>
        <v>208</v>
      </c>
      <c r="G40" s="84">
        <f>References!$B$27</f>
        <v>175</v>
      </c>
      <c r="H40" s="45">
        <f t="shared" si="17"/>
        <v>36400</v>
      </c>
      <c r="I40" s="74">
        <f t="shared" si="10"/>
        <v>21694.528097155162</v>
      </c>
      <c r="J40" s="116">
        <f>ROUND(((References!$C$49*I40)*$H$125)+((References!$C$54*I40)*$H$124),2)</f>
        <v>22.25</v>
      </c>
      <c r="K40" s="116">
        <f>ROUND(J40/References!$G$53,2)</f>
        <v>22.94</v>
      </c>
      <c r="L40" s="116">
        <f t="shared" si="18"/>
        <v>0.11</v>
      </c>
      <c r="M40" s="116">
        <v>16.5</v>
      </c>
      <c r="N40" s="93">
        <f t="shared" si="11"/>
        <v>16.61</v>
      </c>
      <c r="O40" s="101">
        <f t="shared" si="12"/>
        <v>3432</v>
      </c>
      <c r="P40" s="101">
        <f t="shared" si="13"/>
        <v>3454.88</v>
      </c>
      <c r="Q40" s="41">
        <f t="shared" si="14"/>
        <v>16.61</v>
      </c>
      <c r="R40" s="97">
        <f t="shared" si="15"/>
        <v>3454.88</v>
      </c>
      <c r="S40" s="97">
        <f t="shared" si="16"/>
        <v>22.880000000000109</v>
      </c>
      <c r="T40" s="113">
        <f t="shared" si="19"/>
        <v>6.6666666666665986E-3</v>
      </c>
      <c r="U40" s="106"/>
      <c r="V40" s="116"/>
      <c r="W40" s="116"/>
      <c r="Z40" s="116"/>
    </row>
    <row r="41" spans="1:26" s="42" customFormat="1" x14ac:dyDescent="0.25">
      <c r="A41" s="129"/>
      <c r="B41" s="40"/>
      <c r="C41" s="2" t="s">
        <v>127</v>
      </c>
      <c r="D41" s="73">
        <v>40</v>
      </c>
      <c r="E41" s="72">
        <v>1</v>
      </c>
      <c r="F41" s="57">
        <f>D41*E41*26</f>
        <v>1040</v>
      </c>
      <c r="G41" s="84">
        <f>References!$B$28</f>
        <v>250</v>
      </c>
      <c r="H41" s="45">
        <f t="shared" si="17"/>
        <v>260000</v>
      </c>
      <c r="I41" s="74">
        <f t="shared" si="10"/>
        <v>154960.91497967971</v>
      </c>
      <c r="J41" s="116">
        <f>ROUND(((References!$C$49*I41)*$H$125)+((References!$C$54*I41)*$H$124),2)</f>
        <v>158.93</v>
      </c>
      <c r="K41" s="116">
        <f>ROUND(J41/References!$G$53,2)</f>
        <v>163.86</v>
      </c>
      <c r="L41" s="116">
        <f t="shared" si="18"/>
        <v>0.16</v>
      </c>
      <c r="M41" s="116">
        <v>23.68</v>
      </c>
      <c r="N41" s="93">
        <f t="shared" si="11"/>
        <v>23.84</v>
      </c>
      <c r="O41" s="101">
        <f t="shared" si="12"/>
        <v>24627.200000000001</v>
      </c>
      <c r="P41" s="101">
        <f t="shared" si="13"/>
        <v>24793.599999999999</v>
      </c>
      <c r="Q41" s="41">
        <f t="shared" si="14"/>
        <v>23.84</v>
      </c>
      <c r="R41" s="97">
        <f t="shared" si="15"/>
        <v>24793.599999999999</v>
      </c>
      <c r="S41" s="97">
        <f t="shared" si="16"/>
        <v>166.39999999999782</v>
      </c>
      <c r="T41" s="113">
        <f t="shared" si="19"/>
        <v>6.7567567567567988E-3</v>
      </c>
      <c r="U41" s="106"/>
      <c r="V41" s="116"/>
      <c r="W41" s="116"/>
      <c r="Z41" s="116"/>
    </row>
    <row r="42" spans="1:26" s="42" customFormat="1" x14ac:dyDescent="0.25">
      <c r="A42" s="129"/>
      <c r="B42" s="40"/>
      <c r="C42" s="2" t="s">
        <v>128</v>
      </c>
      <c r="D42" s="73">
        <v>31</v>
      </c>
      <c r="E42" s="72">
        <v>1</v>
      </c>
      <c r="F42" s="57">
        <f>D42*E42*52</f>
        <v>1612</v>
      </c>
      <c r="G42" s="84">
        <f>References!$B$28</f>
        <v>250</v>
      </c>
      <c r="H42" s="45">
        <f t="shared" si="17"/>
        <v>403000</v>
      </c>
      <c r="I42" s="74">
        <f t="shared" si="10"/>
        <v>240189.41821850356</v>
      </c>
      <c r="J42" s="116">
        <f>ROUND(((References!$C$49*I42)*$H$125)+((References!$C$54*I42)*$H$124),2)</f>
        <v>246.34</v>
      </c>
      <c r="K42" s="116">
        <f>ROUND(J42/References!$G$53,2)</f>
        <v>253.98</v>
      </c>
      <c r="L42" s="116">
        <f t="shared" si="18"/>
        <v>0.16</v>
      </c>
      <c r="M42" s="116">
        <v>23.68</v>
      </c>
      <c r="N42" s="93">
        <f t="shared" si="11"/>
        <v>23.84</v>
      </c>
      <c r="O42" s="101">
        <f t="shared" si="12"/>
        <v>38172.159999999996</v>
      </c>
      <c r="P42" s="101">
        <f t="shared" si="13"/>
        <v>38430.080000000002</v>
      </c>
      <c r="Q42" s="41">
        <f t="shared" si="14"/>
        <v>23.84</v>
      </c>
      <c r="R42" s="97">
        <f t="shared" si="15"/>
        <v>38430.080000000002</v>
      </c>
      <c r="S42" s="97">
        <f t="shared" si="16"/>
        <v>257.92000000000553</v>
      </c>
      <c r="T42" s="113">
        <f t="shared" si="19"/>
        <v>6.7567567567567988E-3</v>
      </c>
      <c r="U42" s="106"/>
      <c r="V42" s="116"/>
      <c r="W42" s="116"/>
      <c r="X42" s="106"/>
      <c r="Z42" s="116"/>
    </row>
    <row r="43" spans="1:26" s="42" customFormat="1" x14ac:dyDescent="0.25">
      <c r="A43" s="129"/>
      <c r="B43" s="40"/>
      <c r="C43" s="2" t="s">
        <v>129</v>
      </c>
      <c r="D43" s="73">
        <v>50</v>
      </c>
      <c r="E43" s="72">
        <v>0.5</v>
      </c>
      <c r="F43" s="57">
        <f>D43*E43*52</f>
        <v>1300</v>
      </c>
      <c r="G43" s="84">
        <f>References!$B$29</f>
        <v>324</v>
      </c>
      <c r="H43" s="45">
        <f t="shared" si="17"/>
        <v>421200</v>
      </c>
      <c r="I43" s="74">
        <f t="shared" si="10"/>
        <v>251036.68226708114</v>
      </c>
      <c r="J43" s="116">
        <f>ROUND(((References!$C$49*I43)*$H$125)+((References!$C$54*I43)*$H$124),2)</f>
        <v>257.47000000000003</v>
      </c>
      <c r="K43" s="116">
        <f>ROUND(J43/References!$G$53,2)</f>
        <v>265.45999999999998</v>
      </c>
      <c r="L43" s="116">
        <f t="shared" si="18"/>
        <v>0.2</v>
      </c>
      <c r="M43" s="116">
        <v>29.62</v>
      </c>
      <c r="N43" s="93">
        <f t="shared" si="11"/>
        <v>29.82</v>
      </c>
      <c r="O43" s="101">
        <f t="shared" si="12"/>
        <v>38506</v>
      </c>
      <c r="P43" s="101">
        <f t="shared" si="13"/>
        <v>38766</v>
      </c>
      <c r="Q43" s="41">
        <f t="shared" si="14"/>
        <v>29.82</v>
      </c>
      <c r="R43" s="97">
        <f t="shared" si="15"/>
        <v>38766</v>
      </c>
      <c r="S43" s="97">
        <f t="shared" si="16"/>
        <v>260</v>
      </c>
      <c r="T43" s="113">
        <f t="shared" si="19"/>
        <v>6.7521944632005226E-3</v>
      </c>
      <c r="U43" s="106"/>
      <c r="V43" s="116"/>
      <c r="W43" s="116"/>
      <c r="Z43" s="116"/>
    </row>
    <row r="44" spans="1:26" s="42" customFormat="1" x14ac:dyDescent="0.25">
      <c r="A44" s="129"/>
      <c r="B44" s="40"/>
      <c r="C44" s="2" t="s">
        <v>130</v>
      </c>
      <c r="D44" s="73">
        <v>127</v>
      </c>
      <c r="E44" s="72">
        <v>1</v>
      </c>
      <c r="F44" s="57">
        <f>D44*E44*52</f>
        <v>6604</v>
      </c>
      <c r="G44" s="84">
        <f>References!$B$29</f>
        <v>324</v>
      </c>
      <c r="H44" s="45">
        <f t="shared" si="17"/>
        <v>2139696</v>
      </c>
      <c r="I44" s="74">
        <f t="shared" si="10"/>
        <v>1275266.3459167723</v>
      </c>
      <c r="J44" s="116">
        <f>ROUND(((References!$C$49*I44)*$H$125)+((References!$C$54*I44)*$H$124),2)</f>
        <v>1307.94</v>
      </c>
      <c r="K44" s="116">
        <f>ROUND(J44/References!$G$53,2)</f>
        <v>1348.53</v>
      </c>
      <c r="L44" s="116">
        <f t="shared" si="18"/>
        <v>0.2</v>
      </c>
      <c r="M44" s="116">
        <v>29.62</v>
      </c>
      <c r="N44" s="93">
        <f t="shared" si="11"/>
        <v>29.82</v>
      </c>
      <c r="O44" s="101">
        <f t="shared" si="12"/>
        <v>195610.48</v>
      </c>
      <c r="P44" s="101">
        <f t="shared" si="13"/>
        <v>196931.28</v>
      </c>
      <c r="Q44" s="41">
        <f t="shared" si="14"/>
        <v>29.82</v>
      </c>
      <c r="R44" s="97">
        <f t="shared" si="15"/>
        <v>196931.28</v>
      </c>
      <c r="S44" s="97">
        <f t="shared" si="16"/>
        <v>1320.7999999999884</v>
      </c>
      <c r="T44" s="113">
        <f t="shared" si="19"/>
        <v>6.7521944632005226E-3</v>
      </c>
      <c r="U44" s="106"/>
      <c r="V44" s="116"/>
      <c r="W44" s="116"/>
      <c r="X44" s="106"/>
      <c r="Z44" s="116"/>
    </row>
    <row r="45" spans="1:26" s="42" customFormat="1" x14ac:dyDescent="0.25">
      <c r="A45" s="129"/>
      <c r="B45" s="40"/>
      <c r="C45" s="2" t="s">
        <v>131</v>
      </c>
      <c r="D45" s="73">
        <v>6</v>
      </c>
      <c r="E45" s="72">
        <v>1</v>
      </c>
      <c r="F45" s="57">
        <f>D45*E45*52*2</f>
        <v>624</v>
      </c>
      <c r="G45" s="84">
        <f>References!$B$29</f>
        <v>324</v>
      </c>
      <c r="H45" s="45">
        <f t="shared" si="17"/>
        <v>202176</v>
      </c>
      <c r="I45" s="74">
        <f t="shared" si="10"/>
        <v>120497.60748819895</v>
      </c>
      <c r="J45" s="116">
        <f>ROUND(((References!$C$49*I45)*$H$125)+((References!$C$54*I45)*$H$124),2)</f>
        <v>123.59</v>
      </c>
      <c r="K45" s="116">
        <f>ROUND(J45/References!$G$53,2)</f>
        <v>127.43</v>
      </c>
      <c r="L45" s="116">
        <f t="shared" si="18"/>
        <v>0.2</v>
      </c>
      <c r="M45" s="116">
        <v>29.62</v>
      </c>
      <c r="N45" s="93">
        <f t="shared" si="11"/>
        <v>29.82</v>
      </c>
      <c r="O45" s="101">
        <f t="shared" si="12"/>
        <v>18482.88</v>
      </c>
      <c r="P45" s="101">
        <f t="shared" si="13"/>
        <v>18607.68</v>
      </c>
      <c r="Q45" s="41">
        <f t="shared" si="14"/>
        <v>29.82</v>
      </c>
      <c r="R45" s="97">
        <f t="shared" si="15"/>
        <v>18607.68</v>
      </c>
      <c r="S45" s="97">
        <f t="shared" si="16"/>
        <v>124.79999999999927</v>
      </c>
      <c r="T45" s="113">
        <f t="shared" si="19"/>
        <v>6.7521944632005226E-3</v>
      </c>
      <c r="U45" s="106"/>
      <c r="V45" s="116"/>
      <c r="W45" s="116"/>
      <c r="Z45" s="116"/>
    </row>
    <row r="46" spans="1:26" s="42" customFormat="1" x14ac:dyDescent="0.25">
      <c r="A46" s="129"/>
      <c r="B46" s="40"/>
      <c r="C46" s="2" t="s">
        <v>132</v>
      </c>
      <c r="D46" s="73">
        <v>3</v>
      </c>
      <c r="E46" s="72">
        <v>1</v>
      </c>
      <c r="F46" s="57">
        <f>D46*E46*52*3</f>
        <v>468</v>
      </c>
      <c r="G46" s="84">
        <f>References!$B$29</f>
        <v>324</v>
      </c>
      <c r="H46" s="45">
        <f t="shared" si="17"/>
        <v>151632</v>
      </c>
      <c r="I46" s="74">
        <f t="shared" si="10"/>
        <v>90373.205616149207</v>
      </c>
      <c r="J46" s="116">
        <f>ROUND(((References!$C$49*I46)*$H$125)+((References!$C$54*I46)*$H$124),2)</f>
        <v>92.69</v>
      </c>
      <c r="K46" s="116">
        <f>ROUND(J46/References!$G$53,2)</f>
        <v>95.57</v>
      </c>
      <c r="L46" s="116">
        <f t="shared" si="18"/>
        <v>0.2</v>
      </c>
      <c r="M46" s="116">
        <v>29.62</v>
      </c>
      <c r="N46" s="93">
        <f t="shared" si="11"/>
        <v>29.82</v>
      </c>
      <c r="O46" s="101">
        <f t="shared" si="12"/>
        <v>13862.16</v>
      </c>
      <c r="P46" s="101">
        <f t="shared" si="13"/>
        <v>13955.76</v>
      </c>
      <c r="Q46" s="41">
        <f t="shared" si="14"/>
        <v>29.82</v>
      </c>
      <c r="R46" s="97">
        <f t="shared" si="15"/>
        <v>13955.76</v>
      </c>
      <c r="S46" s="97">
        <f t="shared" si="16"/>
        <v>93.600000000000364</v>
      </c>
      <c r="T46" s="113">
        <f t="shared" si="19"/>
        <v>6.7521944632005226E-3</v>
      </c>
      <c r="U46" s="106"/>
      <c r="V46" s="116"/>
      <c r="W46" s="116"/>
      <c r="Z46" s="116"/>
    </row>
    <row r="47" spans="1:26" s="42" customFormat="1" x14ac:dyDescent="0.25">
      <c r="A47" s="129"/>
      <c r="B47" s="40"/>
      <c r="C47" s="2" t="s">
        <v>133</v>
      </c>
      <c r="D47" s="73">
        <v>5</v>
      </c>
      <c r="E47" s="72">
        <v>2</v>
      </c>
      <c r="F47" s="57">
        <f>D47*E47*52</f>
        <v>520</v>
      </c>
      <c r="G47" s="84">
        <f>References!$B$29</f>
        <v>324</v>
      </c>
      <c r="H47" s="45">
        <f t="shared" si="17"/>
        <v>168480</v>
      </c>
      <c r="I47" s="74">
        <f t="shared" si="10"/>
        <v>100414.67290683245</v>
      </c>
      <c r="J47" s="116">
        <f>ROUND(((References!$C$49*I47)*$H$125)+((References!$C$54*I47)*$H$124),2)</f>
        <v>102.99</v>
      </c>
      <c r="K47" s="116">
        <f>ROUND(J47/References!$G$53,2)</f>
        <v>106.19</v>
      </c>
      <c r="L47" s="116">
        <f t="shared" si="18"/>
        <v>0.2</v>
      </c>
      <c r="M47" s="116">
        <v>29.62</v>
      </c>
      <c r="N47" s="93">
        <f t="shared" si="11"/>
        <v>29.82</v>
      </c>
      <c r="O47" s="101">
        <f t="shared" si="12"/>
        <v>15402.4</v>
      </c>
      <c r="P47" s="101">
        <f t="shared" si="13"/>
        <v>15506.4</v>
      </c>
      <c r="Q47" s="41">
        <f t="shared" si="14"/>
        <v>29.82</v>
      </c>
      <c r="R47" s="97">
        <f t="shared" si="15"/>
        <v>15506.4</v>
      </c>
      <c r="S47" s="97">
        <f t="shared" si="16"/>
        <v>104</v>
      </c>
      <c r="T47" s="113">
        <f t="shared" si="19"/>
        <v>6.7521944632005226E-3</v>
      </c>
      <c r="U47" s="106"/>
      <c r="V47" s="116"/>
      <c r="W47" s="116"/>
      <c r="Z47" s="116"/>
    </row>
    <row r="48" spans="1:26" s="42" customFormat="1" x14ac:dyDescent="0.25">
      <c r="A48" s="129"/>
      <c r="B48" s="40"/>
      <c r="C48" s="2" t="s">
        <v>134</v>
      </c>
      <c r="D48" s="73">
        <v>2</v>
      </c>
      <c r="E48" s="72">
        <v>2</v>
      </c>
      <c r="F48" s="57">
        <f>D48*E48*52*2</f>
        <v>416</v>
      </c>
      <c r="G48" s="84">
        <f>References!$B$29</f>
        <v>324</v>
      </c>
      <c r="H48" s="45">
        <f t="shared" si="17"/>
        <v>134784</v>
      </c>
      <c r="I48" s="74">
        <f t="shared" si="10"/>
        <v>80331.738325465965</v>
      </c>
      <c r="J48" s="116">
        <f>ROUND(((References!$C$49*I48)*$H$125)+((References!$C$54*I48)*$H$124),2)</f>
        <v>82.39</v>
      </c>
      <c r="K48" s="116">
        <f>ROUND(J48/References!$G$53,2)</f>
        <v>84.95</v>
      </c>
      <c r="L48" s="116">
        <f t="shared" si="18"/>
        <v>0.2</v>
      </c>
      <c r="M48" s="116">
        <v>29.62</v>
      </c>
      <c r="N48" s="93">
        <f t="shared" si="11"/>
        <v>29.82</v>
      </c>
      <c r="O48" s="101">
        <f t="shared" si="12"/>
        <v>12321.92</v>
      </c>
      <c r="P48" s="101">
        <f t="shared" si="13"/>
        <v>12405.12</v>
      </c>
      <c r="Q48" s="41">
        <f t="shared" si="14"/>
        <v>29.82</v>
      </c>
      <c r="R48" s="97">
        <f t="shared" si="15"/>
        <v>12405.12</v>
      </c>
      <c r="S48" s="97">
        <f t="shared" si="16"/>
        <v>83.200000000000728</v>
      </c>
      <c r="T48" s="113">
        <f t="shared" si="19"/>
        <v>6.7521944632005226E-3</v>
      </c>
      <c r="U48" s="106"/>
      <c r="V48" s="116"/>
      <c r="W48" s="116"/>
      <c r="Z48" s="116"/>
    </row>
    <row r="49" spans="1:26" s="42" customFormat="1" x14ac:dyDescent="0.25">
      <c r="A49" s="129"/>
      <c r="B49" s="40"/>
      <c r="C49" s="2" t="s">
        <v>135</v>
      </c>
      <c r="D49" s="73">
        <v>24</v>
      </c>
      <c r="E49" s="72">
        <v>0.5</v>
      </c>
      <c r="F49" s="57">
        <f>D49*E49*52*2</f>
        <v>1248</v>
      </c>
      <c r="G49" s="84">
        <f>References!$B$30</f>
        <v>473</v>
      </c>
      <c r="H49" s="45">
        <f t="shared" si="17"/>
        <v>590304</v>
      </c>
      <c r="I49" s="74">
        <f t="shared" si="10"/>
        <v>351823.26136986481</v>
      </c>
      <c r="J49" s="116">
        <f>ROUND(((References!$C$49*I49)*$H$125)+((References!$C$54*I49)*$H$124),2)</f>
        <v>360.84</v>
      </c>
      <c r="K49" s="116">
        <f>ROUND(J49/References!$G$53,2)</f>
        <v>372.04</v>
      </c>
      <c r="L49" s="116">
        <f t="shared" si="18"/>
        <v>0.3</v>
      </c>
      <c r="M49" s="116">
        <v>41.02</v>
      </c>
      <c r="N49" s="93">
        <f t="shared" si="11"/>
        <v>41.32</v>
      </c>
      <c r="O49" s="101">
        <f t="shared" si="12"/>
        <v>51192.960000000006</v>
      </c>
      <c r="P49" s="101">
        <f t="shared" si="13"/>
        <v>51567.360000000001</v>
      </c>
      <c r="Q49" s="41">
        <f t="shared" si="14"/>
        <v>41.32</v>
      </c>
      <c r="R49" s="97">
        <f t="shared" si="15"/>
        <v>51567.360000000001</v>
      </c>
      <c r="S49" s="97">
        <f t="shared" si="16"/>
        <v>374.39999999999418</v>
      </c>
      <c r="T49" s="113">
        <f t="shared" si="19"/>
        <v>7.3135056070208204E-3</v>
      </c>
      <c r="U49" s="106"/>
      <c r="V49" s="116"/>
      <c r="W49" s="116"/>
      <c r="Z49" s="116"/>
    </row>
    <row r="50" spans="1:26" s="42" customFormat="1" x14ac:dyDescent="0.25">
      <c r="A50" s="129"/>
      <c r="B50" s="40"/>
      <c r="C50" s="2" t="s">
        <v>136</v>
      </c>
      <c r="D50" s="73">
        <v>69</v>
      </c>
      <c r="E50" s="72">
        <v>1</v>
      </c>
      <c r="F50" s="57">
        <f>D50*E50*52</f>
        <v>3588</v>
      </c>
      <c r="G50" s="84">
        <f>References!$B$30</f>
        <v>473</v>
      </c>
      <c r="H50" s="45">
        <f t="shared" si="17"/>
        <v>1697124</v>
      </c>
      <c r="I50" s="74">
        <f t="shared" si="10"/>
        <v>1011491.8764383614</v>
      </c>
      <c r="J50" s="116">
        <f>ROUND(((References!$C$49*I50)*$H$125)+((References!$C$54*I50)*$H$124),2)</f>
        <v>1037.4100000000001</v>
      </c>
      <c r="K50" s="116">
        <f>ROUND(J50/References!$G$53,2)</f>
        <v>1069.6099999999999</v>
      </c>
      <c r="L50" s="116">
        <f t="shared" si="18"/>
        <v>0.3</v>
      </c>
      <c r="M50" s="116">
        <v>41.02</v>
      </c>
      <c r="N50" s="93">
        <f t="shared" si="11"/>
        <v>41.32</v>
      </c>
      <c r="O50" s="101">
        <f t="shared" si="12"/>
        <v>147179.76</v>
      </c>
      <c r="P50" s="101">
        <f t="shared" si="13"/>
        <v>148256.16</v>
      </c>
      <c r="Q50" s="41">
        <f t="shared" si="14"/>
        <v>41.32</v>
      </c>
      <c r="R50" s="97">
        <f t="shared" si="15"/>
        <v>148256.16</v>
      </c>
      <c r="S50" s="97">
        <f t="shared" si="16"/>
        <v>1076.3999999999942</v>
      </c>
      <c r="T50" s="113">
        <f t="shared" si="19"/>
        <v>7.3135056070208204E-3</v>
      </c>
      <c r="U50" s="106"/>
      <c r="V50" s="116"/>
      <c r="W50" s="116"/>
      <c r="X50" s="106"/>
      <c r="Z50" s="116"/>
    </row>
    <row r="51" spans="1:26" s="42" customFormat="1" x14ac:dyDescent="0.25">
      <c r="A51" s="129"/>
      <c r="B51" s="40"/>
      <c r="C51" s="2" t="s">
        <v>137</v>
      </c>
      <c r="D51" s="73">
        <v>2</v>
      </c>
      <c r="E51" s="72">
        <v>2</v>
      </c>
      <c r="F51" s="57">
        <f>D51*E51*52</f>
        <v>208</v>
      </c>
      <c r="G51" s="84">
        <f>References!$B$30</f>
        <v>473</v>
      </c>
      <c r="H51" s="45">
        <f t="shared" si="17"/>
        <v>98384</v>
      </c>
      <c r="I51" s="74">
        <f t="shared" si="10"/>
        <v>58637.210228310803</v>
      </c>
      <c r="J51" s="116">
        <f>ROUND(((References!$C$49*I51)*$H$125)+((References!$C$54*I51)*$H$124),2)</f>
        <v>60.14</v>
      </c>
      <c r="K51" s="116">
        <f>ROUND(J51/References!$G$53,2)</f>
        <v>62.01</v>
      </c>
      <c r="L51" s="116">
        <f t="shared" si="18"/>
        <v>0.3</v>
      </c>
      <c r="M51" s="116">
        <v>41.02</v>
      </c>
      <c r="N51" s="93">
        <f t="shared" si="11"/>
        <v>41.32</v>
      </c>
      <c r="O51" s="101">
        <f t="shared" si="12"/>
        <v>8532.16</v>
      </c>
      <c r="P51" s="101">
        <f t="shared" si="13"/>
        <v>8594.56</v>
      </c>
      <c r="Q51" s="41">
        <f t="shared" si="14"/>
        <v>41.32</v>
      </c>
      <c r="R51" s="97">
        <f t="shared" si="15"/>
        <v>8594.56</v>
      </c>
      <c r="S51" s="97">
        <f t="shared" si="16"/>
        <v>62.399999999999636</v>
      </c>
      <c r="T51" s="113">
        <f t="shared" si="19"/>
        <v>7.3135056070208204E-3</v>
      </c>
      <c r="U51" s="106"/>
      <c r="V51" s="116"/>
      <c r="W51" s="116"/>
      <c r="Z51" s="116"/>
    </row>
    <row r="52" spans="1:26" s="42" customFormat="1" x14ac:dyDescent="0.25">
      <c r="A52" s="129"/>
      <c r="B52" s="40"/>
      <c r="C52" s="2" t="s">
        <v>138</v>
      </c>
      <c r="D52" s="73">
        <v>25</v>
      </c>
      <c r="E52" s="72">
        <v>0.5</v>
      </c>
      <c r="F52" s="57">
        <f>D52*E52*52</f>
        <v>650</v>
      </c>
      <c r="G52" s="84">
        <f>References!$B$31</f>
        <v>613</v>
      </c>
      <c r="H52" s="45">
        <f t="shared" si="17"/>
        <v>398450</v>
      </c>
      <c r="I52" s="74">
        <f t="shared" si="10"/>
        <v>237477.60220635915</v>
      </c>
      <c r="J52" s="116">
        <f>ROUND(((References!$C$49*I52)*$H$125)+((References!$C$54*I52)*$H$124),2)</f>
        <v>243.56</v>
      </c>
      <c r="K52" s="116">
        <f>ROUND(J52/References!$G$53,2)</f>
        <v>251.12</v>
      </c>
      <c r="L52" s="116">
        <f t="shared" si="18"/>
        <v>0.39</v>
      </c>
      <c r="M52" s="116">
        <v>50.12</v>
      </c>
      <c r="N52" s="93">
        <f t="shared" si="11"/>
        <v>50.51</v>
      </c>
      <c r="O52" s="101">
        <f t="shared" si="12"/>
        <v>32578</v>
      </c>
      <c r="P52" s="101">
        <f t="shared" si="13"/>
        <v>32831.5</v>
      </c>
      <c r="Q52" s="41">
        <f t="shared" si="14"/>
        <v>50.51</v>
      </c>
      <c r="R52" s="97">
        <f t="shared" si="15"/>
        <v>32831.5</v>
      </c>
      <c r="S52" s="97">
        <f t="shared" si="16"/>
        <v>253.5</v>
      </c>
      <c r="T52" s="113">
        <f t="shared" si="19"/>
        <v>7.7813248204310348E-3</v>
      </c>
      <c r="U52" s="106"/>
      <c r="V52" s="116"/>
      <c r="W52" s="116"/>
      <c r="Z52" s="116"/>
    </row>
    <row r="53" spans="1:26" s="42" customFormat="1" x14ac:dyDescent="0.25">
      <c r="A53" s="129"/>
      <c r="B53" s="40"/>
      <c r="C53" s="2" t="s">
        <v>139</v>
      </c>
      <c r="D53" s="73">
        <v>89</v>
      </c>
      <c r="E53" s="72">
        <v>1</v>
      </c>
      <c r="F53" s="57">
        <f>D53*E53*52</f>
        <v>4628</v>
      </c>
      <c r="G53" s="84">
        <f>References!$B$31</f>
        <v>613</v>
      </c>
      <c r="H53" s="45">
        <f t="shared" si="17"/>
        <v>2836964</v>
      </c>
      <c r="I53" s="74">
        <f t="shared" si="10"/>
        <v>1690840.5277092773</v>
      </c>
      <c r="J53" s="116">
        <f>ROUND(((References!$C$49*I53)*$H$125)+((References!$C$54*I53)*$H$124),2)</f>
        <v>1734.17</v>
      </c>
      <c r="K53" s="116">
        <f>ROUND(J53/References!$G$53,2)</f>
        <v>1787.99</v>
      </c>
      <c r="L53" s="116">
        <f t="shared" si="18"/>
        <v>0.39</v>
      </c>
      <c r="M53" s="116">
        <v>50.115674157303367</v>
      </c>
      <c r="N53" s="93">
        <f t="shared" si="11"/>
        <v>50.505674157303368</v>
      </c>
      <c r="O53" s="101">
        <f t="shared" si="12"/>
        <v>231935.34</v>
      </c>
      <c r="P53" s="101">
        <f t="shared" si="13"/>
        <v>233740.25999999998</v>
      </c>
      <c r="Q53" s="41">
        <f t="shared" si="14"/>
        <v>50.505674157303368</v>
      </c>
      <c r="R53" s="97">
        <f t="shared" si="15"/>
        <v>233740.25999999998</v>
      </c>
      <c r="S53" s="97">
        <f t="shared" si="16"/>
        <v>1804.9199999999837</v>
      </c>
      <c r="T53" s="113">
        <f t="shared" si="19"/>
        <v>7.7819964822953835E-3</v>
      </c>
      <c r="U53" s="106"/>
      <c r="V53" s="116"/>
      <c r="W53" s="116"/>
      <c r="X53" s="106"/>
      <c r="Z53" s="116"/>
    </row>
    <row r="54" spans="1:26" s="42" customFormat="1" x14ac:dyDescent="0.25">
      <c r="A54" s="129"/>
      <c r="B54" s="40"/>
      <c r="C54" s="2" t="s">
        <v>140</v>
      </c>
      <c r="D54" s="73">
        <v>4</v>
      </c>
      <c r="E54" s="72">
        <v>1</v>
      </c>
      <c r="F54" s="57">
        <f>D54*E54*52*2</f>
        <v>416</v>
      </c>
      <c r="G54" s="84">
        <f>References!$B$31</f>
        <v>613</v>
      </c>
      <c r="H54" s="45">
        <f t="shared" si="17"/>
        <v>255008</v>
      </c>
      <c r="I54" s="74">
        <f t="shared" si="10"/>
        <v>151985.66541206985</v>
      </c>
      <c r="J54" s="116">
        <f>ROUND(((References!$C$49*I54)*$H$125)+((References!$C$54*I54)*$H$124),2)</f>
        <v>155.88</v>
      </c>
      <c r="K54" s="116">
        <f>ROUND(J54/References!$G$53,2)</f>
        <v>160.72</v>
      </c>
      <c r="L54" s="116">
        <f t="shared" si="18"/>
        <v>0.39</v>
      </c>
      <c r="M54" s="116">
        <v>50.115674157303367</v>
      </c>
      <c r="N54" s="93">
        <f t="shared" si="11"/>
        <v>50.505674157303368</v>
      </c>
      <c r="O54" s="101">
        <f t="shared" si="12"/>
        <v>20848.1204494382</v>
      </c>
      <c r="P54" s="101">
        <f t="shared" si="13"/>
        <v>21010.360449438202</v>
      </c>
      <c r="Q54" s="41">
        <f t="shared" si="14"/>
        <v>50.505674157303368</v>
      </c>
      <c r="R54" s="97">
        <f t="shared" si="15"/>
        <v>21010.360449438202</v>
      </c>
      <c r="S54" s="97">
        <f t="shared" si="16"/>
        <v>162.2400000000016</v>
      </c>
      <c r="T54" s="113">
        <f t="shared" si="19"/>
        <v>7.7819964822953835E-3</v>
      </c>
      <c r="U54" s="106"/>
      <c r="V54" s="116"/>
      <c r="Z54" s="116"/>
    </row>
    <row r="55" spans="1:26" s="42" customFormat="1" x14ac:dyDescent="0.25">
      <c r="A55" s="129"/>
      <c r="B55" s="40"/>
      <c r="C55" s="2" t="s">
        <v>141</v>
      </c>
      <c r="D55" s="73">
        <v>8</v>
      </c>
      <c r="E55" s="72">
        <v>2</v>
      </c>
      <c r="F55" s="57">
        <f>D55*E55*52</f>
        <v>832</v>
      </c>
      <c r="G55" s="84">
        <f>References!$B$31</f>
        <v>613</v>
      </c>
      <c r="H55" s="45">
        <f t="shared" si="17"/>
        <v>510016</v>
      </c>
      <c r="I55" s="74">
        <f t="shared" si="10"/>
        <v>303971.3308241397</v>
      </c>
      <c r="J55" s="116">
        <f>ROUND(((References!$C$49*I55)*$H$125)+((References!$C$54*I55)*$H$124),2)</f>
        <v>311.76</v>
      </c>
      <c r="K55" s="116">
        <f>ROUND(J55/References!$G$53,2)</f>
        <v>321.44</v>
      </c>
      <c r="L55" s="116">
        <f t="shared" si="18"/>
        <v>0.39</v>
      </c>
      <c r="M55" s="116">
        <v>50.115674157303367</v>
      </c>
      <c r="N55" s="93">
        <f t="shared" si="11"/>
        <v>50.505674157303368</v>
      </c>
      <c r="O55" s="101">
        <f t="shared" si="12"/>
        <v>41696.2408988764</v>
      </c>
      <c r="P55" s="101">
        <f t="shared" si="13"/>
        <v>42020.720898876403</v>
      </c>
      <c r="Q55" s="41">
        <f t="shared" si="14"/>
        <v>50.505674157303368</v>
      </c>
      <c r="R55" s="97">
        <f t="shared" si="15"/>
        <v>42020.720898876403</v>
      </c>
      <c r="S55" s="97">
        <f t="shared" si="16"/>
        <v>324.4800000000032</v>
      </c>
      <c r="T55" s="113">
        <f t="shared" si="19"/>
        <v>7.7819964822953835E-3</v>
      </c>
      <c r="U55" s="106"/>
      <c r="V55" s="116"/>
      <c r="Z55" s="116"/>
    </row>
    <row r="56" spans="1:26" s="42" customFormat="1" x14ac:dyDescent="0.25">
      <c r="A56" s="129"/>
      <c r="B56" s="40"/>
      <c r="C56" s="2" t="s">
        <v>142</v>
      </c>
      <c r="D56" s="73">
        <v>2</v>
      </c>
      <c r="E56" s="72">
        <v>1</v>
      </c>
      <c r="F56" s="57">
        <f>D56*E56*52*2</f>
        <v>208</v>
      </c>
      <c r="G56" s="84">
        <f>References!$B$31</f>
        <v>613</v>
      </c>
      <c r="H56" s="45">
        <f t="shared" si="17"/>
        <v>127504</v>
      </c>
      <c r="I56" s="74">
        <f t="shared" ref="I56:I87" si="21">$D$122*H56</f>
        <v>75992.832706034926</v>
      </c>
      <c r="J56" s="116">
        <f>ROUND(((References!$C$49*I56)*$H$125)+((References!$C$54*I56)*$H$124),2)</f>
        <v>77.94</v>
      </c>
      <c r="K56" s="116">
        <f>ROUND(J56/References!$G$53,2)</f>
        <v>80.36</v>
      </c>
      <c r="L56" s="116">
        <f t="shared" si="18"/>
        <v>0.39</v>
      </c>
      <c r="M56" s="116">
        <v>50.115674157303367</v>
      </c>
      <c r="N56" s="93">
        <f t="shared" si="11"/>
        <v>50.505674157303368</v>
      </c>
      <c r="O56" s="101">
        <f t="shared" si="12"/>
        <v>10424.0602247191</v>
      </c>
      <c r="P56" s="101">
        <f t="shared" si="13"/>
        <v>10505.180224719101</v>
      </c>
      <c r="Q56" s="41">
        <f t="shared" si="14"/>
        <v>50.505674157303368</v>
      </c>
      <c r="R56" s="97">
        <f t="shared" si="15"/>
        <v>10505.180224719101</v>
      </c>
      <c r="S56" s="97">
        <f t="shared" si="16"/>
        <v>81.1200000000008</v>
      </c>
      <c r="T56" s="113">
        <f t="shared" si="19"/>
        <v>7.7819964822953835E-3</v>
      </c>
      <c r="U56" s="106"/>
      <c r="V56" s="116"/>
      <c r="Z56" s="116"/>
    </row>
    <row r="57" spans="1:26" s="42" customFormat="1" x14ac:dyDescent="0.25">
      <c r="A57" s="129"/>
      <c r="B57" s="40"/>
      <c r="C57" s="2" t="s">
        <v>143</v>
      </c>
      <c r="D57" s="73">
        <v>1</v>
      </c>
      <c r="E57" s="72">
        <v>1</v>
      </c>
      <c r="F57" s="57">
        <f>D57*E57*52*3</f>
        <v>156</v>
      </c>
      <c r="G57" s="84">
        <f>References!$B$31</f>
        <v>613</v>
      </c>
      <c r="H57" s="45">
        <f t="shared" si="17"/>
        <v>95628</v>
      </c>
      <c r="I57" s="74">
        <f t="shared" si="21"/>
        <v>56994.624529526198</v>
      </c>
      <c r="J57" s="116">
        <f>ROUND(((References!$C$49*I57)*$H$125)+((References!$C$54*I57)*$H$124),2)</f>
        <v>58.46</v>
      </c>
      <c r="K57" s="116">
        <f>ROUND(J57/References!$G$53,2)</f>
        <v>60.27</v>
      </c>
      <c r="L57" s="116">
        <f t="shared" si="18"/>
        <v>0.39</v>
      </c>
      <c r="M57" s="116">
        <v>50.115674157303367</v>
      </c>
      <c r="N57" s="93">
        <f t="shared" si="11"/>
        <v>50.505674157303368</v>
      </c>
      <c r="O57" s="101">
        <f t="shared" si="12"/>
        <v>7818.0451685393255</v>
      </c>
      <c r="P57" s="101">
        <f t="shared" si="13"/>
        <v>7878.8851685393256</v>
      </c>
      <c r="Q57" s="41">
        <f t="shared" si="14"/>
        <v>50.505674157303368</v>
      </c>
      <c r="R57" s="97">
        <f t="shared" si="15"/>
        <v>7878.8851685393256</v>
      </c>
      <c r="S57" s="97">
        <f t="shared" si="16"/>
        <v>60.840000000000146</v>
      </c>
      <c r="T57" s="113">
        <f t="shared" si="19"/>
        <v>7.7819964822953835E-3</v>
      </c>
      <c r="U57" s="106"/>
      <c r="V57" s="116"/>
      <c r="Z57" s="116"/>
    </row>
    <row r="58" spans="1:26" s="42" customFormat="1" x14ac:dyDescent="0.25">
      <c r="A58" s="129"/>
      <c r="B58" s="40"/>
      <c r="C58" s="2" t="s">
        <v>144</v>
      </c>
      <c r="D58" s="73">
        <v>18</v>
      </c>
      <c r="E58" s="72">
        <v>0.5</v>
      </c>
      <c r="F58" s="57">
        <f>D58*E58*52</f>
        <v>468</v>
      </c>
      <c r="G58" s="84">
        <f>References!$B$32</f>
        <v>840</v>
      </c>
      <c r="H58" s="45">
        <f t="shared" si="17"/>
        <v>393120</v>
      </c>
      <c r="I58" s="74">
        <f t="shared" si="21"/>
        <v>234300.90344927573</v>
      </c>
      <c r="J58" s="116">
        <f>ROUND(((References!$C$49*I58)*$H$125)+((References!$C$54*I58)*$H$124),2)</f>
        <v>240.3</v>
      </c>
      <c r="K58" s="116">
        <f>ROUND(J58/References!$G$53,2)</f>
        <v>247.76</v>
      </c>
      <c r="L58" s="116">
        <f t="shared" si="18"/>
        <v>0.53</v>
      </c>
      <c r="M58" s="116">
        <v>68.16</v>
      </c>
      <c r="N58" s="93">
        <f t="shared" si="11"/>
        <v>68.69</v>
      </c>
      <c r="O58" s="101">
        <f t="shared" si="12"/>
        <v>31898.879999999997</v>
      </c>
      <c r="P58" s="101">
        <f t="shared" si="13"/>
        <v>32146.92</v>
      </c>
      <c r="Q58" s="41">
        <f t="shared" si="14"/>
        <v>68.69</v>
      </c>
      <c r="R58" s="97">
        <f t="shared" si="15"/>
        <v>32146.92</v>
      </c>
      <c r="S58" s="97">
        <f t="shared" si="16"/>
        <v>248.04000000000087</v>
      </c>
      <c r="T58" s="113">
        <f t="shared" si="19"/>
        <v>7.7758215962442367E-3</v>
      </c>
      <c r="U58" s="106"/>
      <c r="V58" s="116"/>
      <c r="Z58" s="116"/>
    </row>
    <row r="59" spans="1:26" s="42" customFormat="1" x14ac:dyDescent="0.25">
      <c r="A59" s="129"/>
      <c r="B59" s="40"/>
      <c r="C59" s="2" t="s">
        <v>145</v>
      </c>
      <c r="D59" s="73">
        <v>103</v>
      </c>
      <c r="E59" s="72">
        <v>1</v>
      </c>
      <c r="F59" s="57">
        <f>D59*E59*52</f>
        <v>5356</v>
      </c>
      <c r="G59" s="84">
        <f>References!$B$32</f>
        <v>840</v>
      </c>
      <c r="H59" s="45">
        <f t="shared" si="17"/>
        <v>4499040</v>
      </c>
      <c r="I59" s="74">
        <f t="shared" si="21"/>
        <v>2681443.672808378</v>
      </c>
      <c r="J59" s="116">
        <f>ROUND(((References!$C$49*I59)*$H$125)+((References!$C$54*I59)*$H$124),2)</f>
        <v>2750.15</v>
      </c>
      <c r="K59" s="116">
        <f>ROUND(J59/References!$G$53,2)</f>
        <v>2835.5</v>
      </c>
      <c r="L59" s="116">
        <f t="shared" si="18"/>
        <v>0.53</v>
      </c>
      <c r="M59" s="116">
        <v>68.16</v>
      </c>
      <c r="N59" s="93">
        <f t="shared" si="11"/>
        <v>68.69</v>
      </c>
      <c r="O59" s="101">
        <f t="shared" si="12"/>
        <v>365064.95999999996</v>
      </c>
      <c r="P59" s="101">
        <f t="shared" si="13"/>
        <v>367903.64</v>
      </c>
      <c r="Q59" s="41">
        <f t="shared" si="14"/>
        <v>68.69</v>
      </c>
      <c r="R59" s="97">
        <f t="shared" si="15"/>
        <v>367903.64</v>
      </c>
      <c r="S59" s="97">
        <f t="shared" si="16"/>
        <v>2838.6800000000512</v>
      </c>
      <c r="T59" s="113">
        <f t="shared" si="19"/>
        <v>7.7758215962442367E-3</v>
      </c>
      <c r="U59" s="106"/>
      <c r="V59" s="116"/>
      <c r="W59" s="116"/>
      <c r="X59" s="106"/>
      <c r="Z59" s="116"/>
    </row>
    <row r="60" spans="1:26" s="42" customFormat="1" x14ac:dyDescent="0.25">
      <c r="A60" s="129"/>
      <c r="B60" s="40"/>
      <c r="C60" s="2" t="s">
        <v>146</v>
      </c>
      <c r="D60" s="73">
        <v>10</v>
      </c>
      <c r="E60" s="72">
        <v>1</v>
      </c>
      <c r="F60" s="57">
        <f>D60*E60*52*2</f>
        <v>1040</v>
      </c>
      <c r="G60" s="84">
        <f>References!$B$32</f>
        <v>840</v>
      </c>
      <c r="H60" s="45">
        <f t="shared" si="17"/>
        <v>873600</v>
      </c>
      <c r="I60" s="74">
        <f t="shared" si="21"/>
        <v>520668.67433172383</v>
      </c>
      <c r="J60" s="116">
        <f>ROUND(((References!$C$49*I60)*$H$125)+((References!$C$54*I60)*$H$124),2)</f>
        <v>534.01</v>
      </c>
      <c r="K60" s="116">
        <f>ROUND(J60/References!$G$53,2)</f>
        <v>550.58000000000004</v>
      </c>
      <c r="L60" s="116">
        <f t="shared" si="18"/>
        <v>0.53</v>
      </c>
      <c r="M60" s="116">
        <v>68.16</v>
      </c>
      <c r="N60" s="93">
        <f t="shared" si="11"/>
        <v>68.69</v>
      </c>
      <c r="O60" s="101">
        <f t="shared" si="12"/>
        <v>70886.399999999994</v>
      </c>
      <c r="P60" s="101">
        <f t="shared" si="13"/>
        <v>71437.599999999991</v>
      </c>
      <c r="Q60" s="41">
        <f t="shared" si="14"/>
        <v>68.69</v>
      </c>
      <c r="R60" s="97">
        <f t="shared" si="15"/>
        <v>71437.599999999991</v>
      </c>
      <c r="S60" s="97">
        <f t="shared" si="16"/>
        <v>551.19999999999709</v>
      </c>
      <c r="T60" s="113">
        <f t="shared" si="19"/>
        <v>7.7758215962442367E-3</v>
      </c>
      <c r="U60" s="106"/>
      <c r="V60" s="116"/>
      <c r="Z60" s="116"/>
    </row>
    <row r="61" spans="1:26" s="42" customFormat="1" x14ac:dyDescent="0.25">
      <c r="A61" s="129"/>
      <c r="B61" s="40"/>
      <c r="C61" s="2" t="s">
        <v>147</v>
      </c>
      <c r="D61" s="73">
        <v>15</v>
      </c>
      <c r="E61" s="72">
        <v>1</v>
      </c>
      <c r="F61" s="57">
        <f>D61*E61*52*3</f>
        <v>2340</v>
      </c>
      <c r="G61" s="84">
        <f>References!$B$32</f>
        <v>840</v>
      </c>
      <c r="H61" s="45">
        <f t="shared" si="17"/>
        <v>1965600</v>
      </c>
      <c r="I61" s="74">
        <f t="shared" si="21"/>
        <v>1171504.5172463786</v>
      </c>
      <c r="J61" s="116">
        <f>ROUND(((References!$C$49*I61)*$H$125)+((References!$C$54*I61)*$H$124),2)</f>
        <v>1201.52</v>
      </c>
      <c r="K61" s="116">
        <f>ROUND(J61/References!$G$53,2)</f>
        <v>1238.81</v>
      </c>
      <c r="L61" s="116">
        <f t="shared" si="18"/>
        <v>0.53</v>
      </c>
      <c r="M61" s="116">
        <v>68.16</v>
      </c>
      <c r="N61" s="93">
        <f t="shared" si="11"/>
        <v>68.69</v>
      </c>
      <c r="O61" s="101">
        <f t="shared" si="12"/>
        <v>159494.39999999999</v>
      </c>
      <c r="P61" s="101">
        <f t="shared" si="13"/>
        <v>160734.6</v>
      </c>
      <c r="Q61" s="41">
        <f t="shared" si="14"/>
        <v>68.69</v>
      </c>
      <c r="R61" s="97">
        <f t="shared" si="15"/>
        <v>160734.6</v>
      </c>
      <c r="S61" s="97">
        <f t="shared" si="16"/>
        <v>1240.2000000000116</v>
      </c>
      <c r="T61" s="113">
        <f t="shared" si="19"/>
        <v>7.7758215962442367E-3</v>
      </c>
      <c r="U61" s="106"/>
      <c r="V61" s="116"/>
      <c r="Z61" s="116"/>
    </row>
    <row r="62" spans="1:26" s="42" customFormat="1" x14ac:dyDescent="0.25">
      <c r="A62" s="129"/>
      <c r="B62" s="40"/>
      <c r="C62" s="2" t="s">
        <v>148</v>
      </c>
      <c r="D62" s="73">
        <v>4</v>
      </c>
      <c r="E62" s="72">
        <v>1</v>
      </c>
      <c r="F62" s="57">
        <f>D62*E62*52*4</f>
        <v>832</v>
      </c>
      <c r="G62" s="84">
        <f>References!$B$32</f>
        <v>840</v>
      </c>
      <c r="H62" s="45">
        <f t="shared" si="17"/>
        <v>698880</v>
      </c>
      <c r="I62" s="74">
        <f t="shared" si="21"/>
        <v>416534.93946537905</v>
      </c>
      <c r="J62" s="116">
        <f>ROUND(((References!$C$49*I62)*$H$125)+((References!$C$54*I62)*$H$124),2)</f>
        <v>427.21</v>
      </c>
      <c r="K62" s="116">
        <f>ROUND(J62/References!$G$53,2)</f>
        <v>440.47</v>
      </c>
      <c r="L62" s="116">
        <f t="shared" si="18"/>
        <v>0.53</v>
      </c>
      <c r="M62" s="116">
        <v>68.16</v>
      </c>
      <c r="N62" s="93">
        <f t="shared" si="11"/>
        <v>68.69</v>
      </c>
      <c r="O62" s="101">
        <f t="shared" si="12"/>
        <v>56709.119999999995</v>
      </c>
      <c r="P62" s="101">
        <f t="shared" si="13"/>
        <v>57150.080000000002</v>
      </c>
      <c r="Q62" s="41">
        <f t="shared" si="14"/>
        <v>68.69</v>
      </c>
      <c r="R62" s="97">
        <f t="shared" si="15"/>
        <v>57150.080000000002</v>
      </c>
      <c r="S62" s="97">
        <f t="shared" si="16"/>
        <v>440.9600000000064</v>
      </c>
      <c r="T62" s="113">
        <f t="shared" si="19"/>
        <v>7.7758215962442367E-3</v>
      </c>
      <c r="U62" s="106"/>
      <c r="V62" s="116"/>
      <c r="Z62" s="116"/>
    </row>
    <row r="63" spans="1:26" s="42" customFormat="1" x14ac:dyDescent="0.25">
      <c r="A63" s="129"/>
      <c r="B63" s="40"/>
      <c r="C63" s="2" t="s">
        <v>149</v>
      </c>
      <c r="D63" s="73">
        <v>10</v>
      </c>
      <c r="E63" s="72">
        <v>1</v>
      </c>
      <c r="F63" s="57">
        <f>D63*E63*52*5</f>
        <v>2600</v>
      </c>
      <c r="G63" s="84">
        <f>References!$B$32</f>
        <v>840</v>
      </c>
      <c r="H63" s="45">
        <f t="shared" si="17"/>
        <v>2184000</v>
      </c>
      <c r="I63" s="74">
        <f t="shared" si="21"/>
        <v>1301671.6858293095</v>
      </c>
      <c r="J63" s="116">
        <f>ROUND(((References!$C$49*I63)*$H$125)+((References!$C$54*I63)*$H$124),2)</f>
        <v>1335.02</v>
      </c>
      <c r="K63" s="116">
        <f>ROUND(J63/References!$G$53,2)</f>
        <v>1376.45</v>
      </c>
      <c r="L63" s="116">
        <f t="shared" si="18"/>
        <v>0.53</v>
      </c>
      <c r="M63" s="116">
        <v>68.16</v>
      </c>
      <c r="N63" s="93">
        <f t="shared" si="11"/>
        <v>68.69</v>
      </c>
      <c r="O63" s="101">
        <f t="shared" si="12"/>
        <v>177216</v>
      </c>
      <c r="P63" s="101">
        <f t="shared" si="13"/>
        <v>178594</v>
      </c>
      <c r="Q63" s="41">
        <f t="shared" si="14"/>
        <v>68.69</v>
      </c>
      <c r="R63" s="97">
        <f t="shared" si="15"/>
        <v>178594</v>
      </c>
      <c r="S63" s="97">
        <f t="shared" si="16"/>
        <v>1378</v>
      </c>
      <c r="T63" s="113">
        <f t="shared" si="19"/>
        <v>7.7758215962442367E-3</v>
      </c>
      <c r="U63" s="106"/>
      <c r="V63" s="116"/>
      <c r="Z63" s="116"/>
    </row>
    <row r="64" spans="1:26" s="42" customFormat="1" x14ac:dyDescent="0.25">
      <c r="A64" s="129"/>
      <c r="B64" s="40"/>
      <c r="C64" s="2" t="s">
        <v>150</v>
      </c>
      <c r="D64" s="73">
        <v>26</v>
      </c>
      <c r="E64" s="72">
        <v>2</v>
      </c>
      <c r="F64" s="57">
        <f>D64*E64*52</f>
        <v>2704</v>
      </c>
      <c r="G64" s="84">
        <f>References!$B$32</f>
        <v>840</v>
      </c>
      <c r="H64" s="45">
        <f t="shared" si="17"/>
        <v>2271360</v>
      </c>
      <c r="I64" s="74">
        <f t="shared" si="21"/>
        <v>1353738.5532624819</v>
      </c>
      <c r="J64" s="116">
        <f>ROUND(((References!$C$49*I64)*$H$125)+((References!$C$54*I64)*$H$124),2)</f>
        <v>1388.43</v>
      </c>
      <c r="K64" s="116">
        <f>ROUND(J64/References!$G$53,2)</f>
        <v>1431.52</v>
      </c>
      <c r="L64" s="116">
        <f t="shared" si="18"/>
        <v>0.53</v>
      </c>
      <c r="M64" s="116">
        <v>68.16</v>
      </c>
      <c r="N64" s="93">
        <f t="shared" si="11"/>
        <v>68.69</v>
      </c>
      <c r="O64" s="101">
        <f t="shared" si="12"/>
        <v>184304.63999999998</v>
      </c>
      <c r="P64" s="101">
        <f t="shared" si="13"/>
        <v>185737.75999999998</v>
      </c>
      <c r="Q64" s="41">
        <f t="shared" si="14"/>
        <v>68.69</v>
      </c>
      <c r="R64" s="97">
        <f t="shared" si="15"/>
        <v>185737.75999999998</v>
      </c>
      <c r="S64" s="97">
        <f t="shared" si="16"/>
        <v>1433.1199999999953</v>
      </c>
      <c r="T64" s="113">
        <f t="shared" si="19"/>
        <v>7.7758215962442367E-3</v>
      </c>
      <c r="U64" s="106"/>
      <c r="V64" s="116"/>
      <c r="Z64" s="116"/>
    </row>
    <row r="65" spans="1:26" s="42" customFormat="1" x14ac:dyDescent="0.25">
      <c r="A65" s="129"/>
      <c r="B65" s="40"/>
      <c r="C65" s="2" t="s">
        <v>151</v>
      </c>
      <c r="D65" s="73">
        <v>6</v>
      </c>
      <c r="E65" s="72">
        <v>2</v>
      </c>
      <c r="F65" s="57">
        <f>D65*E65*52*2</f>
        <v>1248</v>
      </c>
      <c r="G65" s="84">
        <f>References!$B$32</f>
        <v>840</v>
      </c>
      <c r="H65" s="45">
        <f t="shared" si="17"/>
        <v>1048320</v>
      </c>
      <c r="I65" s="74">
        <f t="shared" si="21"/>
        <v>624802.40919806866</v>
      </c>
      <c r="J65" s="116">
        <f>ROUND(((References!$C$49*I65)*$H$125)+((References!$C$54*I65)*$H$124),2)</f>
        <v>640.80999999999995</v>
      </c>
      <c r="K65" s="116">
        <f>ROUND(J65/References!$G$53,2)</f>
        <v>660.7</v>
      </c>
      <c r="L65" s="116">
        <f t="shared" si="18"/>
        <v>0.53</v>
      </c>
      <c r="M65" s="116">
        <v>68.16</v>
      </c>
      <c r="N65" s="93">
        <f t="shared" si="11"/>
        <v>68.69</v>
      </c>
      <c r="O65" s="101">
        <f t="shared" si="12"/>
        <v>85063.679999999993</v>
      </c>
      <c r="P65" s="101">
        <f t="shared" si="13"/>
        <v>85725.119999999995</v>
      </c>
      <c r="Q65" s="41">
        <f t="shared" si="14"/>
        <v>68.69</v>
      </c>
      <c r="R65" s="97">
        <f t="shared" si="15"/>
        <v>85725.119999999995</v>
      </c>
      <c r="S65" s="97">
        <f t="shared" si="16"/>
        <v>661.44000000000233</v>
      </c>
      <c r="T65" s="113">
        <f t="shared" si="19"/>
        <v>7.7758215962442367E-3</v>
      </c>
      <c r="U65" s="106"/>
      <c r="V65" s="116"/>
      <c r="Z65" s="116"/>
    </row>
    <row r="66" spans="1:26" s="42" customFormat="1" x14ac:dyDescent="0.25">
      <c r="A66" s="129"/>
      <c r="B66" s="40"/>
      <c r="C66" s="2" t="s">
        <v>152</v>
      </c>
      <c r="D66" s="73">
        <v>5</v>
      </c>
      <c r="E66" s="72">
        <v>3</v>
      </c>
      <c r="F66" s="57">
        <f>D66*E66*52</f>
        <v>780</v>
      </c>
      <c r="G66" s="84">
        <f>References!$B$32</f>
        <v>840</v>
      </c>
      <c r="H66" s="45">
        <f t="shared" si="17"/>
        <v>655200</v>
      </c>
      <c r="I66" s="74">
        <f t="shared" si="21"/>
        <v>390501.5057487929</v>
      </c>
      <c r="J66" s="116">
        <f>ROUND(((References!$C$49*I66)*$H$125)+((References!$C$54*I66)*$H$124),2)</f>
        <v>400.51</v>
      </c>
      <c r="K66" s="116">
        <f>ROUND(J66/References!$G$53,2)</f>
        <v>412.94</v>
      </c>
      <c r="L66" s="116">
        <f t="shared" si="18"/>
        <v>0.53</v>
      </c>
      <c r="M66" s="116">
        <v>68.16</v>
      </c>
      <c r="N66" s="93">
        <f t="shared" si="11"/>
        <v>68.69</v>
      </c>
      <c r="O66" s="101">
        <f t="shared" si="12"/>
        <v>53164.799999999996</v>
      </c>
      <c r="P66" s="101">
        <f t="shared" si="13"/>
        <v>53578.2</v>
      </c>
      <c r="Q66" s="41">
        <f t="shared" si="14"/>
        <v>68.69</v>
      </c>
      <c r="R66" s="97">
        <f t="shared" si="15"/>
        <v>53578.2</v>
      </c>
      <c r="S66" s="97">
        <f t="shared" si="16"/>
        <v>413.40000000000146</v>
      </c>
      <c r="T66" s="113">
        <f t="shared" si="19"/>
        <v>7.7758215962442367E-3</v>
      </c>
      <c r="U66" s="106"/>
      <c r="V66" s="116"/>
      <c r="Z66" s="116"/>
    </row>
    <row r="67" spans="1:26" s="42" customFormat="1" x14ac:dyDescent="0.25">
      <c r="A67" s="129"/>
      <c r="B67" s="40"/>
      <c r="C67" s="2" t="s">
        <v>153</v>
      </c>
      <c r="D67" s="73">
        <v>4</v>
      </c>
      <c r="E67" s="72">
        <v>3</v>
      </c>
      <c r="F67" s="57">
        <f>D67*E67*52*4</f>
        <v>2496</v>
      </c>
      <c r="G67" s="84">
        <f>References!$B$32</f>
        <v>840</v>
      </c>
      <c r="H67" s="45">
        <f t="shared" si="17"/>
        <v>2096640</v>
      </c>
      <c r="I67" s="74">
        <f t="shared" si="21"/>
        <v>1249604.8183961373</v>
      </c>
      <c r="J67" s="116">
        <f>ROUND(((References!$C$49*I67)*$H$125)+((References!$C$54*I67)*$H$124),2)</f>
        <v>1281.6199999999999</v>
      </c>
      <c r="K67" s="116">
        <f>ROUND(J67/References!$G$53,2)</f>
        <v>1321.39</v>
      </c>
      <c r="L67" s="116">
        <f t="shared" si="18"/>
        <v>0.53</v>
      </c>
      <c r="M67" s="116">
        <v>68.16</v>
      </c>
      <c r="N67" s="93">
        <f t="shared" si="11"/>
        <v>68.69</v>
      </c>
      <c r="O67" s="101">
        <f t="shared" si="12"/>
        <v>170127.35999999999</v>
      </c>
      <c r="P67" s="101">
        <f t="shared" si="13"/>
        <v>171450.23999999999</v>
      </c>
      <c r="Q67" s="41">
        <f t="shared" si="14"/>
        <v>68.69</v>
      </c>
      <c r="R67" s="97">
        <f t="shared" si="15"/>
        <v>171450.23999999999</v>
      </c>
      <c r="S67" s="97">
        <f t="shared" si="16"/>
        <v>1322.8800000000047</v>
      </c>
      <c r="T67" s="113">
        <f t="shared" si="19"/>
        <v>7.7758215962442367E-3</v>
      </c>
      <c r="U67" s="106"/>
      <c r="V67" s="116"/>
      <c r="Z67" s="116"/>
    </row>
    <row r="68" spans="1:26" s="42" customFormat="1" x14ac:dyDescent="0.25">
      <c r="A68" s="129"/>
      <c r="B68" s="40"/>
      <c r="C68" s="2" t="s">
        <v>154</v>
      </c>
      <c r="D68" s="73">
        <v>14</v>
      </c>
      <c r="E68" s="72">
        <v>0.5</v>
      </c>
      <c r="F68" s="57">
        <f>D68*E68*52</f>
        <v>364</v>
      </c>
      <c r="G68" s="84">
        <f>References!$B$33</f>
        <v>980</v>
      </c>
      <c r="H68" s="45">
        <f t="shared" si="17"/>
        <v>356720</v>
      </c>
      <c r="I68" s="74">
        <f t="shared" si="21"/>
        <v>212606.37535212058</v>
      </c>
      <c r="J68" s="116">
        <f>ROUND(((References!$C$49*I68)*$H$125)+((References!$C$54*I68)*$H$124),2)</f>
        <v>218.05</v>
      </c>
      <c r="K68" s="116">
        <f>ROUND(J68/References!$G$53,2)</f>
        <v>224.82</v>
      </c>
      <c r="L68" s="116">
        <f t="shared" si="18"/>
        <v>0.62</v>
      </c>
      <c r="M68" s="116">
        <v>82.02</v>
      </c>
      <c r="N68" s="93">
        <f t="shared" si="11"/>
        <v>82.64</v>
      </c>
      <c r="O68" s="101">
        <f t="shared" si="12"/>
        <v>29855.279999999999</v>
      </c>
      <c r="P68" s="101">
        <f t="shared" si="13"/>
        <v>30080.959999999999</v>
      </c>
      <c r="Q68" s="41">
        <f t="shared" si="14"/>
        <v>82.64</v>
      </c>
      <c r="R68" s="97">
        <f t="shared" si="15"/>
        <v>30080.959999999999</v>
      </c>
      <c r="S68" s="97">
        <f t="shared" si="16"/>
        <v>225.68000000000029</v>
      </c>
      <c r="T68" s="113">
        <f t="shared" si="19"/>
        <v>7.5591319190442263E-3</v>
      </c>
      <c r="U68" s="106"/>
      <c r="V68" s="116"/>
      <c r="Z68" s="116"/>
    </row>
    <row r="69" spans="1:26" s="42" customFormat="1" x14ac:dyDescent="0.25">
      <c r="A69" s="129"/>
      <c r="B69" s="40"/>
      <c r="C69" s="2" t="s">
        <v>155</v>
      </c>
      <c r="D69" s="73">
        <v>68</v>
      </c>
      <c r="E69" s="72">
        <v>1</v>
      </c>
      <c r="F69" s="57">
        <f t="shared" ref="F69:F89" si="22">D69*E69*52</f>
        <v>3536</v>
      </c>
      <c r="G69" s="84">
        <f>References!$B$33</f>
        <v>980</v>
      </c>
      <c r="H69" s="45">
        <f t="shared" si="17"/>
        <v>3465280</v>
      </c>
      <c r="I69" s="74">
        <f t="shared" si="21"/>
        <v>2065319.0748491713</v>
      </c>
      <c r="J69" s="116">
        <f>ROUND(((References!$C$49*I69)*$H$125)+((References!$C$54*I69)*$H$124),2)</f>
        <v>2118.2399999999998</v>
      </c>
      <c r="K69" s="116">
        <f>ROUND(J69/References!$G$53,2)</f>
        <v>2183.98</v>
      </c>
      <c r="L69" s="116">
        <f t="shared" si="18"/>
        <v>0.62</v>
      </c>
      <c r="M69" s="116">
        <v>82.02</v>
      </c>
      <c r="N69" s="93">
        <f t="shared" si="11"/>
        <v>82.64</v>
      </c>
      <c r="O69" s="101">
        <f t="shared" si="12"/>
        <v>290022.71999999997</v>
      </c>
      <c r="P69" s="101">
        <f t="shared" si="13"/>
        <v>292215.03999999998</v>
      </c>
      <c r="Q69" s="41">
        <f t="shared" si="14"/>
        <v>82.64</v>
      </c>
      <c r="R69" s="97">
        <f t="shared" si="15"/>
        <v>292215.03999999998</v>
      </c>
      <c r="S69" s="97">
        <f t="shared" si="16"/>
        <v>2192.320000000007</v>
      </c>
      <c r="T69" s="113">
        <f t="shared" si="19"/>
        <v>7.5591319190442263E-3</v>
      </c>
      <c r="U69" s="106"/>
      <c r="V69" s="116">
        <v>95.09</v>
      </c>
      <c r="W69" s="116">
        <f>+V69*T69</f>
        <v>0.71879785418191555</v>
      </c>
      <c r="X69" s="106">
        <f>+W69+V69</f>
        <v>95.808797854181918</v>
      </c>
      <c r="Z69" s="116"/>
    </row>
    <row r="70" spans="1:26" s="42" customFormat="1" x14ac:dyDescent="0.25">
      <c r="A70" s="129"/>
      <c r="B70" s="40"/>
      <c r="C70" s="2" t="s">
        <v>156</v>
      </c>
      <c r="D70" s="73">
        <v>8</v>
      </c>
      <c r="E70" s="72">
        <v>1</v>
      </c>
      <c r="F70" s="57">
        <f>D70*E70*52*2</f>
        <v>832</v>
      </c>
      <c r="G70" s="84">
        <f>References!$B$33</f>
        <v>980</v>
      </c>
      <c r="H70" s="45">
        <f t="shared" si="17"/>
        <v>815360</v>
      </c>
      <c r="I70" s="74">
        <f t="shared" si="21"/>
        <v>485957.42937627557</v>
      </c>
      <c r="J70" s="116">
        <f>ROUND(((References!$C$49*I70)*$H$125)+((References!$C$54*I70)*$H$124),2)</f>
        <v>498.41</v>
      </c>
      <c r="K70" s="116">
        <f>ROUND(J70/References!$G$53,2)</f>
        <v>513.88</v>
      </c>
      <c r="L70" s="116">
        <f t="shared" si="18"/>
        <v>0.62</v>
      </c>
      <c r="M70" s="116">
        <v>82.02</v>
      </c>
      <c r="N70" s="93">
        <f t="shared" si="11"/>
        <v>82.64</v>
      </c>
      <c r="O70" s="101">
        <f t="shared" si="12"/>
        <v>68240.639999999999</v>
      </c>
      <c r="P70" s="101">
        <f t="shared" si="13"/>
        <v>68756.479999999996</v>
      </c>
      <c r="Q70" s="41">
        <f t="shared" si="14"/>
        <v>82.64</v>
      </c>
      <c r="R70" s="97">
        <f t="shared" si="15"/>
        <v>68756.479999999996</v>
      </c>
      <c r="S70" s="97">
        <f t="shared" si="16"/>
        <v>515.83999999999651</v>
      </c>
      <c r="T70" s="113">
        <f t="shared" si="19"/>
        <v>7.5591319190442263E-3</v>
      </c>
      <c r="U70" s="106"/>
      <c r="V70" s="116"/>
      <c r="Z70" s="116"/>
    </row>
    <row r="71" spans="1:26" s="42" customFormat="1" x14ac:dyDescent="0.25">
      <c r="A71" s="129"/>
      <c r="B71" s="40"/>
      <c r="C71" s="2" t="s">
        <v>157</v>
      </c>
      <c r="D71" s="73">
        <v>9</v>
      </c>
      <c r="E71" s="72">
        <v>1</v>
      </c>
      <c r="F71" s="57">
        <f>D71*E71*52*3</f>
        <v>1404</v>
      </c>
      <c r="G71" s="84">
        <f>References!$B$33</f>
        <v>980</v>
      </c>
      <c r="H71" s="45">
        <f t="shared" si="17"/>
        <v>1375920</v>
      </c>
      <c r="I71" s="74">
        <f t="shared" si="21"/>
        <v>820053.16207246506</v>
      </c>
      <c r="J71" s="116">
        <f>ROUND(((References!$C$49*I71)*$H$125)+((References!$C$54*I71)*$H$124),2)</f>
        <v>841.07</v>
      </c>
      <c r="K71" s="116">
        <f>ROUND(J71/References!$G$53,2)</f>
        <v>867.17</v>
      </c>
      <c r="L71" s="116">
        <f t="shared" si="18"/>
        <v>0.62</v>
      </c>
      <c r="M71" s="116">
        <v>82.02</v>
      </c>
      <c r="N71" s="93">
        <f t="shared" si="11"/>
        <v>82.64</v>
      </c>
      <c r="O71" s="101">
        <f t="shared" si="12"/>
        <v>115156.07999999999</v>
      </c>
      <c r="P71" s="101">
        <f t="shared" si="13"/>
        <v>116026.56</v>
      </c>
      <c r="Q71" s="41">
        <f t="shared" si="14"/>
        <v>82.64</v>
      </c>
      <c r="R71" s="97">
        <f t="shared" si="15"/>
        <v>116026.56</v>
      </c>
      <c r="S71" s="97">
        <f t="shared" si="16"/>
        <v>870.48000000001048</v>
      </c>
      <c r="T71" s="113">
        <f t="shared" si="19"/>
        <v>7.5591319190442263E-3</v>
      </c>
      <c r="U71" s="106"/>
      <c r="V71" s="116"/>
      <c r="Z71" s="116"/>
    </row>
    <row r="72" spans="1:26" s="42" customFormat="1" x14ac:dyDescent="0.25">
      <c r="A72" s="129"/>
      <c r="B72" s="40"/>
      <c r="C72" s="2" t="s">
        <v>158</v>
      </c>
      <c r="D72" s="73">
        <v>5</v>
      </c>
      <c r="E72" s="72">
        <v>1</v>
      </c>
      <c r="F72" s="57">
        <f>D72*E72*52*5</f>
        <v>1300</v>
      </c>
      <c r="G72" s="84">
        <f>References!$B$33</f>
        <v>980</v>
      </c>
      <c r="H72" s="45">
        <f t="shared" si="17"/>
        <v>1274000</v>
      </c>
      <c r="I72" s="74">
        <f t="shared" si="21"/>
        <v>759308.48340043065</v>
      </c>
      <c r="J72" s="116">
        <f>ROUND(((References!$C$49*I72)*$H$125)+((References!$C$54*I72)*$H$124),2)</f>
        <v>778.76</v>
      </c>
      <c r="K72" s="116">
        <f>ROUND(J72/References!$G$53,2)</f>
        <v>802.93</v>
      </c>
      <c r="L72" s="116">
        <f t="shared" si="18"/>
        <v>0.62</v>
      </c>
      <c r="M72" s="116">
        <v>82.02</v>
      </c>
      <c r="N72" s="93">
        <f t="shared" si="11"/>
        <v>82.64</v>
      </c>
      <c r="O72" s="101">
        <f t="shared" si="12"/>
        <v>106626</v>
      </c>
      <c r="P72" s="101">
        <f t="shared" si="13"/>
        <v>107432</v>
      </c>
      <c r="Q72" s="41">
        <f t="shared" si="14"/>
        <v>82.64</v>
      </c>
      <c r="R72" s="97">
        <f t="shared" si="15"/>
        <v>107432</v>
      </c>
      <c r="S72" s="97">
        <f t="shared" si="16"/>
        <v>806</v>
      </c>
      <c r="T72" s="113">
        <f t="shared" si="19"/>
        <v>7.5591319190442263E-3</v>
      </c>
      <c r="U72" s="106"/>
      <c r="V72" s="116"/>
      <c r="Z72" s="116"/>
    </row>
    <row r="73" spans="1:26" s="42" customFormat="1" x14ac:dyDescent="0.25">
      <c r="A73" s="129"/>
      <c r="B73" s="40"/>
      <c r="C73" s="2" t="s">
        <v>159</v>
      </c>
      <c r="D73" s="73">
        <v>6</v>
      </c>
      <c r="E73" s="72">
        <v>1</v>
      </c>
      <c r="F73" s="57">
        <f>D73*E73*52*6</f>
        <v>1872</v>
      </c>
      <c r="G73" s="84">
        <f>References!$B$33</f>
        <v>980</v>
      </c>
      <c r="H73" s="45">
        <f t="shared" si="17"/>
        <v>1834560</v>
      </c>
      <c r="I73" s="74">
        <f t="shared" si="21"/>
        <v>1093404.2160966201</v>
      </c>
      <c r="J73" s="116">
        <f>ROUND(((References!$C$49*I73)*$H$125)+((References!$C$54*I73)*$H$124),2)</f>
        <v>1121.42</v>
      </c>
      <c r="K73" s="116">
        <f>ROUND(J73/References!$G$53,2)</f>
        <v>1156.22</v>
      </c>
      <c r="L73" s="116">
        <f t="shared" si="18"/>
        <v>0.62</v>
      </c>
      <c r="M73" s="116">
        <v>82.02</v>
      </c>
      <c r="N73" s="93">
        <f t="shared" si="11"/>
        <v>82.64</v>
      </c>
      <c r="O73" s="101">
        <f t="shared" si="12"/>
        <v>153541.44</v>
      </c>
      <c r="P73" s="101">
        <f t="shared" si="13"/>
        <v>154702.07999999999</v>
      </c>
      <c r="Q73" s="41">
        <f t="shared" si="14"/>
        <v>82.64</v>
      </c>
      <c r="R73" s="97">
        <f t="shared" si="15"/>
        <v>154702.07999999999</v>
      </c>
      <c r="S73" s="97">
        <f t="shared" si="16"/>
        <v>1160.6399999999849</v>
      </c>
      <c r="T73" s="113">
        <f t="shared" si="19"/>
        <v>7.5591319190442263E-3</v>
      </c>
      <c r="U73" s="106"/>
      <c r="V73" s="116"/>
      <c r="Z73" s="116"/>
    </row>
    <row r="74" spans="1:26" s="42" customFormat="1" x14ac:dyDescent="0.25">
      <c r="A74" s="129"/>
      <c r="B74" s="40"/>
      <c r="C74" s="2" t="s">
        <v>160</v>
      </c>
      <c r="D74" s="73">
        <v>17</v>
      </c>
      <c r="E74" s="72">
        <v>2</v>
      </c>
      <c r="F74" s="57">
        <f t="shared" si="22"/>
        <v>1768</v>
      </c>
      <c r="G74" s="84">
        <f>References!$B$33</f>
        <v>980</v>
      </c>
      <c r="H74" s="45">
        <f t="shared" si="17"/>
        <v>1732640</v>
      </c>
      <c r="I74" s="74">
        <f t="shared" si="21"/>
        <v>1032659.5374245857</v>
      </c>
      <c r="J74" s="116">
        <f>ROUND(((References!$C$49*I74)*$H$125)+((References!$C$54*I74)*$H$124),2)</f>
        <v>1059.1199999999999</v>
      </c>
      <c r="K74" s="116">
        <f>ROUND(J74/References!$G$53,2)</f>
        <v>1091.99</v>
      </c>
      <c r="L74" s="116">
        <f t="shared" si="18"/>
        <v>0.62</v>
      </c>
      <c r="M74" s="116">
        <v>82.02</v>
      </c>
      <c r="N74" s="93">
        <f t="shared" si="11"/>
        <v>82.64</v>
      </c>
      <c r="O74" s="101">
        <f t="shared" si="12"/>
        <v>145011.35999999999</v>
      </c>
      <c r="P74" s="101">
        <f t="shared" si="13"/>
        <v>146107.51999999999</v>
      </c>
      <c r="Q74" s="41">
        <f t="shared" si="14"/>
        <v>82.64</v>
      </c>
      <c r="R74" s="97">
        <f t="shared" si="15"/>
        <v>146107.51999999999</v>
      </c>
      <c r="S74" s="97">
        <f t="shared" si="16"/>
        <v>1096.1600000000035</v>
      </c>
      <c r="T74" s="113">
        <f t="shared" si="19"/>
        <v>7.5591319190442263E-3</v>
      </c>
      <c r="U74" s="106"/>
      <c r="V74" s="116"/>
      <c r="Z74" s="116"/>
    </row>
    <row r="75" spans="1:26" s="42" customFormat="1" x14ac:dyDescent="0.25">
      <c r="A75" s="129"/>
      <c r="B75" s="40"/>
      <c r="C75" s="2" t="s">
        <v>161</v>
      </c>
      <c r="D75" s="73">
        <v>4</v>
      </c>
      <c r="E75" s="72">
        <v>2</v>
      </c>
      <c r="F75" s="57">
        <f>D75*E75*52*2</f>
        <v>832</v>
      </c>
      <c r="G75" s="84">
        <f>References!$B$33</f>
        <v>980</v>
      </c>
      <c r="H75" s="45">
        <f t="shared" si="17"/>
        <v>815360</v>
      </c>
      <c r="I75" s="74">
        <f t="shared" si="21"/>
        <v>485957.42937627557</v>
      </c>
      <c r="J75" s="116">
        <f>ROUND(((References!$C$49*I75)*$H$125)+((References!$C$54*I75)*$H$124),2)</f>
        <v>498.41</v>
      </c>
      <c r="K75" s="116">
        <f>ROUND(J75/References!$G$53,2)</f>
        <v>513.88</v>
      </c>
      <c r="L75" s="116">
        <f t="shared" si="18"/>
        <v>0.62</v>
      </c>
      <c r="M75" s="116">
        <v>82.02</v>
      </c>
      <c r="N75" s="93">
        <f t="shared" si="11"/>
        <v>82.64</v>
      </c>
      <c r="O75" s="101">
        <f t="shared" si="12"/>
        <v>68240.639999999999</v>
      </c>
      <c r="P75" s="101">
        <f t="shared" si="13"/>
        <v>68756.479999999996</v>
      </c>
      <c r="Q75" s="41">
        <f t="shared" si="14"/>
        <v>82.64</v>
      </c>
      <c r="R75" s="97">
        <f t="shared" si="15"/>
        <v>68756.479999999996</v>
      </c>
      <c r="S75" s="97">
        <f t="shared" si="16"/>
        <v>515.83999999999651</v>
      </c>
      <c r="T75" s="113">
        <f t="shared" si="19"/>
        <v>7.5591319190442263E-3</v>
      </c>
      <c r="U75" s="106"/>
      <c r="V75" s="116"/>
      <c r="Z75" s="116"/>
    </row>
    <row r="76" spans="1:26" s="42" customFormat="1" x14ac:dyDescent="0.25">
      <c r="A76" s="129"/>
      <c r="B76" s="40"/>
      <c r="C76" s="2" t="s">
        <v>162</v>
      </c>
      <c r="D76" s="73">
        <v>7</v>
      </c>
      <c r="E76" s="72">
        <v>3</v>
      </c>
      <c r="F76" s="57">
        <f t="shared" si="22"/>
        <v>1092</v>
      </c>
      <c r="G76" s="84">
        <f>References!$B$33</f>
        <v>980</v>
      </c>
      <c r="H76" s="45">
        <f t="shared" si="17"/>
        <v>1070160</v>
      </c>
      <c r="I76" s="74">
        <f t="shared" si="21"/>
        <v>637819.12605636171</v>
      </c>
      <c r="J76" s="116">
        <f>ROUND(((References!$C$49*I76)*$H$125)+((References!$C$54*I76)*$H$124),2)</f>
        <v>654.16</v>
      </c>
      <c r="K76" s="116">
        <f>ROUND(J76/References!$G$53,2)</f>
        <v>674.46</v>
      </c>
      <c r="L76" s="116">
        <f t="shared" si="18"/>
        <v>0.62</v>
      </c>
      <c r="M76" s="116">
        <v>82.02</v>
      </c>
      <c r="N76" s="93">
        <f t="shared" si="11"/>
        <v>82.64</v>
      </c>
      <c r="O76" s="101">
        <f t="shared" si="12"/>
        <v>89565.84</v>
      </c>
      <c r="P76" s="101">
        <f t="shared" si="13"/>
        <v>90242.880000000005</v>
      </c>
      <c r="Q76" s="41">
        <f t="shared" si="14"/>
        <v>82.64</v>
      </c>
      <c r="R76" s="97">
        <f t="shared" si="15"/>
        <v>90242.880000000005</v>
      </c>
      <c r="S76" s="97">
        <f t="shared" si="16"/>
        <v>677.04000000000815</v>
      </c>
      <c r="T76" s="113">
        <f t="shared" si="19"/>
        <v>7.5591319190442263E-3</v>
      </c>
      <c r="U76" s="106"/>
      <c r="V76" s="116"/>
      <c r="Z76" s="116"/>
    </row>
    <row r="77" spans="1:26" s="42" customFormat="1" x14ac:dyDescent="0.25">
      <c r="A77" s="129"/>
      <c r="B77" s="40"/>
      <c r="C77" s="2" t="s">
        <v>163</v>
      </c>
      <c r="D77" s="73">
        <v>2</v>
      </c>
      <c r="E77" s="72">
        <v>3</v>
      </c>
      <c r="F77" s="57">
        <f>D77*E77*52*2</f>
        <v>624</v>
      </c>
      <c r="G77" s="84">
        <f>References!$B$33</f>
        <v>980</v>
      </c>
      <c r="H77" s="45">
        <f t="shared" si="17"/>
        <v>611520</v>
      </c>
      <c r="I77" s="74">
        <f t="shared" si="21"/>
        <v>364468.07203220669</v>
      </c>
      <c r="J77" s="116">
        <f>ROUND(((References!$C$49*I77)*$H$125)+((References!$C$54*I77)*$H$124),2)</f>
        <v>373.81</v>
      </c>
      <c r="K77" s="116">
        <f>ROUND(J77/References!$G$53,2)</f>
        <v>385.41</v>
      </c>
      <c r="L77" s="116">
        <f t="shared" si="18"/>
        <v>0.62</v>
      </c>
      <c r="M77" s="116">
        <v>82.02</v>
      </c>
      <c r="N77" s="93">
        <f t="shared" si="11"/>
        <v>82.64</v>
      </c>
      <c r="O77" s="101">
        <f t="shared" si="12"/>
        <v>51180.479999999996</v>
      </c>
      <c r="P77" s="101">
        <f t="shared" si="13"/>
        <v>51567.360000000001</v>
      </c>
      <c r="Q77" s="41">
        <f t="shared" si="14"/>
        <v>82.64</v>
      </c>
      <c r="R77" s="97">
        <f t="shared" si="15"/>
        <v>51567.360000000001</v>
      </c>
      <c r="S77" s="97">
        <f t="shared" si="16"/>
        <v>386.88000000000466</v>
      </c>
      <c r="T77" s="113">
        <f t="shared" si="19"/>
        <v>7.5591319190442263E-3</v>
      </c>
      <c r="U77" s="106"/>
      <c r="V77" s="116"/>
      <c r="Z77" s="116"/>
    </row>
    <row r="78" spans="1:26" s="42" customFormat="1" x14ac:dyDescent="0.25">
      <c r="A78" s="129"/>
      <c r="B78" s="40"/>
      <c r="C78" s="2" t="s">
        <v>164</v>
      </c>
      <c r="D78" s="73">
        <v>1</v>
      </c>
      <c r="E78" s="72">
        <v>4</v>
      </c>
      <c r="F78" s="57">
        <f t="shared" si="22"/>
        <v>208</v>
      </c>
      <c r="G78" s="84">
        <f>References!$B$33</f>
        <v>980</v>
      </c>
      <c r="H78" s="45">
        <f t="shared" si="17"/>
        <v>203840</v>
      </c>
      <c r="I78" s="74">
        <f t="shared" si="21"/>
        <v>121489.35734406889</v>
      </c>
      <c r="J78" s="116">
        <f>ROUND(((References!$C$49*I78)*$H$125)+((References!$C$54*I78)*$H$124),2)</f>
        <v>124.6</v>
      </c>
      <c r="K78" s="116">
        <f>ROUND(J78/References!$G$53,2)</f>
        <v>128.47</v>
      </c>
      <c r="L78" s="116">
        <f t="shared" si="18"/>
        <v>0.62</v>
      </c>
      <c r="M78" s="116">
        <v>82.02</v>
      </c>
      <c r="N78" s="93">
        <f t="shared" si="11"/>
        <v>82.64</v>
      </c>
      <c r="O78" s="101">
        <f t="shared" si="12"/>
        <v>17060.16</v>
      </c>
      <c r="P78" s="101">
        <f t="shared" si="13"/>
        <v>17189.12</v>
      </c>
      <c r="Q78" s="41">
        <f t="shared" si="14"/>
        <v>82.64</v>
      </c>
      <c r="R78" s="97">
        <f t="shared" si="15"/>
        <v>17189.12</v>
      </c>
      <c r="S78" s="97">
        <f t="shared" si="16"/>
        <v>128.95999999999913</v>
      </c>
      <c r="T78" s="113">
        <f t="shared" si="19"/>
        <v>7.5591319190442263E-3</v>
      </c>
      <c r="U78" s="106"/>
      <c r="V78" s="116"/>
      <c r="Z78" s="116"/>
    </row>
    <row r="79" spans="1:26" s="42" customFormat="1" x14ac:dyDescent="0.25">
      <c r="A79" s="129"/>
      <c r="B79" s="40"/>
      <c r="C79" s="2" t="s">
        <v>165</v>
      </c>
      <c r="D79" s="73">
        <v>1</v>
      </c>
      <c r="E79" s="72">
        <v>5</v>
      </c>
      <c r="F79" s="57">
        <f t="shared" si="22"/>
        <v>260</v>
      </c>
      <c r="G79" s="84">
        <f>References!$B$33</f>
        <v>980</v>
      </c>
      <c r="H79" s="45">
        <f t="shared" si="17"/>
        <v>254800</v>
      </c>
      <c r="I79" s="74">
        <f t="shared" si="21"/>
        <v>151861.69668008611</v>
      </c>
      <c r="J79" s="116">
        <f>ROUND(((References!$C$49*I79)*$H$125)+((References!$C$54*I79)*$H$124),2)</f>
        <v>155.75</v>
      </c>
      <c r="K79" s="116">
        <f>ROUND(J79/References!$G$53,2)</f>
        <v>160.58000000000001</v>
      </c>
      <c r="L79" s="116">
        <f t="shared" si="18"/>
        <v>0.62</v>
      </c>
      <c r="M79" s="116">
        <v>82.02</v>
      </c>
      <c r="N79" s="93">
        <f t="shared" si="11"/>
        <v>82.64</v>
      </c>
      <c r="O79" s="101">
        <f t="shared" si="12"/>
        <v>21325.200000000001</v>
      </c>
      <c r="P79" s="101">
        <f t="shared" si="13"/>
        <v>21486.400000000001</v>
      </c>
      <c r="Q79" s="41">
        <f t="shared" si="14"/>
        <v>82.64</v>
      </c>
      <c r="R79" s="97">
        <f t="shared" si="15"/>
        <v>21486.400000000001</v>
      </c>
      <c r="S79" s="97">
        <f t="shared" si="16"/>
        <v>161.20000000000073</v>
      </c>
      <c r="T79" s="113">
        <f t="shared" si="19"/>
        <v>7.5591319190442263E-3</v>
      </c>
      <c r="U79" s="106"/>
      <c r="V79" s="116"/>
      <c r="Z79" s="116"/>
    </row>
    <row r="80" spans="1:26" s="42" customFormat="1" x14ac:dyDescent="0.25">
      <c r="A80" s="129"/>
      <c r="B80" s="40"/>
      <c r="C80" s="2" t="s">
        <v>166</v>
      </c>
      <c r="D80" s="73">
        <v>1</v>
      </c>
      <c r="E80" s="72">
        <v>1</v>
      </c>
      <c r="F80" s="57">
        <f t="shared" si="22"/>
        <v>52</v>
      </c>
      <c r="G80" s="84">
        <f>References!$B$36</f>
        <v>892</v>
      </c>
      <c r="H80" s="45">
        <f t="shared" si="17"/>
        <v>46384</v>
      </c>
      <c r="I80" s="74">
        <f t="shared" si="21"/>
        <v>27645.027232374861</v>
      </c>
      <c r="J80" s="116">
        <f>ROUND(((References!$C$49*I80)*$H$125)+((References!$C$54*I80)*$H$124),2)</f>
        <v>28.35</v>
      </c>
      <c r="K80" s="116">
        <f>ROUND(J80/References!$G$53,2)</f>
        <v>29.23</v>
      </c>
      <c r="L80" s="116">
        <f t="shared" si="18"/>
        <v>0.56000000000000005</v>
      </c>
      <c r="M80" s="116">
        <v>85.26</v>
      </c>
      <c r="N80" s="93">
        <f t="shared" si="11"/>
        <v>85.820000000000007</v>
      </c>
      <c r="O80" s="101">
        <f t="shared" si="12"/>
        <v>4433.5200000000004</v>
      </c>
      <c r="P80" s="101">
        <f t="shared" si="13"/>
        <v>4462.6400000000003</v>
      </c>
      <c r="Q80" s="41">
        <f t="shared" si="14"/>
        <v>85.820000000000007</v>
      </c>
      <c r="R80" s="97">
        <f t="shared" si="15"/>
        <v>4462.6400000000003</v>
      </c>
      <c r="S80" s="97">
        <f t="shared" si="16"/>
        <v>29.119999999999891</v>
      </c>
      <c r="T80" s="113">
        <f t="shared" si="19"/>
        <v>6.5681444991789739E-3</v>
      </c>
      <c r="U80" s="106"/>
      <c r="V80" s="116"/>
      <c r="Z80" s="116"/>
    </row>
    <row r="81" spans="1:26" s="42" customFormat="1" x14ac:dyDescent="0.25">
      <c r="A81" s="129"/>
      <c r="B81" s="40"/>
      <c r="C81" s="2" t="s">
        <v>167</v>
      </c>
      <c r="D81" s="73">
        <v>1</v>
      </c>
      <c r="E81" s="72">
        <v>2</v>
      </c>
      <c r="F81" s="57">
        <f t="shared" si="22"/>
        <v>104</v>
      </c>
      <c r="G81" s="84">
        <f>References!$B$36</f>
        <v>892</v>
      </c>
      <c r="H81" s="45">
        <f t="shared" si="17"/>
        <v>92768</v>
      </c>
      <c r="I81" s="74">
        <f t="shared" si="21"/>
        <v>55290.054464749723</v>
      </c>
      <c r="J81" s="116">
        <f>ROUND(((References!$C$49*I81)*$H$125)+((References!$C$54*I81)*$H$124),2)</f>
        <v>56.71</v>
      </c>
      <c r="K81" s="116">
        <f>ROUND(J81/References!$G$53,2)</f>
        <v>58.47</v>
      </c>
      <c r="L81" s="116">
        <f t="shared" si="18"/>
        <v>0.56000000000000005</v>
      </c>
      <c r="M81" s="116">
        <v>85.26</v>
      </c>
      <c r="N81" s="93">
        <f t="shared" si="11"/>
        <v>85.820000000000007</v>
      </c>
      <c r="O81" s="101">
        <f t="shared" si="12"/>
        <v>8867.0400000000009</v>
      </c>
      <c r="P81" s="101">
        <f t="shared" si="13"/>
        <v>8925.2800000000007</v>
      </c>
      <c r="Q81" s="41">
        <f t="shared" si="14"/>
        <v>85.820000000000007</v>
      </c>
      <c r="R81" s="97">
        <f t="shared" si="15"/>
        <v>8925.2800000000007</v>
      </c>
      <c r="S81" s="97">
        <f t="shared" si="16"/>
        <v>58.239999999999782</v>
      </c>
      <c r="T81" s="113">
        <f t="shared" si="19"/>
        <v>6.5681444991789739E-3</v>
      </c>
      <c r="U81" s="106"/>
      <c r="V81" s="116"/>
      <c r="Z81" s="116"/>
    </row>
    <row r="82" spans="1:26" s="42" customFormat="1" x14ac:dyDescent="0.25">
      <c r="A82" s="129"/>
      <c r="B82" s="40"/>
      <c r="C82" s="2" t="s">
        <v>168</v>
      </c>
      <c r="D82" s="73">
        <v>4</v>
      </c>
      <c r="E82" s="72">
        <v>1</v>
      </c>
      <c r="F82" s="57">
        <f t="shared" si="22"/>
        <v>208</v>
      </c>
      <c r="G82" s="84">
        <f>References!$B$37</f>
        <v>1301</v>
      </c>
      <c r="H82" s="45">
        <f t="shared" si="17"/>
        <v>270608</v>
      </c>
      <c r="I82" s="74">
        <f t="shared" si="21"/>
        <v>161283.32031085066</v>
      </c>
      <c r="J82" s="116">
        <f>ROUND(((References!$C$49*I82)*$H$125)+((References!$C$54*I82)*$H$124),2)</f>
        <v>165.42</v>
      </c>
      <c r="K82" s="116">
        <f>ROUND(J82/References!$G$53,2)</f>
        <v>170.55</v>
      </c>
      <c r="L82" s="116">
        <f t="shared" si="18"/>
        <v>0.82</v>
      </c>
      <c r="M82" s="116">
        <v>123.36</v>
      </c>
      <c r="N82" s="93">
        <f t="shared" si="11"/>
        <v>124.17999999999999</v>
      </c>
      <c r="O82" s="101">
        <f t="shared" si="12"/>
        <v>25658.880000000001</v>
      </c>
      <c r="P82" s="101">
        <f t="shared" si="13"/>
        <v>25829.439999999999</v>
      </c>
      <c r="Q82" s="41">
        <f t="shared" si="14"/>
        <v>124.17999999999999</v>
      </c>
      <c r="R82" s="97">
        <f t="shared" si="15"/>
        <v>25829.439999999999</v>
      </c>
      <c r="S82" s="97">
        <f t="shared" si="16"/>
        <v>170.55999999999767</v>
      </c>
      <c r="T82" s="113">
        <f t="shared" si="19"/>
        <v>6.6472114137483551E-3</v>
      </c>
      <c r="U82" s="106"/>
      <c r="V82" s="116"/>
      <c r="Z82" s="116"/>
    </row>
    <row r="83" spans="1:26" s="42" customFormat="1" x14ac:dyDescent="0.25">
      <c r="A83" s="129"/>
      <c r="B83" s="40"/>
      <c r="C83" s="2" t="s">
        <v>169</v>
      </c>
      <c r="D83" s="73">
        <v>1</v>
      </c>
      <c r="E83" s="72">
        <v>0.5</v>
      </c>
      <c r="F83" s="57">
        <f t="shared" si="22"/>
        <v>26</v>
      </c>
      <c r="G83" s="84">
        <f>References!$B$38</f>
        <v>1686</v>
      </c>
      <c r="H83" s="45">
        <f t="shared" si="17"/>
        <v>43836</v>
      </c>
      <c r="I83" s="74">
        <f t="shared" si="21"/>
        <v>26126.410265573999</v>
      </c>
      <c r="J83" s="116">
        <f>ROUND(((References!$C$49*I83)*$H$125)+((References!$C$54*I83)*$H$124),2)</f>
        <v>26.8</v>
      </c>
      <c r="K83" s="116">
        <f>ROUND(J83/References!$G$53,2)</f>
        <v>27.63</v>
      </c>
      <c r="L83" s="116">
        <f t="shared" si="18"/>
        <v>1.06</v>
      </c>
      <c r="M83" s="116">
        <v>159.55000000000001</v>
      </c>
      <c r="N83" s="93">
        <f t="shared" si="11"/>
        <v>160.61000000000001</v>
      </c>
      <c r="O83" s="101">
        <f t="shared" si="12"/>
        <v>4148.3</v>
      </c>
      <c r="P83" s="101">
        <f t="shared" si="13"/>
        <v>4175.8600000000006</v>
      </c>
      <c r="Q83" s="41">
        <f t="shared" si="14"/>
        <v>160.61000000000001</v>
      </c>
      <c r="R83" s="97">
        <f t="shared" si="15"/>
        <v>4175.8600000000006</v>
      </c>
      <c r="S83" s="97">
        <f t="shared" si="16"/>
        <v>27.5600000000004</v>
      </c>
      <c r="T83" s="113">
        <f t="shared" si="19"/>
        <v>6.6436853650893024E-3</v>
      </c>
      <c r="U83" s="106"/>
      <c r="V83" s="116"/>
      <c r="Z83" s="116"/>
    </row>
    <row r="84" spans="1:26" s="42" customFormat="1" x14ac:dyDescent="0.25">
      <c r="A84" s="129"/>
      <c r="B84" s="40"/>
      <c r="C84" s="2" t="s">
        <v>170</v>
      </c>
      <c r="D84" s="73">
        <v>1</v>
      </c>
      <c r="E84" s="72">
        <v>1</v>
      </c>
      <c r="F84" s="57">
        <f t="shared" si="22"/>
        <v>52</v>
      </c>
      <c r="G84" s="84">
        <f>References!$B$38</f>
        <v>1686</v>
      </c>
      <c r="H84" s="45">
        <f t="shared" si="17"/>
        <v>87672</v>
      </c>
      <c r="I84" s="74">
        <f t="shared" si="21"/>
        <v>52252.820531147998</v>
      </c>
      <c r="J84" s="116">
        <f>ROUND(((References!$C$49*I84)*$H$125)+((References!$C$54*I84)*$H$124),2)</f>
        <v>53.59</v>
      </c>
      <c r="K84" s="116">
        <f>ROUND(J84/References!$G$53,2)</f>
        <v>55.25</v>
      </c>
      <c r="L84" s="116">
        <f t="shared" si="18"/>
        <v>1.06</v>
      </c>
      <c r="M84" s="116">
        <v>159.55000000000001</v>
      </c>
      <c r="N84" s="93">
        <f t="shared" si="11"/>
        <v>160.61000000000001</v>
      </c>
      <c r="O84" s="101">
        <f t="shared" si="12"/>
        <v>8296.6</v>
      </c>
      <c r="P84" s="101">
        <f t="shared" si="13"/>
        <v>8351.7200000000012</v>
      </c>
      <c r="Q84" s="41">
        <f t="shared" si="14"/>
        <v>160.61000000000001</v>
      </c>
      <c r="R84" s="97">
        <f t="shared" si="15"/>
        <v>8351.7200000000012</v>
      </c>
      <c r="S84" s="97">
        <f t="shared" si="16"/>
        <v>55.1200000000008</v>
      </c>
      <c r="T84" s="113">
        <f t="shared" si="19"/>
        <v>6.6436853650893024E-3</v>
      </c>
      <c r="U84" s="106"/>
      <c r="V84" s="116"/>
      <c r="Z84" s="116"/>
    </row>
    <row r="85" spans="1:26" s="42" customFormat="1" x14ac:dyDescent="0.25">
      <c r="A85" s="129"/>
      <c r="B85" s="40"/>
      <c r="C85" s="2" t="s">
        <v>171</v>
      </c>
      <c r="D85" s="73">
        <v>1</v>
      </c>
      <c r="E85" s="72">
        <v>2</v>
      </c>
      <c r="F85" s="57">
        <f t="shared" si="22"/>
        <v>104</v>
      </c>
      <c r="G85" s="84">
        <f>References!$B$38</f>
        <v>1686</v>
      </c>
      <c r="H85" s="45">
        <f t="shared" si="17"/>
        <v>175344</v>
      </c>
      <c r="I85" s="74">
        <f t="shared" si="21"/>
        <v>104505.641062296</v>
      </c>
      <c r="J85" s="116">
        <f>ROUND(((References!$C$49*I85)*$H$125)+((References!$C$54*I85)*$H$124),2)</f>
        <v>107.18</v>
      </c>
      <c r="K85" s="116">
        <f>ROUND(J85/References!$G$53,2)</f>
        <v>110.51</v>
      </c>
      <c r="L85" s="116">
        <f t="shared" si="18"/>
        <v>1.06</v>
      </c>
      <c r="M85" s="116">
        <v>159.55000000000001</v>
      </c>
      <c r="N85" s="93">
        <f t="shared" si="11"/>
        <v>160.61000000000001</v>
      </c>
      <c r="O85" s="101">
        <f t="shared" si="12"/>
        <v>16593.2</v>
      </c>
      <c r="P85" s="101">
        <f t="shared" si="13"/>
        <v>16703.440000000002</v>
      </c>
      <c r="Q85" s="41">
        <f t="shared" si="14"/>
        <v>160.61000000000001</v>
      </c>
      <c r="R85" s="97">
        <f t="shared" si="15"/>
        <v>16703.440000000002</v>
      </c>
      <c r="S85" s="97">
        <f t="shared" si="16"/>
        <v>110.2400000000016</v>
      </c>
      <c r="T85" s="113">
        <f t="shared" si="19"/>
        <v>6.6436853650893024E-3</v>
      </c>
      <c r="U85" s="106"/>
      <c r="V85" s="116"/>
      <c r="Z85" s="116"/>
    </row>
    <row r="86" spans="1:26" s="42" customFormat="1" x14ac:dyDescent="0.25">
      <c r="A86" s="129"/>
      <c r="B86" s="40"/>
      <c r="C86" s="2" t="s">
        <v>185</v>
      </c>
      <c r="D86" s="73">
        <v>1E-3</v>
      </c>
      <c r="E86" s="72">
        <v>1</v>
      </c>
      <c r="F86" s="57">
        <f>D86*E86*52</f>
        <v>5.2000000000000005E-2</v>
      </c>
      <c r="G86" s="84">
        <f>References!$B$38</f>
        <v>1686</v>
      </c>
      <c r="H86" s="45">
        <f>F86*G86</f>
        <v>87.672000000000011</v>
      </c>
      <c r="I86" s="74">
        <f t="shared" si="21"/>
        <v>52.252820531148004</v>
      </c>
      <c r="J86" s="116">
        <f>ROUND(((References!$C$49*I86)*$H$125)+((References!$C$54*I86)*$H$124),2)</f>
        <v>0.05</v>
      </c>
      <c r="K86" s="116">
        <f>ROUND(J86/References!$G$53,2)</f>
        <v>0.05</v>
      </c>
      <c r="L86" s="116">
        <f t="shared" si="18"/>
        <v>0.96</v>
      </c>
      <c r="M86" s="116">
        <v>192.05</v>
      </c>
      <c r="N86" s="93">
        <f>L86+M86</f>
        <v>193.01000000000002</v>
      </c>
      <c r="O86" s="101">
        <f>F86*M86</f>
        <v>9.986600000000001</v>
      </c>
      <c r="P86" s="101">
        <f>F86*N86</f>
        <v>10.036520000000001</v>
      </c>
      <c r="Q86" s="41">
        <f>N86</f>
        <v>193.01000000000002</v>
      </c>
      <c r="R86" s="97">
        <f>F86*Q86</f>
        <v>10.036520000000001</v>
      </c>
      <c r="S86" s="97">
        <f>R86-O86</f>
        <v>4.9920000000000186E-2</v>
      </c>
      <c r="T86" s="113">
        <f>+N86/M86-1</f>
        <v>4.9986982556626813E-3</v>
      </c>
      <c r="U86" s="106"/>
      <c r="V86" s="116"/>
      <c r="Z86" s="116"/>
    </row>
    <row r="87" spans="1:26" s="42" customFormat="1" x14ac:dyDescent="0.25">
      <c r="A87" s="129"/>
      <c r="B87" s="40"/>
      <c r="C87" s="2" t="s">
        <v>186</v>
      </c>
      <c r="D87" s="73">
        <v>1E-3</v>
      </c>
      <c r="E87" s="72">
        <v>1</v>
      </c>
      <c r="F87" s="57">
        <f>D87*E87*52</f>
        <v>5.2000000000000005E-2</v>
      </c>
      <c r="G87" s="84">
        <f>References!$B$38</f>
        <v>1686</v>
      </c>
      <c r="H87" s="45">
        <f>F87*G87</f>
        <v>87.672000000000011</v>
      </c>
      <c r="I87" s="74">
        <f t="shared" si="21"/>
        <v>52.252820531148004</v>
      </c>
      <c r="J87" s="116">
        <f>ROUND(((References!$C$49*I87)*$H$125)+((References!$C$54*I87)*$H$124),2)</f>
        <v>0.05</v>
      </c>
      <c r="K87" s="116">
        <f>ROUND(J87/References!$G$53,2)</f>
        <v>0.05</v>
      </c>
      <c r="L87" s="116">
        <f t="shared" si="18"/>
        <v>0.96</v>
      </c>
      <c r="M87" s="116">
        <v>231.4</v>
      </c>
      <c r="N87" s="93">
        <f>L87+M87</f>
        <v>232.36</v>
      </c>
      <c r="O87" s="101">
        <f>F87*M87</f>
        <v>12.032800000000002</v>
      </c>
      <c r="P87" s="101">
        <f>F87*N87</f>
        <v>12.082720000000002</v>
      </c>
      <c r="Q87" s="41">
        <f>N87</f>
        <v>232.36</v>
      </c>
      <c r="R87" s="97">
        <f>F87*Q87</f>
        <v>12.082720000000002</v>
      </c>
      <c r="S87" s="97">
        <f>R87-O87</f>
        <v>4.9920000000000186E-2</v>
      </c>
      <c r="T87" s="113">
        <f>+N87/M87-1</f>
        <v>4.1486603284357493E-3</v>
      </c>
      <c r="U87" s="106"/>
      <c r="V87" s="116"/>
      <c r="Z87" s="116"/>
    </row>
    <row r="88" spans="1:26" s="42" customFormat="1" x14ac:dyDescent="0.25">
      <c r="A88" s="129"/>
      <c r="B88" s="40"/>
      <c r="C88" s="2" t="s">
        <v>172</v>
      </c>
      <c r="D88" s="73">
        <v>191</v>
      </c>
      <c r="E88" s="72">
        <v>0.23078698361412414</v>
      </c>
      <c r="F88" s="57">
        <f t="shared" si="22"/>
        <v>2292.1763212554806</v>
      </c>
      <c r="G88" s="84">
        <f>References!B42</f>
        <v>125</v>
      </c>
      <c r="H88" s="45">
        <f t="shared" si="17"/>
        <v>286522.04015693505</v>
      </c>
      <c r="I88" s="74">
        <f>$D$122*H88</f>
        <v>170768.14424831996</v>
      </c>
      <c r="J88" s="116">
        <f>ROUND(((References!$C$49*I88)*$H$125)+((References!$C$54*I88)*$H$124),2)</f>
        <v>175.14</v>
      </c>
      <c r="K88" s="116">
        <f>ROUND(J88/References!$G$53,2)</f>
        <v>180.58</v>
      </c>
      <c r="L88" s="116">
        <f t="shared" si="18"/>
        <v>0.08</v>
      </c>
      <c r="M88" s="116">
        <v>16.32</v>
      </c>
      <c r="N88" s="93">
        <f t="shared" ref="N88:N89" si="23">L88+M88</f>
        <v>16.399999999999999</v>
      </c>
      <c r="O88" s="101">
        <f t="shared" ref="O88:O89" si="24">F88*M88</f>
        <v>37408.317562889446</v>
      </c>
      <c r="P88" s="101">
        <f t="shared" ref="P88:P89" si="25">F88*N88</f>
        <v>37591.691668589876</v>
      </c>
      <c r="Q88" s="41">
        <f t="shared" ref="Q88:Q89" si="26">N88</f>
        <v>16.399999999999999</v>
      </c>
      <c r="R88" s="97">
        <f t="shared" ref="R88:R89" si="27">F88*Q88</f>
        <v>37591.691668589876</v>
      </c>
      <c r="S88" s="97">
        <f t="shared" ref="S88:S89" si="28">R88-O88</f>
        <v>183.37410570042994</v>
      </c>
      <c r="T88" s="113">
        <f t="shared" si="19"/>
        <v>4.9019607843137081E-3</v>
      </c>
      <c r="U88" s="106"/>
      <c r="V88" s="116"/>
      <c r="Z88" s="116"/>
    </row>
    <row r="89" spans="1:26" s="42" customFormat="1" x14ac:dyDescent="0.25">
      <c r="A89" s="129"/>
      <c r="B89" s="40"/>
      <c r="C89" s="2" t="s">
        <v>173</v>
      </c>
      <c r="D89" s="73">
        <v>27</v>
      </c>
      <c r="E89" s="72">
        <v>0.23078698361412414</v>
      </c>
      <c r="F89" s="57">
        <f t="shared" si="22"/>
        <v>324.02492499423028</v>
      </c>
      <c r="G89" s="84">
        <f>References!B42</f>
        <v>125</v>
      </c>
      <c r="H89" s="45">
        <f t="shared" si="17"/>
        <v>40503.115624278784</v>
      </c>
      <c r="I89" s="74">
        <f>$D$122*H89</f>
        <v>24139.999448715393</v>
      </c>
      <c r="J89" s="116">
        <f>ROUND(((References!$C$49*I89)*$H$125)+((References!$C$54*I89)*$H$124),2)</f>
        <v>24.76</v>
      </c>
      <c r="K89" s="116">
        <f>ROUND(J89/References!$G$53,2)</f>
        <v>25.53</v>
      </c>
      <c r="L89" s="116">
        <f t="shared" ref="L89" si="29">ROUND((K89/F89),2)</f>
        <v>0.08</v>
      </c>
      <c r="M89" s="116">
        <v>16.32</v>
      </c>
      <c r="N89" s="93">
        <f t="shared" si="23"/>
        <v>16.399999999999999</v>
      </c>
      <c r="O89" s="101">
        <f t="shared" si="24"/>
        <v>5288.0867759058383</v>
      </c>
      <c r="P89" s="101">
        <f t="shared" si="25"/>
        <v>5314.0087699053756</v>
      </c>
      <c r="Q89" s="41">
        <f t="shared" si="26"/>
        <v>16.399999999999999</v>
      </c>
      <c r="R89" s="97">
        <f t="shared" si="27"/>
        <v>5314.0087699053756</v>
      </c>
      <c r="S89" s="97">
        <f t="shared" si="28"/>
        <v>25.921993999537335</v>
      </c>
      <c r="T89" s="113">
        <f t="shared" si="19"/>
        <v>4.9019607843137081E-3</v>
      </c>
      <c r="U89" s="106">
        <v>19.850000000000001</v>
      </c>
      <c r="V89" s="116">
        <f>+U89*T89</f>
        <v>9.7303921568627119E-2</v>
      </c>
      <c r="Z89" s="116"/>
    </row>
    <row r="90" spans="1:26" s="42" customFormat="1" x14ac:dyDescent="0.25">
      <c r="A90" s="112"/>
      <c r="B90" s="40"/>
      <c r="C90" s="2"/>
      <c r="D90" s="73"/>
      <c r="E90" s="72"/>
      <c r="F90" s="79"/>
      <c r="G90" s="84"/>
      <c r="H90" s="45"/>
      <c r="I90" s="74"/>
      <c r="J90" s="116"/>
      <c r="K90" s="116"/>
      <c r="L90" s="116"/>
      <c r="M90" s="116"/>
      <c r="N90" s="116"/>
      <c r="O90" s="101"/>
      <c r="P90" s="101"/>
      <c r="Q90" s="41"/>
      <c r="R90" s="97"/>
      <c r="S90" s="97"/>
      <c r="U90" s="106"/>
      <c r="V90" s="116"/>
    </row>
    <row r="91" spans="1:26" s="42" customFormat="1" x14ac:dyDescent="0.25">
      <c r="A91" s="46"/>
      <c r="B91" s="19"/>
      <c r="C91" s="48" t="s">
        <v>0</v>
      </c>
      <c r="D91" s="49">
        <f>SUM(D24:D90)</f>
        <v>1413.002</v>
      </c>
      <c r="E91" s="49"/>
      <c r="F91" s="49">
        <f>SUM(F24:F90)</f>
        <v>121540.3052462497</v>
      </c>
      <c r="G91" s="86"/>
      <c r="H91" s="49">
        <f>SUM(H24:H90)</f>
        <v>45142282.499781214</v>
      </c>
      <c r="I91" s="53">
        <f>SUM(I24:I90)</f>
        <v>26904959.232451081</v>
      </c>
      <c r="J91" s="55"/>
      <c r="K91" s="55"/>
      <c r="L91" s="55"/>
      <c r="M91" s="55"/>
      <c r="N91" s="55"/>
      <c r="O91" s="98">
        <f>SUM(O24:O90)</f>
        <v>3882393.5304803685</v>
      </c>
      <c r="P91" s="98">
        <f>SUM(P24:P90)</f>
        <v>3910955.1464200686</v>
      </c>
      <c r="Q91" s="55"/>
      <c r="R91" s="98">
        <f>SUM(R24:R90)</f>
        <v>3910955.1464200686</v>
      </c>
      <c r="S91" s="98">
        <f>SUM(S24:S90)</f>
        <v>28561.615939700005</v>
      </c>
      <c r="T91" s="114">
        <f>+S91/O91</f>
        <v>7.3567029502457663E-3</v>
      </c>
      <c r="U91" s="106"/>
      <c r="V91" s="116"/>
    </row>
    <row r="92" spans="1:26" x14ac:dyDescent="0.25">
      <c r="C92" s="59" t="s">
        <v>86</v>
      </c>
      <c r="D92" s="60">
        <f>D23+D91</f>
        <v>26529.002100000002</v>
      </c>
      <c r="E92" s="60"/>
      <c r="F92" s="60">
        <f>F23+F91</f>
        <v>1497906.3364462496</v>
      </c>
      <c r="G92" s="60"/>
      <c r="H92" s="60">
        <f>H23+H91</f>
        <v>101562487.56058121</v>
      </c>
      <c r="I92" s="60">
        <f>I23+I91</f>
        <v>60531600.000000015</v>
      </c>
      <c r="J92" s="116"/>
      <c r="K92" s="61"/>
      <c r="L92" s="61"/>
      <c r="M92" s="61"/>
      <c r="N92" s="95"/>
      <c r="O92" s="99">
        <f>O23+O91</f>
        <v>10292491.39634837</v>
      </c>
      <c r="P92" s="99">
        <f>P23+P91</f>
        <v>10357004.052396068</v>
      </c>
      <c r="Q92" s="61"/>
      <c r="R92" s="99">
        <f>R23+R91</f>
        <v>10357004.052396068</v>
      </c>
      <c r="S92" s="99">
        <f>S23+S91</f>
        <v>64512.656047699813</v>
      </c>
      <c r="T92" s="94">
        <f>+S92/O92</f>
        <v>6.2679339300286407E-3</v>
      </c>
      <c r="U92" s="106"/>
      <c r="V92" s="116"/>
    </row>
    <row r="93" spans="1:26" x14ac:dyDescent="0.25">
      <c r="C93" s="59"/>
      <c r="D93" s="60"/>
      <c r="E93" s="60"/>
      <c r="F93" s="60"/>
      <c r="G93" s="60"/>
      <c r="H93" s="60"/>
      <c r="I93" s="60"/>
      <c r="J93" s="116"/>
      <c r="K93" s="61"/>
      <c r="L93" s="61"/>
      <c r="M93" s="61"/>
      <c r="N93" s="95"/>
      <c r="O93" s="99"/>
      <c r="P93" s="99"/>
      <c r="Q93" s="61"/>
      <c r="R93" s="99"/>
      <c r="S93" s="99"/>
      <c r="T93" s="105"/>
      <c r="U93" s="106"/>
      <c r="V93" s="116"/>
    </row>
    <row r="94" spans="1:26" x14ac:dyDescent="0.25">
      <c r="C94" s="59"/>
      <c r="D94" s="60"/>
      <c r="E94" s="60"/>
      <c r="F94" s="60"/>
      <c r="G94" s="60"/>
      <c r="H94" s="60"/>
      <c r="I94" s="60"/>
      <c r="J94" s="116"/>
      <c r="K94" s="61"/>
      <c r="L94" s="61"/>
      <c r="M94" s="61"/>
      <c r="N94" s="95"/>
      <c r="O94" s="99"/>
      <c r="P94" s="99"/>
      <c r="Q94" s="61"/>
      <c r="R94" s="99"/>
      <c r="S94" s="99"/>
      <c r="T94" s="105"/>
      <c r="U94" s="106"/>
      <c r="V94" s="116"/>
    </row>
    <row r="95" spans="1:26" x14ac:dyDescent="0.25">
      <c r="C95" s="59" t="s">
        <v>205</v>
      </c>
      <c r="D95" s="60"/>
      <c r="E95" s="60"/>
      <c r="F95" s="60"/>
      <c r="G95" s="60"/>
      <c r="H95" s="60"/>
      <c r="I95" s="60"/>
      <c r="J95" s="116"/>
      <c r="K95" s="61"/>
      <c r="L95" s="61"/>
      <c r="M95" s="61"/>
      <c r="N95" s="95"/>
      <c r="O95" s="99"/>
      <c r="P95" s="99"/>
      <c r="Q95" s="61"/>
      <c r="R95" s="99"/>
      <c r="S95" s="99"/>
      <c r="T95" s="105"/>
      <c r="U95" s="106"/>
      <c r="V95" s="116"/>
    </row>
    <row r="96" spans="1:26" ht="60" x14ac:dyDescent="0.25">
      <c r="C96" s="35" t="s">
        <v>74</v>
      </c>
      <c r="D96" s="34" t="s">
        <v>75</v>
      </c>
      <c r="E96" s="34" t="s">
        <v>180</v>
      </c>
      <c r="F96" s="117" t="s">
        <v>76</v>
      </c>
      <c r="G96" s="34" t="s">
        <v>17</v>
      </c>
      <c r="H96" s="36" t="s">
        <v>181</v>
      </c>
      <c r="I96" s="37" t="s">
        <v>77</v>
      </c>
      <c r="J96" s="38" t="s">
        <v>62</v>
      </c>
      <c r="K96" s="34" t="s">
        <v>78</v>
      </c>
      <c r="L96" s="36" t="s">
        <v>177</v>
      </c>
      <c r="M96" s="36" t="s">
        <v>79</v>
      </c>
      <c r="N96" s="125" t="s">
        <v>207</v>
      </c>
      <c r="O96" s="36" t="s">
        <v>206</v>
      </c>
      <c r="P96" s="36" t="s">
        <v>209</v>
      </c>
    </row>
    <row r="97" spans="3:17" x14ac:dyDescent="0.25">
      <c r="C97" s="42" t="s">
        <v>187</v>
      </c>
      <c r="D97" s="62">
        <v>0</v>
      </c>
      <c r="E97" s="39">
        <v>1</v>
      </c>
      <c r="F97" s="39">
        <v>1</v>
      </c>
      <c r="G97" s="84">
        <f>G89</f>
        <v>125</v>
      </c>
      <c r="H97" s="45">
        <f t="shared" ref="H97" si="30">F97*G97</f>
        <v>125</v>
      </c>
      <c r="I97" s="74">
        <f t="shared" ref="I97:I114" si="31">$D$122*H97</f>
        <v>74.500439894076791</v>
      </c>
      <c r="J97" s="116">
        <f>ROUND(((References!$C$49*I97)*$H$125)+((References!$C$54*I97)*$H$124),2)</f>
        <v>0.08</v>
      </c>
      <c r="K97" s="116">
        <f>ROUND(J97/References!$G$53,2)</f>
        <v>0.08</v>
      </c>
      <c r="L97" s="116">
        <f t="shared" ref="L97" si="32">(K97/F97)</f>
        <v>0.08</v>
      </c>
      <c r="M97" s="116">
        <v>19.95</v>
      </c>
      <c r="N97" s="93">
        <f t="shared" ref="N97" si="33">L97+M97</f>
        <v>20.029999999999998</v>
      </c>
      <c r="O97" s="115" t="s">
        <v>208</v>
      </c>
    </row>
    <row r="98" spans="3:17" x14ac:dyDescent="0.25">
      <c r="C98" s="42" t="s">
        <v>188</v>
      </c>
      <c r="D98" s="62">
        <v>0</v>
      </c>
      <c r="E98" s="39">
        <v>1</v>
      </c>
      <c r="F98" s="39">
        <v>1</v>
      </c>
      <c r="G98" s="84">
        <f>G30</f>
        <v>37</v>
      </c>
      <c r="H98" s="45">
        <f t="shared" ref="H98:H114" si="34">F98*G98</f>
        <v>37</v>
      </c>
      <c r="I98" s="74">
        <f t="shared" si="31"/>
        <v>22.05213020864673</v>
      </c>
      <c r="J98" s="116">
        <f>ROUND(((References!$C$49*I98)*$H$125)+((References!$C$54*I98)*$H$124),2)</f>
        <v>0.02</v>
      </c>
      <c r="K98" s="116">
        <f>ROUND(J98/References!$G$53,2)</f>
        <v>0.02</v>
      </c>
      <c r="L98" s="116">
        <f t="shared" ref="L98:L114" si="35">(K98/F98)</f>
        <v>0.02</v>
      </c>
      <c r="M98" s="116">
        <v>6.97</v>
      </c>
      <c r="N98" s="93">
        <f t="shared" ref="N98:N114" si="36">L98+M98</f>
        <v>6.9899999999999993</v>
      </c>
      <c r="O98" s="115" t="s">
        <v>208</v>
      </c>
    </row>
    <row r="99" spans="3:17" x14ac:dyDescent="0.25">
      <c r="C99" s="42" t="s">
        <v>189</v>
      </c>
      <c r="D99" s="62">
        <v>0</v>
      </c>
      <c r="E99" s="39">
        <v>1</v>
      </c>
      <c r="F99" s="39">
        <v>1</v>
      </c>
      <c r="G99" s="84">
        <f>G33</f>
        <v>47</v>
      </c>
      <c r="H99" s="45">
        <f t="shared" si="34"/>
        <v>47</v>
      </c>
      <c r="I99" s="74">
        <f t="shared" si="31"/>
        <v>28.012165400172872</v>
      </c>
      <c r="J99" s="116">
        <f>ROUND(((References!$C$49*I99)*$H$125)+((References!$C$54*I99)*$H$124),2)</f>
        <v>0.03</v>
      </c>
      <c r="K99" s="116">
        <f>ROUND(J99/References!$G$53,2)</f>
        <v>0.03</v>
      </c>
      <c r="L99" s="116">
        <f t="shared" si="35"/>
        <v>0.03</v>
      </c>
      <c r="M99" s="116">
        <v>10.029999999999999</v>
      </c>
      <c r="N99" s="93">
        <f t="shared" si="36"/>
        <v>10.059999999999999</v>
      </c>
      <c r="O99" s="115" t="s">
        <v>208</v>
      </c>
    </row>
    <row r="100" spans="3:17" x14ac:dyDescent="0.25">
      <c r="C100" s="42" t="s">
        <v>190</v>
      </c>
      <c r="D100" s="62">
        <v>0</v>
      </c>
      <c r="E100" s="39">
        <v>1</v>
      </c>
      <c r="F100" s="39">
        <v>1</v>
      </c>
      <c r="G100" s="84">
        <f>G35</f>
        <v>68</v>
      </c>
      <c r="H100" s="45">
        <f t="shared" si="34"/>
        <v>68</v>
      </c>
      <c r="I100" s="74">
        <f t="shared" si="31"/>
        <v>40.52823930237777</v>
      </c>
      <c r="J100" s="116">
        <f>ROUND(((References!$C$49*I100)*$H$125)+((References!$C$54*I100)*$H$124),2)</f>
        <v>0.04</v>
      </c>
      <c r="K100" s="116">
        <f>ROUND(J100/References!$G$53,2)</f>
        <v>0.04</v>
      </c>
      <c r="L100" s="116">
        <f t="shared" si="35"/>
        <v>0.04</v>
      </c>
      <c r="M100" s="116">
        <v>13.139999999999999</v>
      </c>
      <c r="N100" s="93">
        <f t="shared" si="36"/>
        <v>13.179999999999998</v>
      </c>
      <c r="O100" s="115" t="s">
        <v>208</v>
      </c>
    </row>
    <row r="101" spans="3:17" x14ac:dyDescent="0.25">
      <c r="C101" s="42" t="s">
        <v>191</v>
      </c>
      <c r="D101" s="62">
        <v>0</v>
      </c>
      <c r="E101" s="39">
        <v>1</v>
      </c>
      <c r="F101" s="39">
        <v>1</v>
      </c>
      <c r="G101" s="84">
        <f>G38</f>
        <v>175</v>
      </c>
      <c r="H101" s="45">
        <f t="shared" si="34"/>
        <v>175</v>
      </c>
      <c r="I101" s="74">
        <f t="shared" si="31"/>
        <v>104.30061585170751</v>
      </c>
      <c r="J101" s="116">
        <f>ROUND(((References!$C$49*I101)*$H$125)+((References!$C$54*I101)*$H$124),2)</f>
        <v>0.11</v>
      </c>
      <c r="K101" s="116">
        <f>ROUND(J101/References!$G$53,2)</f>
        <v>0.11</v>
      </c>
      <c r="L101" s="116">
        <f t="shared" si="35"/>
        <v>0.11</v>
      </c>
      <c r="M101" s="116">
        <v>19.5</v>
      </c>
      <c r="N101" s="93">
        <f t="shared" si="36"/>
        <v>19.61</v>
      </c>
      <c r="O101" s="115" t="s">
        <v>208</v>
      </c>
    </row>
    <row r="102" spans="3:17" x14ac:dyDescent="0.25">
      <c r="C102" s="42" t="s">
        <v>192</v>
      </c>
      <c r="D102" s="62">
        <v>0</v>
      </c>
      <c r="E102" s="39">
        <v>1</v>
      </c>
      <c r="F102" s="39">
        <v>1</v>
      </c>
      <c r="G102" s="84">
        <f>G42</f>
        <v>250</v>
      </c>
      <c r="H102" s="45">
        <f t="shared" si="34"/>
        <v>250</v>
      </c>
      <c r="I102" s="74">
        <f t="shared" si="31"/>
        <v>149.00087978815358</v>
      </c>
      <c r="J102" s="116">
        <f>ROUND(((References!$C$49*I102)*$H$125)+((References!$C$54*I102)*$H$124),2)</f>
        <v>0.15</v>
      </c>
      <c r="K102" s="116">
        <f>ROUND(J102/References!$G$53,2)</f>
        <v>0.15</v>
      </c>
      <c r="L102" s="116">
        <f t="shared" si="35"/>
        <v>0.15</v>
      </c>
      <c r="M102" s="116">
        <v>26.68</v>
      </c>
      <c r="N102" s="93">
        <f t="shared" si="36"/>
        <v>26.83</v>
      </c>
      <c r="O102" s="115">
        <v>26.84</v>
      </c>
      <c r="P102" s="115">
        <f>N102-O102</f>
        <v>-1.0000000000001563E-2</v>
      </c>
    </row>
    <row r="103" spans="3:17" x14ac:dyDescent="0.25">
      <c r="C103" s="42" t="s">
        <v>193</v>
      </c>
      <c r="D103" s="62">
        <v>0</v>
      </c>
      <c r="E103" s="39">
        <v>1</v>
      </c>
      <c r="F103" s="39">
        <v>1</v>
      </c>
      <c r="G103" s="84">
        <f>G44</f>
        <v>324</v>
      </c>
      <c r="H103" s="45">
        <f t="shared" si="34"/>
        <v>324</v>
      </c>
      <c r="I103" s="74">
        <f t="shared" si="31"/>
        <v>193.10514020544704</v>
      </c>
      <c r="J103" s="116">
        <f>ROUND(((References!$C$49*I103)*$H$125)+((References!$C$54*I103)*$H$124),2)</f>
        <v>0.2</v>
      </c>
      <c r="K103" s="116">
        <f>ROUND(J103/References!$G$53,2)</f>
        <v>0.21</v>
      </c>
      <c r="L103" s="116">
        <f t="shared" si="35"/>
        <v>0.21</v>
      </c>
      <c r="M103" s="116">
        <v>32.619999999999997</v>
      </c>
      <c r="N103" s="93">
        <f t="shared" si="36"/>
        <v>32.83</v>
      </c>
      <c r="O103" s="115">
        <v>32.82</v>
      </c>
      <c r="P103" s="115">
        <f t="shared" ref="P103:P114" si="37">N103-O103</f>
        <v>9.9999999999980105E-3</v>
      </c>
    </row>
    <row r="104" spans="3:17" x14ac:dyDescent="0.25">
      <c r="C104" s="42" t="s">
        <v>194</v>
      </c>
      <c r="D104" s="62">
        <v>0</v>
      </c>
      <c r="E104" s="39">
        <v>1</v>
      </c>
      <c r="F104" s="39">
        <v>1</v>
      </c>
      <c r="G104" s="84">
        <f>G50</f>
        <v>473</v>
      </c>
      <c r="H104" s="45">
        <f t="shared" si="34"/>
        <v>473</v>
      </c>
      <c r="I104" s="74">
        <f t="shared" si="31"/>
        <v>281.90966455918658</v>
      </c>
      <c r="J104" s="116">
        <f>ROUND(((References!$C$49*I104)*$H$125)+((References!$C$54*I104)*$H$124),2)</f>
        <v>0.28999999999999998</v>
      </c>
      <c r="K104" s="116">
        <f>ROUND(J104/References!$G$53,2)</f>
        <v>0.3</v>
      </c>
      <c r="L104" s="116">
        <f t="shared" si="35"/>
        <v>0.3</v>
      </c>
      <c r="M104" s="116">
        <v>44.019999999999996</v>
      </c>
      <c r="N104" s="93">
        <f t="shared" si="36"/>
        <v>44.319999999999993</v>
      </c>
      <c r="O104" s="115" t="s">
        <v>208</v>
      </c>
      <c r="P104" s="115"/>
    </row>
    <row r="105" spans="3:17" x14ac:dyDescent="0.25">
      <c r="C105" s="42" t="s">
        <v>195</v>
      </c>
      <c r="D105" s="62">
        <v>0</v>
      </c>
      <c r="E105" s="39">
        <v>1</v>
      </c>
      <c r="F105" s="39">
        <v>1</v>
      </c>
      <c r="G105" s="84">
        <f>G53</f>
        <v>613</v>
      </c>
      <c r="H105" s="45">
        <f t="shared" si="34"/>
        <v>613</v>
      </c>
      <c r="I105" s="74">
        <f t="shared" si="31"/>
        <v>365.35015724055256</v>
      </c>
      <c r="J105" s="116">
        <f>ROUND(((References!$C$49*I105)*$H$125)+((References!$C$54*I105)*$H$124),2)</f>
        <v>0.37</v>
      </c>
      <c r="K105" s="116">
        <f>ROUND(J105/References!$G$53,2)</f>
        <v>0.38</v>
      </c>
      <c r="L105" s="116">
        <f t="shared" si="35"/>
        <v>0.38</v>
      </c>
      <c r="M105" s="116">
        <v>53.12</v>
      </c>
      <c r="N105" s="93">
        <f t="shared" si="36"/>
        <v>53.5</v>
      </c>
      <c r="O105" s="115">
        <v>53.51</v>
      </c>
      <c r="P105" s="115">
        <f t="shared" si="37"/>
        <v>-9.9999999999980105E-3</v>
      </c>
    </row>
    <row r="106" spans="3:17" x14ac:dyDescent="0.25">
      <c r="C106" s="42" t="s">
        <v>204</v>
      </c>
      <c r="D106" s="62">
        <v>0</v>
      </c>
      <c r="E106" s="39">
        <v>1</v>
      </c>
      <c r="F106" s="39">
        <v>1</v>
      </c>
      <c r="G106" s="84">
        <f>G59</f>
        <v>840</v>
      </c>
      <c r="H106" s="45">
        <f t="shared" si="34"/>
        <v>840</v>
      </c>
      <c r="I106" s="74">
        <f t="shared" si="31"/>
        <v>500.642956088196</v>
      </c>
      <c r="J106" s="116">
        <f>ROUND(((References!$C$49*I106)*$H$125)+((References!$C$54*I106)*$H$124),2)</f>
        <v>0.51</v>
      </c>
      <c r="K106" s="116">
        <f>ROUND(J106/References!$G$53,2)</f>
        <v>0.53</v>
      </c>
      <c r="L106" s="116">
        <f t="shared" si="35"/>
        <v>0.53</v>
      </c>
      <c r="M106" s="116">
        <v>71.16</v>
      </c>
      <c r="N106" s="93">
        <f t="shared" si="36"/>
        <v>71.69</v>
      </c>
      <c r="O106" s="115" t="s">
        <v>208</v>
      </c>
      <c r="P106" s="115"/>
    </row>
    <row r="107" spans="3:17" x14ac:dyDescent="0.25">
      <c r="C107" s="42" t="s">
        <v>196</v>
      </c>
      <c r="D107" s="62">
        <v>0</v>
      </c>
      <c r="E107" s="39">
        <v>1</v>
      </c>
      <c r="F107" s="39">
        <v>1</v>
      </c>
      <c r="G107" s="84">
        <f>G69</f>
        <v>980</v>
      </c>
      <c r="H107" s="45">
        <f t="shared" si="34"/>
        <v>980</v>
      </c>
      <c r="I107" s="74">
        <f t="shared" si="31"/>
        <v>584.08344876956198</v>
      </c>
      <c r="J107" s="116">
        <f>ROUND(((References!$C$49*I107)*$H$125)+((References!$C$54*I107)*$H$124),2)</f>
        <v>0.6</v>
      </c>
      <c r="K107" s="116">
        <f>ROUND(J107/References!$G$53,2)</f>
        <v>0.62</v>
      </c>
      <c r="L107" s="116">
        <f t="shared" si="35"/>
        <v>0.62</v>
      </c>
      <c r="M107" s="116">
        <v>85.02000000000001</v>
      </c>
      <c r="N107" s="93">
        <f t="shared" si="36"/>
        <v>85.640000000000015</v>
      </c>
      <c r="O107" s="115" t="s">
        <v>208</v>
      </c>
      <c r="P107" s="115"/>
    </row>
    <row r="108" spans="3:17" x14ac:dyDescent="0.25">
      <c r="C108" s="119" t="s">
        <v>197</v>
      </c>
      <c r="D108" s="120">
        <v>0</v>
      </c>
      <c r="E108" s="119">
        <v>1</v>
      </c>
      <c r="F108" s="119">
        <v>1</v>
      </c>
      <c r="G108" s="121">
        <f>G101</f>
        <v>175</v>
      </c>
      <c r="H108" s="122">
        <f t="shared" si="34"/>
        <v>175</v>
      </c>
      <c r="I108" s="123">
        <f t="shared" si="31"/>
        <v>104.30061585170751</v>
      </c>
      <c r="J108" s="124">
        <f>ROUND(((References!$C$49*I108)*$H$125)+((References!$C$54*I108)*$H$124),2)</f>
        <v>0.11</v>
      </c>
      <c r="K108" s="124">
        <f>ROUND(J108/References!$G$53,2)</f>
        <v>0.11</v>
      </c>
      <c r="L108" s="124">
        <f t="shared" si="35"/>
        <v>0.11</v>
      </c>
      <c r="M108" s="124">
        <v>29.86</v>
      </c>
      <c r="N108" s="124">
        <f t="shared" si="36"/>
        <v>29.97</v>
      </c>
      <c r="O108" s="124">
        <f>+N108</f>
        <v>29.97</v>
      </c>
      <c r="P108" s="124">
        <f t="shared" si="37"/>
        <v>0</v>
      </c>
      <c r="Q108" s="118">
        <f t="shared" ref="Q108:Q113" si="38">P108/M108</f>
        <v>0</v>
      </c>
    </row>
    <row r="109" spans="3:17" x14ac:dyDescent="0.25">
      <c r="C109" s="119" t="s">
        <v>198</v>
      </c>
      <c r="D109" s="120">
        <v>0</v>
      </c>
      <c r="E109" s="119">
        <v>1</v>
      </c>
      <c r="F109" s="119">
        <v>1</v>
      </c>
      <c r="G109" s="121">
        <f t="shared" ref="G109:G114" si="39">G102</f>
        <v>250</v>
      </c>
      <c r="H109" s="122">
        <f t="shared" si="34"/>
        <v>250</v>
      </c>
      <c r="I109" s="123">
        <f t="shared" si="31"/>
        <v>149.00087978815358</v>
      </c>
      <c r="J109" s="124">
        <f>ROUND(((References!$C$49*I109)*$H$125)+((References!$C$54*I109)*$H$124),2)</f>
        <v>0.15</v>
      </c>
      <c r="K109" s="124">
        <f>ROUND(J109/References!$G$53,2)</f>
        <v>0.15</v>
      </c>
      <c r="L109" s="124">
        <f t="shared" si="35"/>
        <v>0.15</v>
      </c>
      <c r="M109" s="124">
        <v>37.07</v>
      </c>
      <c r="N109" s="124">
        <f t="shared" si="36"/>
        <v>37.22</v>
      </c>
      <c r="O109" s="124">
        <f t="shared" ref="O109:O114" si="40">+N109</f>
        <v>37.22</v>
      </c>
      <c r="P109" s="124">
        <f t="shared" si="37"/>
        <v>0</v>
      </c>
      <c r="Q109" s="118">
        <f t="shared" si="38"/>
        <v>0</v>
      </c>
    </row>
    <row r="110" spans="3:17" x14ac:dyDescent="0.25">
      <c r="C110" s="119" t="s">
        <v>199</v>
      </c>
      <c r="D110" s="120">
        <v>0</v>
      </c>
      <c r="E110" s="119">
        <v>1</v>
      </c>
      <c r="F110" s="119">
        <v>1</v>
      </c>
      <c r="G110" s="121">
        <f t="shared" si="39"/>
        <v>324</v>
      </c>
      <c r="H110" s="122">
        <f t="shared" si="34"/>
        <v>324</v>
      </c>
      <c r="I110" s="123">
        <f t="shared" si="31"/>
        <v>193.10514020544704</v>
      </c>
      <c r="J110" s="124">
        <f>ROUND(((References!$C$49*I110)*$H$125)+((References!$C$54*I110)*$H$124),2)</f>
        <v>0.2</v>
      </c>
      <c r="K110" s="124">
        <f>ROUND(J110/References!$G$53,2)</f>
        <v>0.21</v>
      </c>
      <c r="L110" s="124">
        <f t="shared" si="35"/>
        <v>0.21</v>
      </c>
      <c r="M110" s="124">
        <v>43.050000000000004</v>
      </c>
      <c r="N110" s="124">
        <f t="shared" si="36"/>
        <v>43.260000000000005</v>
      </c>
      <c r="O110" s="124">
        <f t="shared" si="40"/>
        <v>43.260000000000005</v>
      </c>
      <c r="P110" s="124">
        <f t="shared" si="37"/>
        <v>0</v>
      </c>
      <c r="Q110" s="118">
        <f t="shared" si="38"/>
        <v>0</v>
      </c>
    </row>
    <row r="111" spans="3:17" x14ac:dyDescent="0.25">
      <c r="C111" s="119" t="s">
        <v>200</v>
      </c>
      <c r="D111" s="120">
        <v>0</v>
      </c>
      <c r="E111" s="119">
        <v>1</v>
      </c>
      <c r="F111" s="119">
        <v>1</v>
      </c>
      <c r="G111" s="121">
        <f t="shared" si="39"/>
        <v>473</v>
      </c>
      <c r="H111" s="122">
        <f t="shared" si="34"/>
        <v>473</v>
      </c>
      <c r="I111" s="123">
        <f t="shared" si="31"/>
        <v>281.90966455918658</v>
      </c>
      <c r="J111" s="124">
        <f>ROUND(((References!$C$49*I111)*$H$125)+((References!$C$54*I111)*$H$124),2)</f>
        <v>0.28999999999999998</v>
      </c>
      <c r="K111" s="124">
        <f>ROUND(J111/References!$G$53,2)</f>
        <v>0.3</v>
      </c>
      <c r="L111" s="124">
        <f t="shared" si="35"/>
        <v>0.3</v>
      </c>
      <c r="M111" s="124">
        <v>54.5</v>
      </c>
      <c r="N111" s="124">
        <f t="shared" si="36"/>
        <v>54.8</v>
      </c>
      <c r="O111" s="124">
        <f t="shared" si="40"/>
        <v>54.8</v>
      </c>
      <c r="P111" s="124">
        <f t="shared" si="37"/>
        <v>0</v>
      </c>
      <c r="Q111" s="118">
        <f t="shared" si="38"/>
        <v>0</v>
      </c>
    </row>
    <row r="112" spans="3:17" x14ac:dyDescent="0.25">
      <c r="C112" s="119" t="s">
        <v>201</v>
      </c>
      <c r="D112" s="120">
        <v>0</v>
      </c>
      <c r="E112" s="119">
        <v>1</v>
      </c>
      <c r="F112" s="119">
        <v>1</v>
      </c>
      <c r="G112" s="121">
        <f t="shared" si="39"/>
        <v>613</v>
      </c>
      <c r="H112" s="122">
        <f t="shared" si="34"/>
        <v>613</v>
      </c>
      <c r="I112" s="123">
        <f t="shared" si="31"/>
        <v>365.35015724055256</v>
      </c>
      <c r="J112" s="124">
        <f>ROUND(((References!$C$49*I112)*$H$125)+((References!$C$54*I112)*$H$124),2)</f>
        <v>0.37</v>
      </c>
      <c r="K112" s="124">
        <f>ROUND(J112/References!$G$53,2)</f>
        <v>0.38</v>
      </c>
      <c r="L112" s="124">
        <f t="shared" si="35"/>
        <v>0.38</v>
      </c>
      <c r="M112" s="124">
        <v>63.6</v>
      </c>
      <c r="N112" s="124">
        <f t="shared" si="36"/>
        <v>63.980000000000004</v>
      </c>
      <c r="O112" s="124">
        <f t="shared" si="40"/>
        <v>63.980000000000004</v>
      </c>
      <c r="P112" s="124">
        <f t="shared" si="37"/>
        <v>0</v>
      </c>
      <c r="Q112" s="118">
        <f t="shared" si="38"/>
        <v>0</v>
      </c>
    </row>
    <row r="113" spans="1:17" x14ac:dyDescent="0.25">
      <c r="C113" s="119" t="s">
        <v>202</v>
      </c>
      <c r="D113" s="120">
        <v>0</v>
      </c>
      <c r="E113" s="119">
        <v>1</v>
      </c>
      <c r="F113" s="119">
        <v>1</v>
      </c>
      <c r="G113" s="121">
        <f t="shared" si="39"/>
        <v>840</v>
      </c>
      <c r="H113" s="122">
        <f t="shared" si="34"/>
        <v>840</v>
      </c>
      <c r="I113" s="123">
        <f t="shared" si="31"/>
        <v>500.642956088196</v>
      </c>
      <c r="J113" s="124">
        <f>ROUND(((References!$C$49*I113)*$H$125)+((References!$C$54*I113)*$H$124),2)</f>
        <v>0.51</v>
      </c>
      <c r="K113" s="124">
        <f>ROUND(J113/References!$G$53,2)</f>
        <v>0.53</v>
      </c>
      <c r="L113" s="124">
        <f t="shared" si="35"/>
        <v>0.53</v>
      </c>
      <c r="M113" s="124">
        <v>81.75</v>
      </c>
      <c r="N113" s="124">
        <f t="shared" si="36"/>
        <v>82.28</v>
      </c>
      <c r="O113" s="124">
        <f t="shared" si="40"/>
        <v>82.28</v>
      </c>
      <c r="P113" s="124">
        <f t="shared" si="37"/>
        <v>0</v>
      </c>
      <c r="Q113" s="118">
        <f t="shared" si="38"/>
        <v>0</v>
      </c>
    </row>
    <row r="114" spans="1:17" x14ac:dyDescent="0.25">
      <c r="C114" s="119" t="s">
        <v>203</v>
      </c>
      <c r="D114" s="120">
        <v>0</v>
      </c>
      <c r="E114" s="119">
        <v>1</v>
      </c>
      <c r="F114" s="119">
        <v>1</v>
      </c>
      <c r="G114" s="121">
        <f t="shared" si="39"/>
        <v>980</v>
      </c>
      <c r="H114" s="122">
        <f t="shared" si="34"/>
        <v>980</v>
      </c>
      <c r="I114" s="123">
        <f t="shared" si="31"/>
        <v>584.08344876956198</v>
      </c>
      <c r="J114" s="124">
        <f>ROUND(((References!$C$49*I114)*$H$125)+((References!$C$54*I114)*$H$124),2)</f>
        <v>0.6</v>
      </c>
      <c r="K114" s="124">
        <f>ROUND(J114/References!$G$53,2)</f>
        <v>0.62</v>
      </c>
      <c r="L114" s="124">
        <f t="shared" si="35"/>
        <v>0.62</v>
      </c>
      <c r="M114" s="124">
        <v>95.710000000000008</v>
      </c>
      <c r="N114" s="124">
        <f t="shared" si="36"/>
        <v>96.330000000000013</v>
      </c>
      <c r="O114" s="124">
        <f t="shared" si="40"/>
        <v>96.330000000000013</v>
      </c>
      <c r="P114" s="124">
        <f t="shared" si="37"/>
        <v>0</v>
      </c>
      <c r="Q114" s="118">
        <f>P114/M114</f>
        <v>0</v>
      </c>
    </row>
    <row r="115" spans="1:17" x14ac:dyDescent="0.25">
      <c r="C115" s="42"/>
      <c r="G115" s="84"/>
      <c r="H115" s="45"/>
      <c r="I115" s="74"/>
      <c r="J115" s="116"/>
      <c r="K115" s="116"/>
      <c r="L115" s="116"/>
      <c r="M115" s="116"/>
      <c r="N115" s="93"/>
    </row>
    <row r="116" spans="1:17" x14ac:dyDescent="0.25">
      <c r="A116" s="44"/>
      <c r="C116" s="63"/>
    </row>
    <row r="117" spans="1:17" x14ac:dyDescent="0.25">
      <c r="A117" s="44"/>
      <c r="C117" s="131" t="s">
        <v>87</v>
      </c>
      <c r="D117" s="131"/>
      <c r="E117" s="64"/>
      <c r="H117" s="80"/>
    </row>
    <row r="118" spans="1:17" x14ac:dyDescent="0.25">
      <c r="A118" s="44"/>
      <c r="B118" s="39"/>
      <c r="D118" s="65" t="s">
        <v>0</v>
      </c>
      <c r="E118" s="4"/>
      <c r="F118" s="4"/>
      <c r="H118" s="80"/>
      <c r="I118" s="73"/>
      <c r="J118" s="66"/>
      <c r="O118" s="102"/>
    </row>
    <row r="119" spans="1:17" x14ac:dyDescent="0.25">
      <c r="A119" s="44"/>
      <c r="C119" s="39" t="s">
        <v>88</v>
      </c>
      <c r="D119" s="81">
        <f>G126</f>
        <v>30265.800000000003</v>
      </c>
      <c r="F119" s="56"/>
      <c r="G119" s="56"/>
      <c r="H119" s="67"/>
      <c r="I119" s="73"/>
      <c r="J119" s="66"/>
      <c r="O119" s="102"/>
    </row>
    <row r="120" spans="1:17" x14ac:dyDescent="0.25">
      <c r="A120" s="44"/>
      <c r="C120" s="39" t="s">
        <v>89</v>
      </c>
      <c r="D120" s="68">
        <f>D119*2000</f>
        <v>60531600.000000007</v>
      </c>
      <c r="F120" s="68"/>
      <c r="G120" s="68"/>
      <c r="H120" s="68"/>
      <c r="I120" s="73"/>
      <c r="J120" s="66"/>
    </row>
    <row r="121" spans="1:17" x14ac:dyDescent="0.25">
      <c r="A121" s="44"/>
      <c r="C121" s="39" t="s">
        <v>90</v>
      </c>
      <c r="D121" s="68">
        <f>+F92</f>
        <v>1497906.3364462496</v>
      </c>
      <c r="F121" s="56"/>
      <c r="G121" s="56"/>
      <c r="H121" s="56"/>
      <c r="I121" s="73"/>
      <c r="J121" s="66"/>
      <c r="O121" s="102"/>
    </row>
    <row r="122" spans="1:17" x14ac:dyDescent="0.25">
      <c r="C122" s="69" t="s">
        <v>91</v>
      </c>
      <c r="D122" s="70">
        <f>D120/$H$92</f>
        <v>0.59600351915261429</v>
      </c>
      <c r="F122" s="70"/>
      <c r="G122" s="70"/>
      <c r="H122" s="70"/>
      <c r="J122" s="66"/>
      <c r="O122" s="103"/>
    </row>
    <row r="123" spans="1:17" x14ac:dyDescent="0.25">
      <c r="C123" s="58"/>
      <c r="D123" s="39"/>
      <c r="E123" s="62"/>
      <c r="F123" s="66"/>
      <c r="H123" s="71"/>
      <c r="J123" s="66"/>
    </row>
    <row r="124" spans="1:17" x14ac:dyDescent="0.25">
      <c r="C124" s="134" t="s">
        <v>210</v>
      </c>
      <c r="D124" s="109" t="s">
        <v>182</v>
      </c>
      <c r="E124" s="62"/>
      <c r="G124" s="109">
        <v>29072.720000000001</v>
      </c>
      <c r="H124" s="94">
        <f>G124/G126</f>
        <v>0.96057992850015528</v>
      </c>
    </row>
    <row r="125" spans="1:17" ht="17.25" x14ac:dyDescent="0.4">
      <c r="C125" s="92"/>
      <c r="D125" s="109" t="s">
        <v>183</v>
      </c>
      <c r="E125" s="62"/>
      <c r="G125" s="108">
        <v>1193.08</v>
      </c>
      <c r="H125" s="94">
        <f>G125/G126</f>
        <v>3.9420071499844701E-2</v>
      </c>
      <c r="J125" s="66"/>
    </row>
    <row r="126" spans="1:17" x14ac:dyDescent="0.25">
      <c r="C126" s="69"/>
      <c r="D126" s="109"/>
      <c r="E126" s="62"/>
      <c r="G126" s="109">
        <f>SUM(G124:G125)</f>
        <v>30265.800000000003</v>
      </c>
      <c r="I126" s="39"/>
    </row>
    <row r="127" spans="1:17" x14ac:dyDescent="0.25">
      <c r="C127" s="58"/>
      <c r="D127" s="39"/>
      <c r="E127" s="109"/>
      <c r="F127" s="66"/>
      <c r="I127" s="39"/>
    </row>
    <row r="128" spans="1:17" x14ac:dyDescent="0.25">
      <c r="C128" s="58"/>
      <c r="D128" s="39"/>
      <c r="E128" s="109"/>
      <c r="I128" s="39"/>
    </row>
    <row r="129" spans="3:9" x14ac:dyDescent="0.25">
      <c r="C129" s="58"/>
      <c r="D129" s="39"/>
      <c r="E129" s="109"/>
      <c r="I129" s="39"/>
    </row>
    <row r="130" spans="3:9" x14ac:dyDescent="0.25">
      <c r="C130" s="69"/>
      <c r="D130" s="39"/>
      <c r="E130" s="109"/>
    </row>
    <row r="131" spans="3:9" x14ac:dyDescent="0.25">
      <c r="C131" s="58"/>
      <c r="D131" s="39"/>
      <c r="E131" s="91"/>
      <c r="F131" s="109"/>
      <c r="G131" s="109"/>
      <c r="H131" s="109"/>
    </row>
    <row r="132" spans="3:9" x14ac:dyDescent="0.25">
      <c r="C132" s="58"/>
      <c r="D132" s="39"/>
      <c r="E132" s="91"/>
      <c r="F132" s="109"/>
      <c r="G132" s="109"/>
      <c r="H132" s="109"/>
    </row>
    <row r="133" spans="3:9" x14ac:dyDescent="0.25">
      <c r="C133" s="58"/>
      <c r="D133" s="39"/>
      <c r="E133" s="91"/>
      <c r="F133" s="109"/>
      <c r="G133" s="94"/>
      <c r="H133" s="109"/>
    </row>
    <row r="134" spans="3:9" x14ac:dyDescent="0.25">
      <c r="C134" s="69"/>
      <c r="D134" s="39"/>
      <c r="E134" s="91"/>
      <c r="F134" s="109"/>
      <c r="G134" s="94"/>
      <c r="H134" s="109"/>
    </row>
    <row r="135" spans="3:9" x14ac:dyDescent="0.25">
      <c r="C135" s="58"/>
      <c r="D135" s="39"/>
      <c r="E135" s="91"/>
      <c r="F135" s="109"/>
      <c r="G135" s="94"/>
      <c r="H135" s="109"/>
    </row>
    <row r="136" spans="3:9" x14ac:dyDescent="0.25">
      <c r="C136" s="58"/>
      <c r="D136" s="39"/>
      <c r="E136" s="91"/>
      <c r="F136" s="109"/>
      <c r="G136" s="94"/>
      <c r="H136" s="109"/>
    </row>
    <row r="137" spans="3:9" x14ac:dyDescent="0.25">
      <c r="C137" s="58"/>
      <c r="D137" s="39"/>
      <c r="E137" s="91"/>
      <c r="F137" s="109"/>
      <c r="G137" s="94"/>
      <c r="H137" s="109"/>
    </row>
    <row r="138" spans="3:9" x14ac:dyDescent="0.25">
      <c r="C138" s="92"/>
      <c r="D138" s="39"/>
      <c r="E138" s="91"/>
      <c r="F138" s="109"/>
      <c r="G138" s="94"/>
      <c r="H138" s="109"/>
    </row>
    <row r="139" spans="3:9" x14ac:dyDescent="0.25">
      <c r="C139" s="69"/>
      <c r="D139" s="39"/>
      <c r="E139" s="91"/>
      <c r="F139" s="109"/>
      <c r="G139" s="94"/>
      <c r="H139" s="109"/>
      <c r="I139" s="39"/>
    </row>
    <row r="140" spans="3:9" x14ac:dyDescent="0.25">
      <c r="C140" s="58"/>
      <c r="D140" s="39"/>
      <c r="E140" s="109"/>
      <c r="F140" s="109"/>
      <c r="G140" s="94"/>
      <c r="H140" s="109"/>
      <c r="I140" s="39"/>
    </row>
    <row r="141" spans="3:9" x14ac:dyDescent="0.25">
      <c r="C141" s="58"/>
      <c r="D141" s="39"/>
      <c r="E141" s="109"/>
      <c r="F141" s="109"/>
      <c r="G141" s="94"/>
      <c r="H141" s="109"/>
    </row>
    <row r="142" spans="3:9" x14ac:dyDescent="0.25">
      <c r="C142" s="58"/>
      <c r="D142" s="39"/>
      <c r="E142" s="109"/>
      <c r="F142" s="109"/>
      <c r="G142" s="94"/>
      <c r="H142" s="109"/>
    </row>
    <row r="143" spans="3:9" x14ac:dyDescent="0.25">
      <c r="C143" s="69"/>
      <c r="D143" s="39"/>
      <c r="E143" s="109"/>
      <c r="F143" s="109"/>
      <c r="G143" s="94"/>
      <c r="H143" s="109"/>
    </row>
    <row r="144" spans="3:9" x14ac:dyDescent="0.25">
      <c r="C144" s="58"/>
      <c r="D144" s="39"/>
      <c r="E144" s="91"/>
      <c r="F144" s="109"/>
      <c r="G144" s="94"/>
      <c r="H144" s="109"/>
    </row>
    <row r="145" spans="3:8" x14ac:dyDescent="0.25">
      <c r="C145" s="58"/>
      <c r="D145" s="39"/>
      <c r="E145" s="91"/>
      <c r="F145" s="109"/>
      <c r="G145" s="94"/>
      <c r="H145" s="109"/>
    </row>
    <row r="146" spans="3:8" x14ac:dyDescent="0.25">
      <c r="C146" s="58"/>
      <c r="D146" s="39"/>
      <c r="E146" s="91"/>
      <c r="F146" s="109"/>
      <c r="G146" s="94"/>
      <c r="H146" s="109"/>
    </row>
    <row r="147" spans="3:8" x14ac:dyDescent="0.25">
      <c r="C147" s="69"/>
      <c r="D147" s="39"/>
      <c r="E147" s="91"/>
      <c r="F147" s="109"/>
      <c r="G147" s="94"/>
      <c r="H147" s="109"/>
    </row>
    <row r="148" spans="3:8" x14ac:dyDescent="0.25">
      <c r="C148" s="58"/>
      <c r="D148" s="39"/>
      <c r="E148" s="91"/>
      <c r="F148" s="109"/>
      <c r="G148" s="94"/>
      <c r="H148" s="109"/>
    </row>
    <row r="149" spans="3:8" x14ac:dyDescent="0.25">
      <c r="C149" s="58"/>
      <c r="D149" s="39"/>
      <c r="E149" s="91"/>
      <c r="F149" s="109"/>
      <c r="G149" s="94"/>
      <c r="H149" s="109"/>
    </row>
    <row r="150" spans="3:8" x14ac:dyDescent="0.25">
      <c r="D150" s="91"/>
      <c r="E150" s="109"/>
      <c r="F150" s="94"/>
      <c r="G150" s="109"/>
    </row>
  </sheetData>
  <mergeCells count="3">
    <mergeCell ref="A2:A22"/>
    <mergeCell ref="A24:A89"/>
    <mergeCell ref="C117:D117"/>
  </mergeCells>
  <pageMargins left="0.2" right="0.2" top="0.75" bottom="0.75" header="0.3" footer="0.3"/>
  <pageSetup scale="54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2021-11-09T08:00:00+00:00</OpenedDate>
    <SignificantOrder xmlns="dc463f71-b30c-4ab2-9473-d307f9d35888">false</SignificantOrder>
    <Date1 xmlns="dc463f71-b30c-4ab2-9473-d307f9d35888">2021-11-09T08:00:00+00:00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210882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BD95F096DF574A8B5CE91E753E9000" ma:contentTypeVersion="44" ma:contentTypeDescription="" ma:contentTypeScope="" ma:versionID="c811ffbb709aad0af78409de764efbf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83AB16-FD5D-4943-8A85-B97B590A98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D0E571-4854-4396-82CA-067155E070E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19E78AB-35BD-4D42-8D50-99FE5C9B7465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D74D582-EE75-4583-946F-8D24F60E84A3}"/>
</file>

<file path=customXml/itemProps5.xml><?xml version="1.0" encoding="utf-8"?>
<ds:datastoreItem xmlns:ds="http://schemas.openxmlformats.org/officeDocument/2006/customXml" ds:itemID="{C0633AE1-C27A-4C48-8CE1-943456DAE7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References</vt:lpstr>
      <vt:lpstr>Calculations</vt:lpstr>
      <vt:lpstr>Calculations!Print_Area</vt:lpstr>
      <vt:lpstr>Calculations!Print_Titles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LaRue</dc:creator>
  <cp:lastModifiedBy>Weinstein, Mike</cp:lastModifiedBy>
  <cp:lastPrinted>2019-10-21T18:50:07Z</cp:lastPrinted>
  <dcterms:created xsi:type="dcterms:W3CDTF">2013-04-10T21:01:30Z</dcterms:created>
  <dcterms:modified xsi:type="dcterms:W3CDTF">2021-10-18T15:53:38Z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fidentiality">
    <vt:lpwstr>None</vt:lpwstr>
  </property>
  <property fmtid="{D5CDD505-2E9C-101B-9397-08002B2CF9AE}" pid="5" name="DocumentDescription">
    <vt:lpwstr>Accounting workpapers</vt:lpwstr>
  </property>
  <property fmtid="{D5CDD505-2E9C-101B-9397-08002B2CF9AE}" pid="6" name="EFilingId">
    <vt:lpwstr>20033.0000000000</vt:lpwstr>
  </property>
  <property fmtid="{D5CDD505-2E9C-101B-9397-08002B2CF9AE}" pid="7" name="ContentTypeId">
    <vt:lpwstr>0x0101006E56B4D1795A2E4DB2F0B01679ED314A00EDBD95F096DF574A8B5CE91E753E9000</vt:lpwstr>
  </property>
  <property fmtid="{D5CDD505-2E9C-101B-9397-08002B2CF9AE}" pid="8" name="_docset_NoMedatataSyncRequired">
    <vt:lpwstr>False</vt:lpwstr>
  </property>
  <property fmtid="{D5CDD505-2E9C-101B-9397-08002B2CF9AE}" pid="9" name="IsEFSEC">
    <vt:bool>false</vt:bool>
  </property>
</Properties>
</file>