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stern Region\WUTC\WUTC-Vashon  2132\Dump Fee\DF Increase 1-1-2022\"/>
    </mc:Choice>
  </mc:AlternateContent>
  <bookViews>
    <workbookView xWindow="0" yWindow="0" windowWidth="20490" windowHeight="7020"/>
  </bookViews>
  <sheets>
    <sheet name="References" sheetId="6" r:id="rId1"/>
    <sheet name="DF Calculation" sheetId="7" r:id="rId2"/>
    <sheet name="Proposed Rates" sheetId="8" r:id="rId3"/>
    <sheet name="DF Calculation from TG-180955" sheetId="9" r:id="rId4"/>
    <sheet name="Vashon Price Out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D" localSheetId="3">#REF!</definedName>
    <definedName name="\D">#REF!</definedName>
    <definedName name="\S">#REF!</definedName>
    <definedName name="\Y">#REF!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3" hidden="1">#REF!</definedName>
    <definedName name="_132Graph_h" hidden="1">#REF!</definedName>
    <definedName name="_ACT1" localSheetId="3">[4]Hidden!#REF!</definedName>
    <definedName name="_ACT1">[4]Hidden!#REF!</definedName>
    <definedName name="_ACT2" localSheetId="3">[4]Hidden!#REF!</definedName>
    <definedName name="_ACT2">[4]Hidden!#REF!</definedName>
    <definedName name="_ACT3">[4]Hidden!#REF!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3" hidden="1">#REF!</definedName>
    <definedName name="_max" hidden="1">#REF!</definedName>
    <definedName name="_Mon" localSheetId="3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3" hidden="1">#REF!</definedName>
    <definedName name="_Sort" hidden="1">#REF!</definedName>
    <definedName name="_Sort1" hidden="1">'[2]#REF'!$A$10:$Z$281</definedName>
    <definedName name="_sort3" hidden="1">[3]XXXXXX!$G$10:$J$11</definedName>
    <definedName name="a">#REF!</definedName>
    <definedName name="Accounts" localSheetId="3">#REF!</definedName>
    <definedName name="Accounts">#REF!</definedName>
    <definedName name="ACCT" localSheetId="3">[4]Hidden!#REF!</definedName>
    <definedName name="ACCT">[4]Hidden!#REF!</definedName>
    <definedName name="ACCT.ConsolSum">[1]Hidden!$Q$11</definedName>
    <definedName name="ACT_CUR" localSheetId="3">[4]Hidden!#REF!</definedName>
    <definedName name="ACT_CUR">[4]Hidden!#REF!</definedName>
    <definedName name="ACT_YTD" localSheetId="3">[4]Hidden!#REF!</definedName>
    <definedName name="ACT_YTD">[4]Hidden!#REF!</definedName>
    <definedName name="afsdfsdfsd" localSheetId="3">#REF!</definedName>
    <definedName name="afsdfsdfsd">#REF!</definedName>
    <definedName name="AmountCount" localSheetId="3">#REF!</definedName>
    <definedName name="AmountCount">#REF!</definedName>
    <definedName name="AmountCount1" localSheetId="3">#REF!</definedName>
    <definedName name="AmountCount1">#REF!</definedName>
    <definedName name="AmountFrom">#REF!</definedName>
    <definedName name="AmountTo">#REF!</definedName>
    <definedName name="AmountTotal">#REF!</definedName>
    <definedName name="AmountTotal1">#REF!</definedName>
    <definedName name="BookRev">'[5]Pacific Regulated - Price Out'!$F$50</definedName>
    <definedName name="BookRev_com">'[5]Pacific Regulated - Price Out'!$F$214</definedName>
    <definedName name="BookRev_mfr">'[5]Pacific Regulated - Price Out'!$F$222</definedName>
    <definedName name="BookRev_ro">'[5]Pacific Regulated - Price Out'!$F$282</definedName>
    <definedName name="BookRev_rr">'[5]Pacific Regulated - Price Out'!$F$59</definedName>
    <definedName name="BookRev_yw">'[5]Pacific Regulated - Price Out'!$F$70</definedName>
    <definedName name="BREMAIR_COST_of_SERVICE_STUDY" localSheetId="3">#REF!</definedName>
    <definedName name="BREMAIR_COST_of_SERVICE_STUDY">#REF!</definedName>
    <definedName name="BUD_CUR" localSheetId="3">[4]Hidden!#REF!</definedName>
    <definedName name="BUD_CUR">[4]Hidden!#REF!</definedName>
    <definedName name="BUD_YTD" localSheetId="3">[4]Hidden!#REF!</definedName>
    <definedName name="BUD_YTD">[4]Hidden!#REF!</definedName>
    <definedName name="CalRecyTons">'[6]Recycl Tons, Commodity Value'!$L$23</definedName>
    <definedName name="CheckTotals" localSheetId="3">#REF!</definedName>
    <definedName name="CheckTotals">#REF!</definedName>
    <definedName name="colgroup">[1]Orientation!$G$6</definedName>
    <definedName name="colsegment">[1]Orientation!$F$6</definedName>
    <definedName name="CommlStaffPriceOut">'[7]Price Out-Reg EASTSIDE-Resi'!#REF!</definedName>
    <definedName name="CRCTable" localSheetId="3">#REF!</definedName>
    <definedName name="CRCTable">#REF!</definedName>
    <definedName name="CRCTableOLD" localSheetId="3">#REF!</definedName>
    <definedName name="CRCTableOLD">#REF!</definedName>
    <definedName name="CriteriaType">[8]ControlPanel!$Z$2:$Z$5</definedName>
    <definedName name="CurrentMonth" localSheetId="3">#REF!</definedName>
    <definedName name="CurrentMonth" localSheetId="4">#REF!</definedName>
    <definedName name="CurrentMonth">#REF!</definedName>
    <definedName name="Cutomers" localSheetId="3">#REF!</definedName>
    <definedName name="Cutomers">#REF!</definedName>
    <definedName name="_xlnm.Database">#REF!</definedName>
    <definedName name="Database1">#REF!</definedName>
    <definedName name="DateFrom" localSheetId="3">#REF!</definedName>
    <definedName name="DateFrom" localSheetId="4">#REF!</definedName>
    <definedName name="DateFrom">#REF!</definedName>
    <definedName name="DateTo" localSheetId="3">#REF!</definedName>
    <definedName name="DateTo" localSheetId="4">#REF!</definedName>
    <definedName name="DateTo">#REF!</definedName>
    <definedName name="DBxStaffPriceOut" localSheetId="3">'[7]Price Out-Reg EASTSIDE-Resi'!#REF!</definedName>
    <definedName name="DBxStaffPriceOut">'[7]Price Out-Reg EASTSIDE-Resi'!#REF!</definedName>
    <definedName name="DEPT">[4]Hidden!#REF!</definedName>
    <definedName name="Dist">[9]Data!$E$3</definedName>
    <definedName name="District" localSheetId="3">'[10]Vashon BS'!#REF!</definedName>
    <definedName name="District">'[10]Vashon BS'!#REF!</definedName>
    <definedName name="DistrictNum" localSheetId="3">#REF!</definedName>
    <definedName name="DistrictNum">#REF!</definedName>
    <definedName name="Districts" localSheetId="3">#REF!</definedName>
    <definedName name="Districts">#REF!</definedName>
    <definedName name="dOG" localSheetId="3">#REF!</definedName>
    <definedName name="dOG">#REF!</definedName>
    <definedName name="drlFilter">[1]Settings!$D$27</definedName>
    <definedName name="End" localSheetId="3">#REF!</definedName>
    <definedName name="End">#REF!</definedName>
    <definedName name="EntrieShownLimit" localSheetId="3">#REF!</definedName>
    <definedName name="EntrieShownLimit" localSheetId="4">#REF!</definedName>
    <definedName name="EntrieShownLimit">#REF!</definedName>
    <definedName name="ExcludeIC" localSheetId="3">'[10]Vashon BS'!#REF!</definedName>
    <definedName name="ExcludeIC">'[10]Vashon BS'!#REF!</definedName>
    <definedName name="ExpensesPF1" localSheetId="3">#REF!</definedName>
    <definedName name="ExpensesPF1">#REF!</definedName>
    <definedName name="EXT" localSheetId="3">#REF!</definedName>
    <definedName name="EXT">#REF!</definedName>
    <definedName name="FBTable" localSheetId="3">#REF!</definedName>
    <definedName name="FBTable">#REF!</definedName>
    <definedName name="FBTableOld">#REF!</definedName>
    <definedName name="filter">[1]Settings!$B$14:$H$25</definedName>
    <definedName name="FromMonth" localSheetId="3">#REF!</definedName>
    <definedName name="FromMonth">#REF!</definedName>
    <definedName name="FundsApprPend" localSheetId="3">[9]Data!#REF!</definedName>
    <definedName name="FundsApprPend">[9]Data!#REF!</definedName>
    <definedName name="FundsBudUnbud" localSheetId="3">[9]Data!#REF!</definedName>
    <definedName name="FundsBudUnbud">[9]Data!#REF!</definedName>
    <definedName name="GLMappingStart" localSheetId="3">#REF!</definedName>
    <definedName name="GLMappingStart">#REF!</definedName>
    <definedName name="GLMappingStart1" localSheetId="3">#REF!</definedName>
    <definedName name="GLMappingStart1">#REF!</definedName>
    <definedName name="Import_Range" localSheetId="3">[9]Data!#REF!</definedName>
    <definedName name="Import_Range">[9]Data!#REF!</definedName>
    <definedName name="IncomeStmnt" localSheetId="3">#REF!</definedName>
    <definedName name="IncomeStmnt">#REF!</definedName>
    <definedName name="INPUT" localSheetId="3">#REF!</definedName>
    <definedName name="INPUT">#REF!</definedName>
    <definedName name="INPUTc" localSheetId="3">#REF!</definedName>
    <definedName name="INPUTc">#REF!</definedName>
    <definedName name="Insurance">#REF!</definedName>
    <definedName name="Interject_LastPulledValues_BalanceRange" localSheetId="4">#REF!</definedName>
    <definedName name="Interject_LastPulledValues_BalanceRange">#REF!</definedName>
    <definedName name="Interject_LastPulledValues_DescriptionRange" localSheetId="4">#REF!</definedName>
    <definedName name="Interject_LastPulledValues_DescriptionRange">#REF!</definedName>
    <definedName name="Interject_LastPulledValues_LastChangeGUID" localSheetId="4">#REF!</definedName>
    <definedName name="Interject_LastPulledValues_LastChangeGUID">#REF!</definedName>
    <definedName name="Interject_LastPulledValues_PreviousLastChangeGUID" localSheetId="4">#REF!</definedName>
    <definedName name="Interject_LastPulledValues_PreviousLastChangeGUID">#REF!</definedName>
    <definedName name="Invoice_Start" localSheetId="3">[9]Invoice_Drill!#REF!</definedName>
    <definedName name="Invoice_Start">[9]Invoice_Drill!#REF!</definedName>
    <definedName name="JEDetail" localSheetId="3">#REF!</definedName>
    <definedName name="JEDetail">#REF!</definedName>
    <definedName name="JEDetail1" localSheetId="3">#REF!</definedName>
    <definedName name="JEDetail1">#REF!</definedName>
    <definedName name="JEType" localSheetId="3">#REF!</definedName>
    <definedName name="JEType">#REF!</definedName>
    <definedName name="JEType1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LOB">[11]DropDownRanges!$B$4:$B$37</definedName>
    <definedName name="MainDataEnd" localSheetId="3">#REF!</definedName>
    <definedName name="MainDataEnd">#REF!</definedName>
    <definedName name="MainDataStart" localSheetId="3">#REF!</definedName>
    <definedName name="MainDataStart">#REF!</definedName>
    <definedName name="MapKeyStart" localSheetId="3">#REF!</definedName>
    <definedName name="MapKeyStart">#REF!</definedName>
    <definedName name="master_def">#REF!</definedName>
    <definedName name="MATRIX">#REF!</definedName>
    <definedName name="MemoAttachment">#REF!</definedName>
    <definedName name="MetaSet">[1]Orientation!$C$22</definedName>
    <definedName name="MFStaffPriceOut">'[7]Price Out-Reg EASTSIDE-Resi'!#REF!</definedName>
    <definedName name="MILTON" localSheetId="3">#REF!</definedName>
    <definedName name="MILTON">#REF!</definedName>
    <definedName name="MonthList">'[9]Lookup Tables'!$A$1:$A$13</definedName>
    <definedName name="NewLob">[11]DropDownRanges!$B$4:$B$37</definedName>
    <definedName name="NewOnlyOrg">#N/A</definedName>
    <definedName name="NewSource">[11]DropDownRanges!$D$4:$D$7</definedName>
    <definedName name="nn" localSheetId="3">#REF!</definedName>
    <definedName name="nn">#REF!</definedName>
    <definedName name="NOTES" localSheetId="3">#REF!</definedName>
    <definedName name="NOTES">#REF!</definedName>
    <definedName name="NR" localSheetId="3">#REF!</definedName>
    <definedName name="NR">#REF!</definedName>
    <definedName name="OfficerSalary">#N/A</definedName>
    <definedName name="OffsetAcctBil" localSheetId="4">[12]JEexport!$L$10</definedName>
    <definedName name="OffsetAcctBil">[13]JEexport!$L$10</definedName>
    <definedName name="OffsetAcctPmt" localSheetId="4">[12]JEexport!$L$9</definedName>
    <definedName name="OffsetAcctPmt">[13]JEexport!$L$9</definedName>
    <definedName name="Org11_13">#N/A</definedName>
    <definedName name="Org7_10">#N/A</definedName>
    <definedName name="p" localSheetId="3">#REF!</definedName>
    <definedName name="p">#REF!</definedName>
    <definedName name="PAGE_1" localSheetId="3">#REF!</definedName>
    <definedName name="PAGE_1">#REF!</definedName>
    <definedName name="Page16" localSheetId="3">#REF!</definedName>
    <definedName name="Page16">#REF!</definedName>
    <definedName name="Page17">#REF!</definedName>
    <definedName name="Page18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osting">#REF!</definedName>
    <definedName name="primtbl">[1]Orientation!$C$23</definedName>
    <definedName name="_xlnm.Print_Area" localSheetId="1">'DF Calculation'!$A$1:$R$53</definedName>
    <definedName name="_xlnm.Print_Area" localSheetId="3">'DF Calculation from TG-180955'!$A$3:$R$49</definedName>
    <definedName name="_xlnm.Print_Area" localSheetId="2">'Proposed Rates'!$A$1:$F$56</definedName>
    <definedName name="_xlnm.Print_Area" localSheetId="4">'Vashon Price Out'!$A$1:$AN$143</definedName>
    <definedName name="_xlnm.Print_Area">#REF!</definedName>
    <definedName name="Print_Area_MI" localSheetId="3">#REF!</definedName>
    <definedName name="Print_Area_MI">#REF!</definedName>
    <definedName name="Print_Area_MIc" localSheetId="3">#REF!</definedName>
    <definedName name="Print_Area_MIc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1">'DF Calculation'!$C:$C</definedName>
    <definedName name="_xlnm.Print_Titles" localSheetId="3">'DF Calculation from TG-180955'!$C:$C</definedName>
    <definedName name="_xlnm.Print_Titles" localSheetId="2">'Proposed Rates'!$4:$4</definedName>
    <definedName name="_xlnm.Print_Titles" localSheetId="4">'Vashon Price Out'!$2:$7</definedName>
    <definedName name="Print1" localSheetId="3">#REF!</definedName>
    <definedName name="Print1">#REF!</definedName>
    <definedName name="Print2" localSheetId="3">#REF!</definedName>
    <definedName name="Print2">#REF!</definedName>
    <definedName name="Print5" localSheetId="3">#REF!</definedName>
    <definedName name="Print5">#REF!</definedName>
    <definedName name="ProRev">'[5]Pacific Regulated - Price Out'!$M$49</definedName>
    <definedName name="ProRev_com">'[5]Pacific Regulated - Price Out'!$M$213</definedName>
    <definedName name="ProRev_mfr">'[5]Pacific Regulated - Price Out'!$M$221</definedName>
    <definedName name="ProRev_ro">'[5]Pacific Regulated - Price Out'!$M$281</definedName>
    <definedName name="ProRev_rr">'[5]Pacific Regulated - Price Out'!$M$58</definedName>
    <definedName name="ProRev_yw">'[5]Pacific Regulated - Price Out'!$M$69</definedName>
    <definedName name="pServer" localSheetId="3">#REF!</definedName>
    <definedName name="pServer">#REF!</definedName>
    <definedName name="pServiceCode" localSheetId="3">#REF!</definedName>
    <definedName name="pServiceCode">#REF!</definedName>
    <definedName name="pShowAllUnposted" localSheetId="3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'[14]Consolidated IS 2009 2010'!$AK$20</definedName>
    <definedName name="Reg_Cust_Percent">'[14]Consolidated IS 2009 2010'!$AC$20</definedName>
    <definedName name="Reg_Drive_Percent">'[14]Consolidated IS 2009 2010'!$AC$40</definedName>
    <definedName name="Reg_Haul_Rev_Percent">'[14]Consolidated IS 2009 2010'!$Z$18</definedName>
    <definedName name="Reg_Lab_Percent">'[14]Consolidated IS 2009 2010'!$AC$39</definedName>
    <definedName name="Reg_Steel_Cont_Percent">'[14]Consolidated IS 2009 2010'!$AE$120</definedName>
    <definedName name="RegulatedIS">'[14]2009 IS'!$A$12:$Q$655</definedName>
    <definedName name="RelatedSalary">#N/A</definedName>
    <definedName name="report_type">[1]Orientation!$C$24</definedName>
    <definedName name="ReportNames">[15]ControlPanel!$S$2:$S$16</definedName>
    <definedName name="ReportVersion">[1]Settings!$D$5</definedName>
    <definedName name="ReslStaffPriceOut">'[7]Price Out-Reg EASTSIDE-Resi'!#REF!</definedName>
    <definedName name="RetainedEarnings" localSheetId="3">#REF!</definedName>
    <definedName name="RetainedEarnings">#REF!</definedName>
    <definedName name="RevCust" localSheetId="3">[16]RevenuesCust!#REF!</definedName>
    <definedName name="RevCust">[16]RevenuesCust!#REF!</definedName>
    <definedName name="RevCustomer" localSheetId="3">#REF!</definedName>
    <definedName name="RevCustomer">#REF!</definedName>
    <definedName name="RevenuePF1" localSheetId="3">#REF!</definedName>
    <definedName name="RevenuePF1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ffasfasdfsd" localSheetId="3">[4]Hidden!#REF!</definedName>
    <definedName name="seffasfasdfsd">[4]Hidden!#REF!</definedName>
    <definedName name="Sequential_Group">[1]Settings!$J$6</definedName>
    <definedName name="Sequential_Segment">[1]Settings!$I$6</definedName>
    <definedName name="Sequential_sort">[1]Settings!$I$10:$J$11</definedName>
    <definedName name="slope">'[17]LG Nonpublic 2018 V5.0'!$X$58</definedName>
    <definedName name="sortcol" localSheetId="3">#REF!</definedName>
    <definedName name="sortcol">#REF!</definedName>
    <definedName name="Source">[11]DropDownRanges!$D$4:$D$7</definedName>
    <definedName name="sSRCDate" localSheetId="3">'[18]Feb''12 FAR Data'!#REF!</definedName>
    <definedName name="sSRCDate">'[18]Feb''12 FAR Data'!#REF!</definedName>
    <definedName name="SubSystems" localSheetId="3">#REF!</definedName>
    <definedName name="SubSystems">#REF!</definedName>
    <definedName name="Supplemental_filter">[1]Settings!$C$31</definedName>
    <definedName name="SWDisposal">#N/A</definedName>
    <definedName name="System">[19]BS_Close!$V$8</definedName>
    <definedName name="Systems" localSheetId="3">#REF!</definedName>
    <definedName name="Systems">#REF!</definedName>
    <definedName name="TemplateEnd" localSheetId="3">#REF!</definedName>
    <definedName name="TemplateEnd" localSheetId="4">#REF!</definedName>
    <definedName name="TemplateEnd">#REF!</definedName>
    <definedName name="TemplateStart" localSheetId="4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Month" localSheetId="3">#REF!</definedName>
    <definedName name="ToMonth">#REF!</definedName>
    <definedName name="Tons" localSheetId="3">#REF!</definedName>
    <definedName name="Tons">#REF!</definedName>
    <definedName name="Total_Comm">'[6]Tariff Rate Sheet'!$L$214</definedName>
    <definedName name="Total_DB">'[6]Tariff Rate Sheet'!$L$278</definedName>
    <definedName name="Total_Resi">'[6]Tariff Rate Sheet'!$L$107</definedName>
    <definedName name="Transactions" localSheetId="3">#REF!</definedName>
    <definedName name="Transactions">#REF!</definedName>
    <definedName name="UnregulatedIS">'[14]2010 IS'!$A$12:$Q$654</definedName>
    <definedName name="VendorCode" localSheetId="3">#REF!</definedName>
    <definedName name="VendorCode">#REF!</definedName>
    <definedName name="Version" localSheetId="3">[9]Data!#REF!</definedName>
    <definedName name="Version">[9]Data!#REF!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>#REF!</definedName>
    <definedName name="WTableOld" localSheetId="3">#REF!</definedName>
    <definedName name="WTableOld">#REF!</definedName>
    <definedName name="ww" localSheetId="3">#REF!</definedName>
    <definedName name="ww">#REF!</definedName>
    <definedName name="xperiod">[1]Orientation!$G$15</definedName>
    <definedName name="xtabin" localSheetId="3">[4]Hidden!#REF!</definedName>
    <definedName name="xtabin">[4]Hidden!#REF!</definedName>
    <definedName name="xx" localSheetId="3">#REF!</definedName>
    <definedName name="xx">#REF!</definedName>
    <definedName name="xxx" localSheetId="3">#REF!</definedName>
    <definedName name="xxx">#REF!</definedName>
    <definedName name="xxxx" localSheetId="3">#REF!</definedName>
    <definedName name="xxxx">#REF!</definedName>
    <definedName name="y_inter1">'[17]LG Nonpublic 2018 V5.0'!$W$55</definedName>
    <definedName name="y_inter2">'[17]LG Nonpublic 2018 V5.0'!$W$56</definedName>
    <definedName name="y_inter3">'[17]LG Nonpublic 2018 V5.0'!$Y$55</definedName>
    <definedName name="y_inter4">'[17]LG Nonpublic 2018 V5.0'!$Y$56</definedName>
    <definedName name="YearMonth" localSheetId="3">'[10]Vashon BS'!#REF!</definedName>
    <definedName name="YearMonth">'[10]Vashon BS'!#REF!</definedName>
    <definedName name="YWMedWasteDisp">#N/A</definedName>
    <definedName name="yy" localSheetId="3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7" l="1"/>
  <c r="R44" i="7"/>
  <c r="R43" i="7"/>
  <c r="P60" i="7" l="1"/>
  <c r="P59" i="7"/>
  <c r="P58" i="7"/>
  <c r="D56" i="9" l="1"/>
  <c r="D57" i="9" s="1"/>
  <c r="O47" i="9"/>
  <c r="M47" i="9"/>
  <c r="G47" i="9"/>
  <c r="H47" i="9" s="1"/>
  <c r="E47" i="9"/>
  <c r="R46" i="9"/>
  <c r="Q46" i="9"/>
  <c r="O46" i="9"/>
  <c r="M46" i="9"/>
  <c r="G46" i="9"/>
  <c r="H46" i="9" s="1"/>
  <c r="E46" i="9"/>
  <c r="O45" i="9"/>
  <c r="M45" i="9"/>
  <c r="G45" i="9"/>
  <c r="H45" i="9" s="1"/>
  <c r="E45" i="9"/>
  <c r="O44" i="9"/>
  <c r="M44" i="9"/>
  <c r="G44" i="9"/>
  <c r="H44" i="9" s="1"/>
  <c r="O43" i="9"/>
  <c r="M43" i="9"/>
  <c r="G43" i="9"/>
  <c r="H43" i="9" s="1"/>
  <c r="E43" i="9"/>
  <c r="O36" i="9"/>
  <c r="G36" i="9"/>
  <c r="E36" i="9"/>
  <c r="D36" i="9"/>
  <c r="F36" i="9" s="1"/>
  <c r="O35" i="9"/>
  <c r="G35" i="9"/>
  <c r="E35" i="9"/>
  <c r="D35" i="9"/>
  <c r="F35" i="9" s="1"/>
  <c r="O34" i="9"/>
  <c r="G34" i="9"/>
  <c r="E34" i="9"/>
  <c r="D34" i="9"/>
  <c r="F34" i="9" s="1"/>
  <c r="O33" i="9"/>
  <c r="G33" i="9"/>
  <c r="E33" i="9"/>
  <c r="D33" i="9"/>
  <c r="F33" i="9" s="1"/>
  <c r="O32" i="9"/>
  <c r="G32" i="9"/>
  <c r="E32" i="9"/>
  <c r="D32" i="9"/>
  <c r="F32" i="9" s="1"/>
  <c r="O31" i="9"/>
  <c r="G31" i="9"/>
  <c r="E31" i="9"/>
  <c r="D31" i="9"/>
  <c r="F31" i="9" s="1"/>
  <c r="O30" i="9"/>
  <c r="G30" i="9"/>
  <c r="E30" i="9"/>
  <c r="D30" i="9"/>
  <c r="F30" i="9" s="1"/>
  <c r="O29" i="9"/>
  <c r="G29" i="9"/>
  <c r="E29" i="9"/>
  <c r="D29" i="9"/>
  <c r="F29" i="9" s="1"/>
  <c r="O28" i="9"/>
  <c r="G28" i="9"/>
  <c r="E28" i="9"/>
  <c r="D28" i="9"/>
  <c r="O27" i="9"/>
  <c r="G27" i="9"/>
  <c r="E27" i="9"/>
  <c r="D27" i="9"/>
  <c r="F27" i="9" s="1"/>
  <c r="O26" i="9"/>
  <c r="G26" i="9"/>
  <c r="E26" i="9"/>
  <c r="D26" i="9"/>
  <c r="F26" i="9" s="1"/>
  <c r="O25" i="9"/>
  <c r="G25" i="9"/>
  <c r="E25" i="9"/>
  <c r="D25" i="9"/>
  <c r="F25" i="9" s="1"/>
  <c r="O24" i="9"/>
  <c r="G24" i="9"/>
  <c r="E24" i="9"/>
  <c r="D24" i="9"/>
  <c r="F24" i="9" s="1"/>
  <c r="O23" i="9"/>
  <c r="G23" i="9"/>
  <c r="E23" i="9"/>
  <c r="D23" i="9"/>
  <c r="F23" i="9" s="1"/>
  <c r="O22" i="9"/>
  <c r="G22" i="9"/>
  <c r="E22" i="9"/>
  <c r="D22" i="9"/>
  <c r="F22" i="9" s="1"/>
  <c r="O21" i="9"/>
  <c r="G21" i="9"/>
  <c r="E21" i="9"/>
  <c r="D21" i="9"/>
  <c r="F21" i="9" s="1"/>
  <c r="O20" i="9"/>
  <c r="G20" i="9"/>
  <c r="E20" i="9"/>
  <c r="D20" i="9"/>
  <c r="F20" i="9" s="1"/>
  <c r="O19" i="9"/>
  <c r="G19" i="9"/>
  <c r="E19" i="9"/>
  <c r="D19" i="9"/>
  <c r="F19" i="9" s="1"/>
  <c r="O18" i="9"/>
  <c r="G18" i="9"/>
  <c r="E18" i="9"/>
  <c r="D18" i="9"/>
  <c r="F18" i="9" s="1"/>
  <c r="O17" i="9"/>
  <c r="G17" i="9"/>
  <c r="E17" i="9"/>
  <c r="D17" i="9"/>
  <c r="F17" i="9" s="1"/>
  <c r="O16" i="9"/>
  <c r="G16" i="9"/>
  <c r="E16" i="9"/>
  <c r="D16" i="9"/>
  <c r="F16" i="9" s="1"/>
  <c r="O15" i="9"/>
  <c r="G15" i="9"/>
  <c r="E15" i="9"/>
  <c r="D15" i="9"/>
  <c r="F15" i="9" s="1"/>
  <c r="T14" i="9"/>
  <c r="T13" i="9"/>
  <c r="O12" i="9"/>
  <c r="G12" i="9"/>
  <c r="E12" i="9"/>
  <c r="D12" i="9"/>
  <c r="F12" i="9" s="1"/>
  <c r="O11" i="9"/>
  <c r="G11" i="9"/>
  <c r="E11" i="9"/>
  <c r="D11" i="9"/>
  <c r="O10" i="9"/>
  <c r="G10" i="9"/>
  <c r="E10" i="9"/>
  <c r="D10" i="9"/>
  <c r="F10" i="9" s="1"/>
  <c r="O9" i="9"/>
  <c r="G9" i="9"/>
  <c r="E9" i="9"/>
  <c r="D9" i="9"/>
  <c r="F9" i="9" s="1"/>
  <c r="O8" i="9"/>
  <c r="G8" i="9"/>
  <c r="E8" i="9"/>
  <c r="D8" i="9"/>
  <c r="F8" i="9" s="1"/>
  <c r="O7" i="9"/>
  <c r="G7" i="9"/>
  <c r="E7" i="9"/>
  <c r="D7" i="9"/>
  <c r="O6" i="9"/>
  <c r="G6" i="9"/>
  <c r="E6" i="9"/>
  <c r="D6" i="9"/>
  <c r="F6" i="9" s="1"/>
  <c r="O5" i="9"/>
  <c r="G5" i="9"/>
  <c r="E5" i="9"/>
  <c r="D5" i="9"/>
  <c r="F28" i="9" l="1"/>
  <c r="F7" i="9"/>
  <c r="H7" i="9" s="1"/>
  <c r="F11" i="9"/>
  <c r="D60" i="7"/>
  <c r="C65" i="6"/>
  <c r="H19" i="9"/>
  <c r="F5" i="9"/>
  <c r="H28" i="9"/>
  <c r="H32" i="9"/>
  <c r="H36" i="9"/>
  <c r="H17" i="9"/>
  <c r="D13" i="9"/>
  <c r="H27" i="9"/>
  <c r="H31" i="9"/>
  <c r="H35" i="9"/>
  <c r="H6" i="9"/>
  <c r="H8" i="9"/>
  <c r="H9" i="9"/>
  <c r="H10" i="9"/>
  <c r="H11" i="9"/>
  <c r="H12" i="9"/>
  <c r="H21" i="9"/>
  <c r="H29" i="9"/>
  <c r="H30" i="9"/>
  <c r="H33" i="9"/>
  <c r="H18" i="9"/>
  <c r="H20" i="9"/>
  <c r="H25" i="9"/>
  <c r="H26" i="9"/>
  <c r="D37" i="9"/>
  <c r="H24" i="9"/>
  <c r="H22" i="9"/>
  <c r="H15" i="9"/>
  <c r="H16" i="9"/>
  <c r="H23" i="9"/>
  <c r="H34" i="9"/>
  <c r="F13" i="9" l="1"/>
  <c r="H5" i="9"/>
  <c r="D39" i="9"/>
  <c r="H37" i="9"/>
  <c r="F37" i="9"/>
  <c r="F39" i="9" s="1"/>
  <c r="D58" i="9" s="1"/>
  <c r="H13" i="9"/>
  <c r="H39" i="9" l="1"/>
  <c r="D59" i="9" s="1"/>
  <c r="I19" i="9" l="1"/>
  <c r="I45" i="9"/>
  <c r="J45" i="9" s="1"/>
  <c r="K45" i="9" s="1"/>
  <c r="L45" i="9" s="1"/>
  <c r="N45" i="9" s="1"/>
  <c r="I33" i="9"/>
  <c r="I29" i="9"/>
  <c r="I15" i="9"/>
  <c r="I25" i="9"/>
  <c r="I22" i="9"/>
  <c r="I18" i="9"/>
  <c r="I21" i="9"/>
  <c r="I47" i="9"/>
  <c r="J47" i="9" s="1"/>
  <c r="K47" i="9" s="1"/>
  <c r="L47" i="9" s="1"/>
  <c r="N47" i="9" s="1"/>
  <c r="I36" i="9"/>
  <c r="I32" i="9"/>
  <c r="I28" i="9"/>
  <c r="I44" i="9"/>
  <c r="J44" i="9" s="1"/>
  <c r="K44" i="9" s="1"/>
  <c r="L44" i="9" s="1"/>
  <c r="N44" i="9" s="1"/>
  <c r="I24" i="9"/>
  <c r="I35" i="9"/>
  <c r="I31" i="9"/>
  <c r="I27" i="9"/>
  <c r="I17" i="9"/>
  <c r="I26" i="9"/>
  <c r="I46" i="9"/>
  <c r="J46" i="9" s="1"/>
  <c r="K46" i="9" s="1"/>
  <c r="L46" i="9" s="1"/>
  <c r="N46" i="9" s="1"/>
  <c r="I43" i="9"/>
  <c r="J43" i="9" s="1"/>
  <c r="K43" i="9" s="1"/>
  <c r="L43" i="9" s="1"/>
  <c r="N43" i="9" s="1"/>
  <c r="I30" i="9"/>
  <c r="I20" i="9"/>
  <c r="I12" i="9"/>
  <c r="J12" i="9" s="1"/>
  <c r="K12" i="9" s="1"/>
  <c r="L12" i="9" s="1"/>
  <c r="I11" i="9"/>
  <c r="J11" i="9" s="1"/>
  <c r="K11" i="9" s="1"/>
  <c r="L11" i="9" s="1"/>
  <c r="I10" i="9"/>
  <c r="J10" i="9" s="1"/>
  <c r="K10" i="9" s="1"/>
  <c r="L10" i="9" s="1"/>
  <c r="I9" i="9"/>
  <c r="J9" i="9" s="1"/>
  <c r="K9" i="9" s="1"/>
  <c r="L9" i="9" s="1"/>
  <c r="I8" i="9"/>
  <c r="J8" i="9" s="1"/>
  <c r="K8" i="9" s="1"/>
  <c r="L8" i="9" s="1"/>
  <c r="I7" i="9"/>
  <c r="J7" i="9" s="1"/>
  <c r="K7" i="9" s="1"/>
  <c r="L7" i="9" s="1"/>
  <c r="I6" i="9"/>
  <c r="J6" i="9" s="1"/>
  <c r="K6" i="9" s="1"/>
  <c r="L6" i="9" s="1"/>
  <c r="I5" i="9"/>
  <c r="I23" i="9"/>
  <c r="I34" i="9"/>
  <c r="I16" i="9"/>
  <c r="U21" i="9" l="1"/>
  <c r="J21" i="9"/>
  <c r="K21" i="9" s="1"/>
  <c r="L21" i="9" s="1"/>
  <c r="U20" i="9"/>
  <c r="J20" i="9"/>
  <c r="K20" i="9" s="1"/>
  <c r="L20" i="9" s="1"/>
  <c r="U35" i="9"/>
  <c r="J35" i="9"/>
  <c r="K35" i="9" s="1"/>
  <c r="L35" i="9" s="1"/>
  <c r="U30" i="9"/>
  <c r="J30" i="9"/>
  <c r="K30" i="9" s="1"/>
  <c r="L30" i="9" s="1"/>
  <c r="J25" i="9"/>
  <c r="K25" i="9" s="1"/>
  <c r="L25" i="9" s="1"/>
  <c r="U25" i="9"/>
  <c r="U23" i="9"/>
  <c r="J23" i="9"/>
  <c r="K23" i="9" s="1"/>
  <c r="L23" i="9" s="1"/>
  <c r="J31" i="9"/>
  <c r="K31" i="9" s="1"/>
  <c r="L31" i="9" s="1"/>
  <c r="U31" i="9"/>
  <c r="J5" i="9"/>
  <c r="I13" i="9"/>
  <c r="J18" i="9"/>
  <c r="K18" i="9" s="1"/>
  <c r="L18" i="9" s="1"/>
  <c r="U18" i="9"/>
  <c r="U24" i="9"/>
  <c r="J24" i="9"/>
  <c r="K24" i="9" s="1"/>
  <c r="L24" i="9" s="1"/>
  <c r="U32" i="9"/>
  <c r="J32" i="9"/>
  <c r="K32" i="9" s="1"/>
  <c r="L32" i="9" s="1"/>
  <c r="J29" i="9"/>
  <c r="K29" i="9" s="1"/>
  <c r="L29" i="9" s="1"/>
  <c r="U29" i="9"/>
  <c r="U19" i="9"/>
  <c r="J19" i="9"/>
  <c r="K19" i="9" s="1"/>
  <c r="L19" i="9" s="1"/>
  <c r="J22" i="9"/>
  <c r="K22" i="9" s="1"/>
  <c r="U22" i="9"/>
  <c r="U28" i="9"/>
  <c r="J28" i="9"/>
  <c r="K28" i="9" s="1"/>
  <c r="L28" i="9" s="1"/>
  <c r="J15" i="9"/>
  <c r="I37" i="9"/>
  <c r="U15" i="9"/>
  <c r="U26" i="9"/>
  <c r="J26" i="9"/>
  <c r="K26" i="9" s="1"/>
  <c r="L26" i="9" s="1"/>
  <c r="U16" i="9"/>
  <c r="J16" i="9"/>
  <c r="K16" i="9" s="1"/>
  <c r="L16" i="9" s="1"/>
  <c r="U17" i="9"/>
  <c r="J17" i="9"/>
  <c r="K17" i="9" s="1"/>
  <c r="U36" i="9"/>
  <c r="J36" i="9"/>
  <c r="K36" i="9" s="1"/>
  <c r="L36" i="9" s="1"/>
  <c r="J33" i="9"/>
  <c r="K33" i="9" s="1"/>
  <c r="L33" i="9" s="1"/>
  <c r="U33" i="9"/>
  <c r="U34" i="9"/>
  <c r="J34" i="9"/>
  <c r="K34" i="9" s="1"/>
  <c r="L34" i="9" s="1"/>
  <c r="J27" i="9"/>
  <c r="K27" i="9" s="1"/>
  <c r="L27" i="9" s="1"/>
  <c r="U27" i="9"/>
  <c r="J37" i="9" l="1"/>
  <c r="K15" i="9"/>
  <c r="I39" i="9"/>
  <c r="K5" i="9"/>
  <c r="J13" i="9"/>
  <c r="J39" i="9" s="1"/>
  <c r="L5" i="9" l="1"/>
  <c r="K13" i="9"/>
  <c r="K37" i="9"/>
  <c r="L15" i="9"/>
  <c r="K39" i="9" l="1"/>
  <c r="H58" i="6" l="1"/>
  <c r="M50" i="7" l="1"/>
  <c r="E50" i="7"/>
  <c r="G50" i="7"/>
  <c r="H50" i="7" s="1"/>
  <c r="M47" i="7"/>
  <c r="G47" i="7"/>
  <c r="H47" i="7" s="1"/>
  <c r="M46" i="7"/>
  <c r="G46" i="7"/>
  <c r="H46" i="7" s="1"/>
  <c r="M45" i="7"/>
  <c r="G45" i="7"/>
  <c r="H45" i="7" s="1"/>
  <c r="M37" i="7"/>
  <c r="M36" i="7"/>
  <c r="M35" i="7"/>
  <c r="M26" i="7"/>
  <c r="M27" i="7"/>
  <c r="M24" i="7"/>
  <c r="M25" i="7"/>
  <c r="M23" i="7"/>
  <c r="M21" i="7"/>
  <c r="M20" i="7"/>
  <c r="M19" i="7"/>
  <c r="M18" i="7"/>
  <c r="M22" i="7"/>
  <c r="M16" i="7"/>
  <c r="M13" i="7" l="1"/>
  <c r="M12" i="7"/>
  <c r="M11" i="7"/>
  <c r="G18" i="7"/>
  <c r="E18" i="7"/>
  <c r="E49" i="7"/>
  <c r="G49" i="7"/>
  <c r="M49" i="7"/>
  <c r="H49" i="7" l="1"/>
  <c r="G13" i="7"/>
  <c r="G12" i="7"/>
  <c r="E13" i="7"/>
  <c r="E12" i="7"/>
  <c r="G11" i="7"/>
  <c r="E11" i="7"/>
  <c r="D61" i="7" l="1"/>
  <c r="M52" i="7"/>
  <c r="E52" i="7"/>
  <c r="M51" i="7"/>
  <c r="E51" i="7"/>
  <c r="M48" i="7"/>
  <c r="G48" i="7"/>
  <c r="H48" i="7" s="1"/>
  <c r="E48" i="7"/>
  <c r="M44" i="7"/>
  <c r="G44" i="7"/>
  <c r="H44" i="7" s="1"/>
  <c r="G37" i="7"/>
  <c r="G36" i="7"/>
  <c r="G35" i="7"/>
  <c r="M34" i="7"/>
  <c r="G34" i="7"/>
  <c r="E34" i="7"/>
  <c r="M33" i="7"/>
  <c r="G33" i="7"/>
  <c r="E33" i="7"/>
  <c r="M32" i="7"/>
  <c r="G32" i="7"/>
  <c r="E32" i="7"/>
  <c r="M31" i="7"/>
  <c r="G31" i="7"/>
  <c r="E31" i="7"/>
  <c r="M30" i="7"/>
  <c r="G30" i="7"/>
  <c r="E30" i="7"/>
  <c r="M29" i="7"/>
  <c r="G29" i="7"/>
  <c r="E29" i="7"/>
  <c r="M28" i="7"/>
  <c r="G28" i="7"/>
  <c r="E28" i="7"/>
  <c r="G27" i="7"/>
  <c r="G26" i="7"/>
  <c r="G25" i="7"/>
  <c r="G24" i="7"/>
  <c r="G23" i="7"/>
  <c r="G22" i="7"/>
  <c r="E22" i="7"/>
  <c r="G21" i="7"/>
  <c r="E21" i="7"/>
  <c r="G20" i="7"/>
  <c r="E20" i="7"/>
  <c r="G19" i="7"/>
  <c r="M17" i="7"/>
  <c r="G17" i="7"/>
  <c r="E17" i="7"/>
  <c r="G16" i="7"/>
  <c r="E16" i="7"/>
  <c r="M10" i="7"/>
  <c r="G10" i="7"/>
  <c r="M9" i="7"/>
  <c r="G9" i="7"/>
  <c r="M8" i="7"/>
  <c r="G8" i="7"/>
  <c r="M7" i="7"/>
  <c r="G7" i="7"/>
  <c r="M6" i="7"/>
  <c r="G6" i="7"/>
  <c r="M5" i="7"/>
  <c r="G5" i="7"/>
  <c r="E5" i="7"/>
  <c r="M4" i="7"/>
  <c r="G4" i="7"/>
  <c r="M3" i="7"/>
  <c r="G3" i="7"/>
  <c r="E3" i="7"/>
  <c r="C63" i="6"/>
  <c r="H61" i="6"/>
  <c r="H63" i="6" s="1"/>
  <c r="C60" i="6"/>
  <c r="D59" i="6"/>
  <c r="D58" i="6"/>
  <c r="D60" i="6" s="1"/>
  <c r="C53" i="6"/>
  <c r="C52" i="6"/>
  <c r="C51" i="6"/>
  <c r="G52" i="7" s="1"/>
  <c r="H52" i="7" s="1"/>
  <c r="C49" i="6"/>
  <c r="C48" i="6"/>
  <c r="C47" i="6"/>
  <c r="C45" i="6"/>
  <c r="C44" i="6"/>
  <c r="C43" i="6"/>
  <c r="C42" i="6"/>
  <c r="G51" i="7" s="1"/>
  <c r="H51" i="7" s="1"/>
  <c r="C40" i="6"/>
  <c r="C39" i="6"/>
  <c r="C38" i="6"/>
  <c r="I9" i="6"/>
  <c r="H9" i="6"/>
  <c r="G9" i="6"/>
  <c r="F9" i="6"/>
  <c r="E9" i="6"/>
  <c r="D9" i="6"/>
  <c r="C9" i="6"/>
  <c r="C8" i="6"/>
  <c r="C7" i="6"/>
  <c r="I6" i="6"/>
  <c r="C6" i="6"/>
  <c r="H6" i="6" s="1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I3" i="6"/>
  <c r="H3" i="6"/>
  <c r="G3" i="6"/>
  <c r="F3" i="6"/>
  <c r="E3" i="6"/>
  <c r="D3" i="6"/>
  <c r="C3" i="6"/>
  <c r="E60" i="6" l="1"/>
  <c r="D33" i="8"/>
  <c r="E33" i="8" s="1"/>
  <c r="E7" i="7"/>
  <c r="I7" i="6"/>
  <c r="E8" i="7"/>
  <c r="H7" i="6"/>
  <c r="E23" i="7"/>
  <c r="E9" i="7"/>
  <c r="G7" i="6"/>
  <c r="E4" i="7"/>
  <c r="E24" i="7"/>
  <c r="E10" i="7"/>
  <c r="F7" i="6"/>
  <c r="E7" i="6"/>
  <c r="D7" i="6"/>
  <c r="E26" i="7"/>
  <c r="E19" i="7"/>
  <c r="E37" i="7"/>
  <c r="I8" i="6"/>
  <c r="H8" i="6"/>
  <c r="G8" i="6"/>
  <c r="F8" i="6"/>
  <c r="E8" i="6"/>
  <c r="E35" i="7"/>
  <c r="D8" i="6"/>
  <c r="E6" i="7"/>
  <c r="C64" i="6"/>
  <c r="C66" i="6" s="1"/>
  <c r="E36" i="7"/>
  <c r="E27" i="7"/>
  <c r="D6" i="6"/>
  <c r="E25" i="7"/>
  <c r="E6" i="6"/>
  <c r="F6" i="6"/>
  <c r="G6" i="6"/>
  <c r="O142" i="2" l="1"/>
  <c r="N142" i="2"/>
  <c r="M142" i="2"/>
  <c r="L142" i="2"/>
  <c r="K142" i="2"/>
  <c r="J142" i="2"/>
  <c r="I142" i="2"/>
  <c r="H142" i="2"/>
  <c r="G142" i="2"/>
  <c r="F142" i="2"/>
  <c r="E142" i="2"/>
  <c r="D142" i="2"/>
  <c r="C140" i="2"/>
  <c r="Y140" i="2" s="1"/>
  <c r="C139" i="2"/>
  <c r="W139" i="2" s="1"/>
  <c r="C138" i="2"/>
  <c r="U138" i="2" s="1"/>
  <c r="O133" i="2"/>
  <c r="N133" i="2"/>
  <c r="M133" i="2"/>
  <c r="L133" i="2"/>
  <c r="K133" i="2"/>
  <c r="J133" i="2"/>
  <c r="I133" i="2"/>
  <c r="H133" i="2"/>
  <c r="G133" i="2"/>
  <c r="F133" i="2"/>
  <c r="E133" i="2"/>
  <c r="D133" i="2"/>
  <c r="AG119" i="2"/>
  <c r="AF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P118" i="2"/>
  <c r="P117" i="2"/>
  <c r="C117" i="2"/>
  <c r="X117" i="2" s="1"/>
  <c r="P116" i="2"/>
  <c r="P1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P113" i="2"/>
  <c r="P112" i="2"/>
  <c r="C112" i="2"/>
  <c r="AB112" i="2" s="1"/>
  <c r="P111" i="2"/>
  <c r="C111" i="2"/>
  <c r="U111" i="2" s="1"/>
  <c r="P110" i="2"/>
  <c r="C110" i="2"/>
  <c r="P109" i="2"/>
  <c r="C109" i="2"/>
  <c r="X109" i="2" s="1"/>
  <c r="P108" i="2"/>
  <c r="C108" i="2"/>
  <c r="U108" i="2" s="1"/>
  <c r="P107" i="2"/>
  <c r="C107" i="2"/>
  <c r="W107" i="2" s="1"/>
  <c r="P106" i="2"/>
  <c r="C106" i="2"/>
  <c r="AB106" i="2" s="1"/>
  <c r="P105" i="2"/>
  <c r="C105" i="2"/>
  <c r="V105" i="2" s="1"/>
  <c r="P104" i="2"/>
  <c r="C104" i="2"/>
  <c r="Z104" i="2" s="1"/>
  <c r="P103" i="2"/>
  <c r="C103" i="2"/>
  <c r="W103" i="2" s="1"/>
  <c r="P102" i="2"/>
  <c r="C102" i="2"/>
  <c r="W102" i="2" s="1"/>
  <c r="P101" i="2"/>
  <c r="C101" i="2"/>
  <c r="Y101" i="2" s="1"/>
  <c r="P100" i="2"/>
  <c r="C100" i="2"/>
  <c r="W100" i="2" s="1"/>
  <c r="P99" i="2"/>
  <c r="C99" i="2"/>
  <c r="W99" i="2" s="1"/>
  <c r="P98" i="2"/>
  <c r="C98" i="2"/>
  <c r="W98" i="2" s="1"/>
  <c r="P97" i="2"/>
  <c r="C97" i="2"/>
  <c r="AA97" i="2" s="1"/>
  <c r="P96" i="2"/>
  <c r="C96" i="2"/>
  <c r="W96" i="2" s="1"/>
  <c r="P95" i="2"/>
  <c r="C95" i="2"/>
  <c r="W95" i="2" s="1"/>
  <c r="P94" i="2"/>
  <c r="C94" i="2"/>
  <c r="W94" i="2" s="1"/>
  <c r="P93" i="2"/>
  <c r="C93" i="2"/>
  <c r="P92" i="2"/>
  <c r="C92" i="2"/>
  <c r="Y92" i="2" s="1"/>
  <c r="P91" i="2"/>
  <c r="C91" i="2"/>
  <c r="W91" i="2" s="1"/>
  <c r="P90" i="2"/>
  <c r="C90" i="2"/>
  <c r="AA90" i="2" s="1"/>
  <c r="P89" i="2"/>
  <c r="C89" i="2"/>
  <c r="W89" i="2" s="1"/>
  <c r="P80" i="2"/>
  <c r="O79" i="2"/>
  <c r="O83" i="2" s="1"/>
  <c r="N79" i="2"/>
  <c r="N83" i="2" s="1"/>
  <c r="M79" i="2"/>
  <c r="M83" i="2" s="1"/>
  <c r="L79" i="2"/>
  <c r="L83" i="2" s="1"/>
  <c r="K79" i="2"/>
  <c r="K83" i="2" s="1"/>
  <c r="J79" i="2"/>
  <c r="J83" i="2" s="1"/>
  <c r="I79" i="2"/>
  <c r="I83" i="2" s="1"/>
  <c r="H79" i="2"/>
  <c r="H83" i="2" s="1"/>
  <c r="G79" i="2"/>
  <c r="G83" i="2" s="1"/>
  <c r="F79" i="2"/>
  <c r="F83" i="2" s="1"/>
  <c r="E79" i="2"/>
  <c r="E83" i="2" s="1"/>
  <c r="D79" i="2"/>
  <c r="D83" i="2" s="1"/>
  <c r="P78" i="2"/>
  <c r="P77" i="2"/>
  <c r="C77" i="2"/>
  <c r="Z77" i="2" s="1"/>
  <c r="P76" i="2"/>
  <c r="C76" i="2"/>
  <c r="AB76" i="2" s="1"/>
  <c r="P75" i="2"/>
  <c r="C75" i="2"/>
  <c r="W75" i="2" s="1"/>
  <c r="P74" i="2"/>
  <c r="C74" i="2"/>
  <c r="X74" i="2" s="1"/>
  <c r="P73" i="2"/>
  <c r="C73" i="2"/>
  <c r="X73" i="2" s="1"/>
  <c r="P72" i="2"/>
  <c r="C72" i="2"/>
  <c r="U72" i="2" s="1"/>
  <c r="P71" i="2"/>
  <c r="C71" i="2"/>
  <c r="P70" i="2"/>
  <c r="C70" i="2"/>
  <c r="AB70" i="2" s="1"/>
  <c r="P69" i="2"/>
  <c r="C69" i="2"/>
  <c r="Y69" i="2" s="1"/>
  <c r="P68" i="2"/>
  <c r="C68" i="2"/>
  <c r="P67" i="2"/>
  <c r="C67" i="2"/>
  <c r="AA67" i="2" s="1"/>
  <c r="P66" i="2"/>
  <c r="C66" i="2"/>
  <c r="P65" i="2"/>
  <c r="C65" i="2"/>
  <c r="W65" i="2" s="1"/>
  <c r="P64" i="2"/>
  <c r="C64" i="2"/>
  <c r="AB64" i="2" s="1"/>
  <c r="P63" i="2"/>
  <c r="C63" i="2"/>
  <c r="AA63" i="2" s="1"/>
  <c r="P62" i="2"/>
  <c r="C62" i="2"/>
  <c r="AA62" i="2" s="1"/>
  <c r="P61" i="2"/>
  <c r="C61" i="2"/>
  <c r="AA61" i="2" s="1"/>
  <c r="P60" i="2"/>
  <c r="C60" i="2"/>
  <c r="Z60" i="2" s="1"/>
  <c r="P59" i="2"/>
  <c r="C59" i="2"/>
  <c r="P58" i="2"/>
  <c r="C58" i="2"/>
  <c r="P57" i="2"/>
  <c r="C57" i="2"/>
  <c r="S57" i="2" s="1"/>
  <c r="P56" i="2"/>
  <c r="C56" i="2"/>
  <c r="P55" i="2"/>
  <c r="C55" i="2"/>
  <c r="P54" i="2"/>
  <c r="C54" i="2"/>
  <c r="P53" i="2"/>
  <c r="C53" i="2"/>
  <c r="Y53" i="2" s="1"/>
  <c r="P52" i="2"/>
  <c r="C52" i="2"/>
  <c r="W52" i="2" s="1"/>
  <c r="P51" i="2"/>
  <c r="C51" i="2"/>
  <c r="Y51" i="2" s="1"/>
  <c r="P50" i="2"/>
  <c r="C50" i="2"/>
  <c r="X50" i="2" s="1"/>
  <c r="P49" i="2"/>
  <c r="C49" i="2"/>
  <c r="Y49" i="2" s="1"/>
  <c r="P48" i="2"/>
  <c r="C48" i="2"/>
  <c r="Z48" i="2" s="1"/>
  <c r="P47" i="2"/>
  <c r="C47" i="2"/>
  <c r="X47" i="2" s="1"/>
  <c r="P46" i="2"/>
  <c r="C46" i="2"/>
  <c r="P45" i="2"/>
  <c r="C45" i="2"/>
  <c r="P44" i="2"/>
  <c r="C44" i="2"/>
  <c r="AB44" i="2" s="1"/>
  <c r="P43" i="2"/>
  <c r="C43" i="2"/>
  <c r="V43" i="2" s="1"/>
  <c r="P42" i="2"/>
  <c r="C42" i="2"/>
  <c r="AA42" i="2" s="1"/>
  <c r="P41" i="2"/>
  <c r="P40" i="2"/>
  <c r="P39" i="2"/>
  <c r="P38" i="2"/>
  <c r="O37" i="2"/>
  <c r="N37" i="2"/>
  <c r="M37" i="2"/>
  <c r="L37" i="2"/>
  <c r="K37" i="2"/>
  <c r="J37" i="2"/>
  <c r="I37" i="2"/>
  <c r="H37" i="2"/>
  <c r="G37" i="2"/>
  <c r="F37" i="2"/>
  <c r="E37" i="2"/>
  <c r="D37" i="2"/>
  <c r="P36" i="2"/>
  <c r="C36" i="2"/>
  <c r="Z36" i="2" s="1"/>
  <c r="P35" i="2"/>
  <c r="C35" i="2"/>
  <c r="P34" i="2"/>
  <c r="C34" i="2"/>
  <c r="X34" i="2" s="1"/>
  <c r="P33" i="2"/>
  <c r="C33" i="2"/>
  <c r="X33" i="2" s="1"/>
  <c r="P32" i="2"/>
  <c r="C32" i="2"/>
  <c r="X32" i="2" s="1"/>
  <c r="P31" i="2"/>
  <c r="C31" i="2"/>
  <c r="AB31" i="2" s="1"/>
  <c r="P30" i="2"/>
  <c r="C30" i="2"/>
  <c r="AA30" i="2" s="1"/>
  <c r="P29" i="2"/>
  <c r="C29" i="2"/>
  <c r="Z29" i="2" s="1"/>
  <c r="P28" i="2"/>
  <c r="C28" i="2"/>
  <c r="AB28" i="2" s="1"/>
  <c r="P27" i="2"/>
  <c r="C27" i="2"/>
  <c r="Z27" i="2" s="1"/>
  <c r="P26" i="2"/>
  <c r="C26" i="2"/>
  <c r="AB26" i="2" s="1"/>
  <c r="P25" i="2"/>
  <c r="C25" i="2"/>
  <c r="Z25" i="2" s="1"/>
  <c r="P24" i="2"/>
  <c r="C24" i="2"/>
  <c r="AA24" i="2" s="1"/>
  <c r="P23" i="2"/>
  <c r="C23" i="2"/>
  <c r="Z23" i="2" s="1"/>
  <c r="P22" i="2"/>
  <c r="C22" i="2"/>
  <c r="Y22" i="2" s="1"/>
  <c r="P21" i="2"/>
  <c r="C21" i="2"/>
  <c r="AA21" i="2" s="1"/>
  <c r="P20" i="2"/>
  <c r="C20" i="2"/>
  <c r="Q20" i="2" s="1"/>
  <c r="P19" i="2"/>
  <c r="C19" i="2"/>
  <c r="Z19" i="2" s="1"/>
  <c r="P18" i="2"/>
  <c r="C18" i="2"/>
  <c r="Q18" i="2" s="1"/>
  <c r="P17" i="2"/>
  <c r="C17" i="2"/>
  <c r="R17" i="2" s="1"/>
  <c r="P16" i="2"/>
  <c r="C16" i="2"/>
  <c r="Q16" i="2" s="1"/>
  <c r="P15" i="2"/>
  <c r="C15" i="2"/>
  <c r="X15" i="2" s="1"/>
  <c r="P14" i="2"/>
  <c r="C14" i="2"/>
  <c r="X14" i="2" s="1"/>
  <c r="P13" i="2"/>
  <c r="C13" i="2"/>
  <c r="X13" i="2" s="1"/>
  <c r="P12" i="2"/>
  <c r="C12" i="2"/>
  <c r="X12" i="2" s="1"/>
  <c r="P11" i="2"/>
  <c r="C11" i="2"/>
  <c r="Q11" i="2" s="1"/>
  <c r="AB3" i="2"/>
  <c r="U74" i="2" l="1"/>
  <c r="X44" i="2"/>
  <c r="R16" i="2"/>
  <c r="Q62" i="2"/>
  <c r="Y62" i="2"/>
  <c r="W104" i="2"/>
  <c r="O134" i="2"/>
  <c r="S25" i="2"/>
  <c r="Q67" i="2"/>
  <c r="T36" i="2"/>
  <c r="Y67" i="2"/>
  <c r="Y13" i="2"/>
  <c r="X102" i="2"/>
  <c r="AA13" i="2"/>
  <c r="V16" i="2"/>
  <c r="AB25" i="2"/>
  <c r="T108" i="2"/>
  <c r="Y75" i="2"/>
  <c r="X23" i="2"/>
  <c r="U33" i="2"/>
  <c r="X36" i="2"/>
  <c r="S42" i="2"/>
  <c r="S62" i="2"/>
  <c r="Q65" i="2"/>
  <c r="AB108" i="2"/>
  <c r="Z94" i="2"/>
  <c r="S97" i="2"/>
  <c r="Z76" i="2"/>
  <c r="S60" i="2"/>
  <c r="Q74" i="2"/>
  <c r="AA94" i="2"/>
  <c r="U97" i="2"/>
  <c r="U65" i="2"/>
  <c r="X24" i="2"/>
  <c r="S90" i="2"/>
  <c r="T92" i="2"/>
  <c r="S100" i="2"/>
  <c r="S12" i="2"/>
  <c r="X90" i="2"/>
  <c r="Z92" i="2"/>
  <c r="U104" i="2"/>
  <c r="T47" i="2"/>
  <c r="Q63" i="2"/>
  <c r="Q98" i="2"/>
  <c r="U106" i="2"/>
  <c r="S31" i="2"/>
  <c r="W63" i="2"/>
  <c r="AA65" i="2"/>
  <c r="S91" i="2"/>
  <c r="X97" i="2"/>
  <c r="Y98" i="2"/>
  <c r="Q103" i="2"/>
  <c r="W106" i="2"/>
  <c r="R111" i="2"/>
  <c r="Y20" i="2"/>
  <c r="W24" i="2"/>
  <c r="W28" i="2"/>
  <c r="Q33" i="2"/>
  <c r="Y63" i="2"/>
  <c r="W69" i="2"/>
  <c r="W72" i="2"/>
  <c r="U91" i="2"/>
  <c r="T111" i="2"/>
  <c r="V91" i="2"/>
  <c r="V111" i="2"/>
  <c r="J134" i="2"/>
  <c r="AA33" i="2"/>
  <c r="U36" i="2"/>
  <c r="T52" i="2"/>
  <c r="Z91" i="2"/>
  <c r="Q96" i="2"/>
  <c r="U99" i="2"/>
  <c r="Q108" i="2"/>
  <c r="X111" i="2"/>
  <c r="W17" i="2"/>
  <c r="V44" i="2"/>
  <c r="S49" i="2"/>
  <c r="Y52" i="2"/>
  <c r="Q70" i="2"/>
  <c r="V94" i="2"/>
  <c r="R102" i="2"/>
  <c r="S108" i="2"/>
  <c r="S32" i="2"/>
  <c r="AB89" i="2"/>
  <c r="AB96" i="2"/>
  <c r="Y12" i="2"/>
  <c r="AA12" i="2"/>
  <c r="R13" i="2"/>
  <c r="Q24" i="2"/>
  <c r="Z32" i="2"/>
  <c r="Z33" i="2"/>
  <c r="S36" i="2"/>
  <c r="U44" i="2"/>
  <c r="W47" i="2"/>
  <c r="W67" i="2"/>
  <c r="X72" i="2"/>
  <c r="R91" i="2"/>
  <c r="Y103" i="2"/>
  <c r="V104" i="2"/>
  <c r="V106" i="2"/>
  <c r="R108" i="2"/>
  <c r="S111" i="2"/>
  <c r="S70" i="2"/>
  <c r="S96" i="2"/>
  <c r="X100" i="2"/>
  <c r="Y104" i="2"/>
  <c r="AA106" i="2"/>
  <c r="Q51" i="2"/>
  <c r="W73" i="2"/>
  <c r="S89" i="2"/>
  <c r="Q95" i="2"/>
  <c r="U96" i="2"/>
  <c r="AA100" i="2"/>
  <c r="T101" i="2"/>
  <c r="V108" i="2"/>
  <c r="V31" i="2"/>
  <c r="Y16" i="2"/>
  <c r="R12" i="2"/>
  <c r="S17" i="2"/>
  <c r="T51" i="2"/>
  <c r="Q53" i="2"/>
  <c r="Q60" i="2"/>
  <c r="X62" i="2"/>
  <c r="Q69" i="2"/>
  <c r="U89" i="2"/>
  <c r="X91" i="2"/>
  <c r="U95" i="2"/>
  <c r="V96" i="2"/>
  <c r="W97" i="2"/>
  <c r="R99" i="2"/>
  <c r="Z101" i="2"/>
  <c r="AA102" i="2"/>
  <c r="X108" i="2"/>
  <c r="Z111" i="2"/>
  <c r="S64" i="2"/>
  <c r="Q76" i="2"/>
  <c r="V89" i="2"/>
  <c r="Y95" i="2"/>
  <c r="Y96" i="2"/>
  <c r="Q104" i="2"/>
  <c r="X105" i="2"/>
  <c r="Q106" i="2"/>
  <c r="Z108" i="2"/>
  <c r="AA111" i="2"/>
  <c r="W12" i="2"/>
  <c r="V25" i="2"/>
  <c r="S33" i="2"/>
  <c r="AA69" i="2"/>
  <c r="U76" i="2"/>
  <c r="Y89" i="2"/>
  <c r="Z95" i="2"/>
  <c r="Z96" i="2"/>
  <c r="AA99" i="2"/>
  <c r="T104" i="2"/>
  <c r="T106" i="2"/>
  <c r="AA108" i="2"/>
  <c r="Q111" i="2"/>
  <c r="AB111" i="2"/>
  <c r="W34" i="2"/>
  <c r="S16" i="2"/>
  <c r="V17" i="2"/>
  <c r="Q28" i="2"/>
  <c r="R33" i="2"/>
  <c r="AB33" i="2"/>
  <c r="Z34" i="2"/>
  <c r="Z42" i="2"/>
  <c r="Q42" i="2"/>
  <c r="Y42" i="2"/>
  <c r="Y55" i="2"/>
  <c r="T55" i="2"/>
  <c r="W71" i="2"/>
  <c r="Z71" i="2"/>
  <c r="U71" i="2"/>
  <c r="T71" i="2"/>
  <c r="S71" i="2"/>
  <c r="R71" i="2"/>
  <c r="Q71" i="2"/>
  <c r="Q30" i="2"/>
  <c r="AA34" i="2"/>
  <c r="R14" i="2"/>
  <c r="Y15" i="2"/>
  <c r="W16" i="2"/>
  <c r="Y17" i="2"/>
  <c r="S23" i="2"/>
  <c r="Z28" i="2"/>
  <c r="Q32" i="2"/>
  <c r="T33" i="2"/>
  <c r="AB34" i="2"/>
  <c r="V36" i="2"/>
  <c r="R42" i="2"/>
  <c r="AB42" i="2"/>
  <c r="Q55" i="2"/>
  <c r="AA71" i="2"/>
  <c r="AB15" i="2"/>
  <c r="Q34" i="2"/>
  <c r="S56" i="2"/>
  <c r="Z56" i="2"/>
  <c r="AB71" i="2"/>
  <c r="S14" i="2"/>
  <c r="W19" i="2"/>
  <c r="AA16" i="2"/>
  <c r="S27" i="2"/>
  <c r="W32" i="2"/>
  <c r="V33" i="2"/>
  <c r="R34" i="2"/>
  <c r="AA36" i="2"/>
  <c r="T42" i="2"/>
  <c r="X54" i="2"/>
  <c r="U54" i="2"/>
  <c r="AA59" i="2"/>
  <c r="V59" i="2"/>
  <c r="T59" i="2"/>
  <c r="Q14" i="2"/>
  <c r="S15" i="2"/>
  <c r="Y14" i="2"/>
  <c r="AB16" i="2"/>
  <c r="Q17" i="2"/>
  <c r="W27" i="2"/>
  <c r="S29" i="2"/>
  <c r="Y33" i="2"/>
  <c r="S34" i="2"/>
  <c r="AB36" i="2"/>
  <c r="U42" i="2"/>
  <c r="R43" i="2"/>
  <c r="T56" i="2"/>
  <c r="AB17" i="2"/>
  <c r="Q27" i="2"/>
  <c r="W14" i="2"/>
  <c r="AA14" i="2"/>
  <c r="X27" i="2"/>
  <c r="X29" i="2"/>
  <c r="T34" i="2"/>
  <c r="P79" i="2"/>
  <c r="V42" i="2"/>
  <c r="X43" i="2"/>
  <c r="U50" i="2"/>
  <c r="S54" i="2"/>
  <c r="W56" i="2"/>
  <c r="X59" i="2"/>
  <c r="X42" i="2"/>
  <c r="Z43" i="2"/>
  <c r="Y50" i="2"/>
  <c r="Y54" i="2"/>
  <c r="Z57" i="2"/>
  <c r="T57" i="2"/>
  <c r="S53" i="2"/>
  <c r="T64" i="2"/>
  <c r="AA73" i="2"/>
  <c r="Y74" i="2"/>
  <c r="R89" i="2"/>
  <c r="AA89" i="2"/>
  <c r="Y91" i="2"/>
  <c r="X92" i="2"/>
  <c r="S94" i="2"/>
  <c r="R95" i="2"/>
  <c r="R96" i="2"/>
  <c r="AA96" i="2"/>
  <c r="U98" i="2"/>
  <c r="T99" i="2"/>
  <c r="X101" i="2"/>
  <c r="T107" i="2"/>
  <c r="Q109" i="2"/>
  <c r="Q112" i="2"/>
  <c r="V117" i="2"/>
  <c r="V138" i="2"/>
  <c r="AB139" i="2"/>
  <c r="AA74" i="2"/>
  <c r="U107" i="2"/>
  <c r="R109" i="2"/>
  <c r="R112" i="2"/>
  <c r="Z138" i="2"/>
  <c r="S72" i="2"/>
  <c r="AB74" i="2"/>
  <c r="R76" i="2"/>
  <c r="T89" i="2"/>
  <c r="Q91" i="2"/>
  <c r="AA91" i="2"/>
  <c r="AB92" i="2"/>
  <c r="X94" i="2"/>
  <c r="T96" i="2"/>
  <c r="Z98" i="2"/>
  <c r="V99" i="2"/>
  <c r="AB101" i="2"/>
  <c r="S102" i="2"/>
  <c r="R103" i="2"/>
  <c r="Y108" i="2"/>
  <c r="W109" i="2"/>
  <c r="Y111" i="2"/>
  <c r="S112" i="2"/>
  <c r="AA138" i="2"/>
  <c r="V140" i="2"/>
  <c r="X99" i="2"/>
  <c r="V102" i="2"/>
  <c r="U103" i="2"/>
  <c r="S105" i="2"/>
  <c r="AA109" i="2"/>
  <c r="Y112" i="2"/>
  <c r="AB138" i="2"/>
  <c r="W140" i="2"/>
  <c r="S65" i="2"/>
  <c r="S74" i="2"/>
  <c r="X76" i="2"/>
  <c r="Y99" i="2"/>
  <c r="U105" i="2"/>
  <c r="Z112" i="2"/>
  <c r="T65" i="2"/>
  <c r="T74" i="2"/>
  <c r="S75" i="2"/>
  <c r="Y76" i="2"/>
  <c r="X89" i="2"/>
  <c r="R92" i="2"/>
  <c r="X96" i="2"/>
  <c r="Q99" i="2"/>
  <c r="Z99" i="2"/>
  <c r="R101" i="2"/>
  <c r="Z102" i="2"/>
  <c r="Z103" i="2"/>
  <c r="W105" i="2"/>
  <c r="AA112" i="2"/>
  <c r="R138" i="2"/>
  <c r="T139" i="2"/>
  <c r="S138" i="2"/>
  <c r="U139" i="2"/>
  <c r="V74" i="2"/>
  <c r="Q89" i="2"/>
  <c r="Z89" i="2"/>
  <c r="U92" i="2"/>
  <c r="R94" i="2"/>
  <c r="R98" i="2"/>
  <c r="S99" i="2"/>
  <c r="AB99" i="2"/>
  <c r="U101" i="2"/>
  <c r="U117" i="2"/>
  <c r="T138" i="2"/>
  <c r="V139" i="2"/>
  <c r="AA11" i="2"/>
  <c r="S11" i="2"/>
  <c r="W11" i="2"/>
  <c r="W13" i="2"/>
  <c r="W15" i="2"/>
  <c r="Y19" i="2"/>
  <c r="X20" i="2"/>
  <c r="U20" i="2"/>
  <c r="T20" i="2"/>
  <c r="AA20" i="2"/>
  <c r="R20" i="2"/>
  <c r="AB20" i="2"/>
  <c r="Q21" i="2"/>
  <c r="X22" i="2"/>
  <c r="U22" i="2"/>
  <c r="T22" i="2"/>
  <c r="AA22" i="2"/>
  <c r="R22" i="2"/>
  <c r="AB22" i="2"/>
  <c r="Q26" i="2"/>
  <c r="W30" i="2"/>
  <c r="AB35" i="2"/>
  <c r="T35" i="2"/>
  <c r="AA35" i="2"/>
  <c r="S35" i="2"/>
  <c r="Q35" i="2"/>
  <c r="Z35" i="2"/>
  <c r="X35" i="2"/>
  <c r="V35" i="2"/>
  <c r="U35" i="2"/>
  <c r="R35" i="2"/>
  <c r="Z18" i="2"/>
  <c r="R18" i="2"/>
  <c r="V18" i="2"/>
  <c r="U18" i="2"/>
  <c r="AB18" i="2"/>
  <c r="S18" i="2"/>
  <c r="P37" i="2"/>
  <c r="X11" i="2"/>
  <c r="Q12" i="2"/>
  <c r="T18" i="2"/>
  <c r="T21" i="2"/>
  <c r="S26" i="2"/>
  <c r="X30" i="2"/>
  <c r="Y11" i="2"/>
  <c r="W18" i="2"/>
  <c r="V19" i="2"/>
  <c r="U19" i="2"/>
  <c r="T19" i="2"/>
  <c r="AA19" i="2"/>
  <c r="R19" i="2"/>
  <c r="AB19" i="2"/>
  <c r="W21" i="2"/>
  <c r="Q22" i="2"/>
  <c r="W25" i="2"/>
  <c r="W26" i="2"/>
  <c r="V28" i="2"/>
  <c r="U28" i="2"/>
  <c r="T28" i="2"/>
  <c r="AA28" i="2"/>
  <c r="R28" i="2"/>
  <c r="Y28" i="2"/>
  <c r="W31" i="2"/>
  <c r="W35" i="2"/>
  <c r="V13" i="2"/>
  <c r="U13" i="2"/>
  <c r="T13" i="2"/>
  <c r="Z13" i="2"/>
  <c r="Z15" i="2"/>
  <c r="R15" i="2"/>
  <c r="V15" i="2"/>
  <c r="U15" i="2"/>
  <c r="AA15" i="2"/>
  <c r="X18" i="2"/>
  <c r="S20" i="2"/>
  <c r="X21" i="2"/>
  <c r="S22" i="2"/>
  <c r="AB23" i="2"/>
  <c r="T23" i="2"/>
  <c r="V23" i="2"/>
  <c r="U23" i="2"/>
  <c r="AA23" i="2"/>
  <c r="R23" i="2"/>
  <c r="Y23" i="2"/>
  <c r="X26" i="2"/>
  <c r="AB29" i="2"/>
  <c r="T29" i="2"/>
  <c r="V29" i="2"/>
  <c r="U29" i="2"/>
  <c r="AA29" i="2"/>
  <c r="R29" i="2"/>
  <c r="Y29" i="2"/>
  <c r="Z31" i="2"/>
  <c r="Y35" i="2"/>
  <c r="Y21" i="2"/>
  <c r="V22" i="2"/>
  <c r="Z24" i="2"/>
  <c r="R24" i="2"/>
  <c r="V24" i="2"/>
  <c r="U24" i="2"/>
  <c r="AB24" i="2"/>
  <c r="S24" i="2"/>
  <c r="Y24" i="2"/>
  <c r="Z26" i="2"/>
  <c r="Z30" i="2"/>
  <c r="R30" i="2"/>
  <c r="V30" i="2"/>
  <c r="U30" i="2"/>
  <c r="AB30" i="2"/>
  <c r="S30" i="2"/>
  <c r="Y30" i="2"/>
  <c r="AB11" i="2"/>
  <c r="Y18" i="2"/>
  <c r="Q19" i="2"/>
  <c r="V20" i="2"/>
  <c r="Q13" i="2"/>
  <c r="AB13" i="2"/>
  <c r="Q15" i="2"/>
  <c r="AA18" i="2"/>
  <c r="S19" i="2"/>
  <c r="W20" i="2"/>
  <c r="W22" i="2"/>
  <c r="Q23" i="2"/>
  <c r="X25" i="2"/>
  <c r="U25" i="2"/>
  <c r="T25" i="2"/>
  <c r="AA25" i="2"/>
  <c r="R25" i="2"/>
  <c r="Y25" i="2"/>
  <c r="S28" i="2"/>
  <c r="Q29" i="2"/>
  <c r="X31" i="2"/>
  <c r="U31" i="2"/>
  <c r="T31" i="2"/>
  <c r="AA31" i="2"/>
  <c r="R31" i="2"/>
  <c r="Y31" i="2"/>
  <c r="Z21" i="2"/>
  <c r="R21" i="2"/>
  <c r="V21" i="2"/>
  <c r="U21" i="2"/>
  <c r="AB21" i="2"/>
  <c r="S21" i="2"/>
  <c r="V26" i="2"/>
  <c r="U26" i="2"/>
  <c r="T26" i="2"/>
  <c r="AA26" i="2"/>
  <c r="R26" i="2"/>
  <c r="Y26" i="2"/>
  <c r="Z11" i="2"/>
  <c r="R11" i="2"/>
  <c r="V11" i="2"/>
  <c r="U11" i="2"/>
  <c r="T11" i="2"/>
  <c r="AB12" i="2"/>
  <c r="T12" i="2"/>
  <c r="V12" i="2"/>
  <c r="U12" i="2"/>
  <c r="Z12" i="2"/>
  <c r="S13" i="2"/>
  <c r="AB14" i="2"/>
  <c r="T14" i="2"/>
  <c r="V14" i="2"/>
  <c r="U14" i="2"/>
  <c r="Z14" i="2"/>
  <c r="T15" i="2"/>
  <c r="X16" i="2"/>
  <c r="U16" i="2"/>
  <c r="T16" i="2"/>
  <c r="Z16" i="2"/>
  <c r="X17" i="2"/>
  <c r="U17" i="2"/>
  <c r="T17" i="2"/>
  <c r="AA17" i="2"/>
  <c r="Z17" i="2"/>
  <c r="X19" i="2"/>
  <c r="Z20" i="2"/>
  <c r="Z22" i="2"/>
  <c r="W23" i="2"/>
  <c r="T24" i="2"/>
  <c r="Q25" i="2"/>
  <c r="AB27" i="2"/>
  <c r="T27" i="2"/>
  <c r="V27" i="2"/>
  <c r="U27" i="2"/>
  <c r="AA27" i="2"/>
  <c r="R27" i="2"/>
  <c r="Y27" i="2"/>
  <c r="X28" i="2"/>
  <c r="W29" i="2"/>
  <c r="T30" i="2"/>
  <c r="Q31" i="2"/>
  <c r="AB32" i="2"/>
  <c r="T32" i="2"/>
  <c r="V32" i="2"/>
  <c r="U32" i="2"/>
  <c r="AA32" i="2"/>
  <c r="R32" i="2"/>
  <c r="Y32" i="2"/>
  <c r="AB45" i="2"/>
  <c r="T45" i="2"/>
  <c r="S45" i="2"/>
  <c r="AA45" i="2"/>
  <c r="R45" i="2"/>
  <c r="Z45" i="2"/>
  <c r="Q45" i="2"/>
  <c r="Y45" i="2"/>
  <c r="W45" i="2"/>
  <c r="V45" i="2"/>
  <c r="U45" i="2"/>
  <c r="X45" i="2"/>
  <c r="Z46" i="2"/>
  <c r="R46" i="2"/>
  <c r="T46" i="2"/>
  <c r="AB46" i="2"/>
  <c r="S46" i="2"/>
  <c r="AA46" i="2"/>
  <c r="Q46" i="2"/>
  <c r="Y46" i="2"/>
  <c r="W46" i="2"/>
  <c r="V46" i="2"/>
  <c r="U46" i="2"/>
  <c r="V34" i="2"/>
  <c r="U34" i="2"/>
  <c r="Y34" i="2"/>
  <c r="X46" i="2"/>
  <c r="W43" i="2"/>
  <c r="Q43" i="2"/>
  <c r="Y43" i="2"/>
  <c r="W44" i="2"/>
  <c r="W36" i="2"/>
  <c r="S43" i="2"/>
  <c r="AA43" i="2"/>
  <c r="Q44" i="2"/>
  <c r="Y44" i="2"/>
  <c r="T43" i="2"/>
  <c r="AB43" i="2"/>
  <c r="R44" i="2"/>
  <c r="Z44" i="2"/>
  <c r="W33" i="2"/>
  <c r="Q36" i="2"/>
  <c r="Y36" i="2"/>
  <c r="W42" i="2"/>
  <c r="U43" i="2"/>
  <c r="S44" i="2"/>
  <c r="AA44" i="2"/>
  <c r="R36" i="2"/>
  <c r="T44" i="2"/>
  <c r="X48" i="2"/>
  <c r="AB48" i="2"/>
  <c r="T48" i="2"/>
  <c r="Y48" i="2"/>
  <c r="Q49" i="2"/>
  <c r="AB58" i="2"/>
  <c r="T58" i="2"/>
  <c r="W58" i="2"/>
  <c r="AA58" i="2"/>
  <c r="R58" i="2"/>
  <c r="Y58" i="2"/>
  <c r="AB66" i="2"/>
  <c r="T66" i="2"/>
  <c r="V66" i="2"/>
  <c r="AA66" i="2"/>
  <c r="Q66" i="2"/>
  <c r="Z66" i="2"/>
  <c r="U66" i="2"/>
  <c r="R66" i="2"/>
  <c r="AB68" i="2"/>
  <c r="T68" i="2"/>
  <c r="V68" i="2"/>
  <c r="AA68" i="2"/>
  <c r="Q68" i="2"/>
  <c r="Z68" i="2"/>
  <c r="U68" i="2"/>
  <c r="R68" i="2"/>
  <c r="V61" i="2"/>
  <c r="X61" i="2"/>
  <c r="W61" i="2"/>
  <c r="AB61" i="2"/>
  <c r="R61" i="2"/>
  <c r="Z61" i="2"/>
  <c r="Z47" i="2"/>
  <c r="R47" i="2"/>
  <c r="V47" i="2"/>
  <c r="Y47" i="2"/>
  <c r="Q48" i="2"/>
  <c r="AA48" i="2"/>
  <c r="T49" i="2"/>
  <c r="AB50" i="2"/>
  <c r="T50" i="2"/>
  <c r="W50" i="2"/>
  <c r="AA50" i="2"/>
  <c r="R50" i="2"/>
  <c r="Z50" i="2"/>
  <c r="U51" i="2"/>
  <c r="X52" i="2"/>
  <c r="V52" i="2"/>
  <c r="AA52" i="2"/>
  <c r="R52" i="2"/>
  <c r="Z52" i="2"/>
  <c r="T53" i="2"/>
  <c r="AB54" i="2"/>
  <c r="T54" i="2"/>
  <c r="W54" i="2"/>
  <c r="AA54" i="2"/>
  <c r="R54" i="2"/>
  <c r="Z54" i="2"/>
  <c r="U55" i="2"/>
  <c r="X56" i="2"/>
  <c r="V56" i="2"/>
  <c r="AA56" i="2"/>
  <c r="R56" i="2"/>
  <c r="Y56" i="2"/>
  <c r="AB56" i="2"/>
  <c r="U57" i="2"/>
  <c r="Q58" i="2"/>
  <c r="T60" i="2"/>
  <c r="V64" i="2"/>
  <c r="S66" i="2"/>
  <c r="S68" i="2"/>
  <c r="T70" i="2"/>
  <c r="AA47" i="2"/>
  <c r="R48" i="2"/>
  <c r="U49" i="2"/>
  <c r="V51" i="2"/>
  <c r="AB52" i="2"/>
  <c r="U53" i="2"/>
  <c r="V55" i="2"/>
  <c r="X57" i="2"/>
  <c r="S58" i="2"/>
  <c r="Z59" i="2"/>
  <c r="R59" i="2"/>
  <c r="W59" i="2"/>
  <c r="AB59" i="2"/>
  <c r="S59" i="2"/>
  <c r="Y59" i="2"/>
  <c r="U60" i="2"/>
  <c r="Q61" i="2"/>
  <c r="AB62" i="2"/>
  <c r="T62" i="2"/>
  <c r="V62" i="2"/>
  <c r="Z62" i="2"/>
  <c r="U62" i="2"/>
  <c r="R62" i="2"/>
  <c r="Y64" i="2"/>
  <c r="W66" i="2"/>
  <c r="W68" i="2"/>
  <c r="Y70" i="2"/>
  <c r="Q47" i="2"/>
  <c r="AB47" i="2"/>
  <c r="S48" i="2"/>
  <c r="X49" i="2"/>
  <c r="Q50" i="2"/>
  <c r="X51" i="2"/>
  <c r="Q52" i="2"/>
  <c r="X53" i="2"/>
  <c r="Q54" i="2"/>
  <c r="X55" i="2"/>
  <c r="Q56" i="2"/>
  <c r="U58" i="2"/>
  <c r="W60" i="2"/>
  <c r="S61" i="2"/>
  <c r="Z63" i="2"/>
  <c r="R63" i="2"/>
  <c r="AB63" i="2"/>
  <c r="T63" i="2"/>
  <c r="S63" i="2"/>
  <c r="X63" i="2"/>
  <c r="V63" i="2"/>
  <c r="X66" i="2"/>
  <c r="X68" i="2"/>
  <c r="S47" i="2"/>
  <c r="U48" i="2"/>
  <c r="S50" i="2"/>
  <c r="S52" i="2"/>
  <c r="V57" i="2"/>
  <c r="W57" i="2"/>
  <c r="AA57" i="2"/>
  <c r="R57" i="2"/>
  <c r="Y57" i="2"/>
  <c r="AB57" i="2"/>
  <c r="V58" i="2"/>
  <c r="Q59" i="2"/>
  <c r="T61" i="2"/>
  <c r="X64" i="2"/>
  <c r="Z64" i="2"/>
  <c r="R64" i="2"/>
  <c r="U64" i="2"/>
  <c r="AA64" i="2"/>
  <c r="W64" i="2"/>
  <c r="Y66" i="2"/>
  <c r="Y68" i="2"/>
  <c r="V48" i="2"/>
  <c r="V49" i="2"/>
  <c r="W49" i="2"/>
  <c r="AA49" i="2"/>
  <c r="R49" i="2"/>
  <c r="Z49" i="2"/>
  <c r="Z51" i="2"/>
  <c r="R51" i="2"/>
  <c r="W51" i="2"/>
  <c r="AB51" i="2"/>
  <c r="S51" i="2"/>
  <c r="AA51" i="2"/>
  <c r="V53" i="2"/>
  <c r="W53" i="2"/>
  <c r="AA53" i="2"/>
  <c r="R53" i="2"/>
  <c r="Z53" i="2"/>
  <c r="Z55" i="2"/>
  <c r="R55" i="2"/>
  <c r="W55" i="2"/>
  <c r="AB55" i="2"/>
  <c r="S55" i="2"/>
  <c r="AA55" i="2"/>
  <c r="X58" i="2"/>
  <c r="X60" i="2"/>
  <c r="V60" i="2"/>
  <c r="AA60" i="2"/>
  <c r="R60" i="2"/>
  <c r="Y60" i="2"/>
  <c r="AB60" i="2"/>
  <c r="U61" i="2"/>
  <c r="X70" i="2"/>
  <c r="Z70" i="2"/>
  <c r="R70" i="2"/>
  <c r="V70" i="2"/>
  <c r="U70" i="2"/>
  <c r="AA70" i="2"/>
  <c r="W70" i="2"/>
  <c r="U47" i="2"/>
  <c r="W48" i="2"/>
  <c r="AB49" i="2"/>
  <c r="V50" i="2"/>
  <c r="U52" i="2"/>
  <c r="AB53" i="2"/>
  <c r="V54" i="2"/>
  <c r="U56" i="2"/>
  <c r="Q57" i="2"/>
  <c r="Z58" i="2"/>
  <c r="U59" i="2"/>
  <c r="Y61" i="2"/>
  <c r="W62" i="2"/>
  <c r="U63" i="2"/>
  <c r="Q64" i="2"/>
  <c r="Z67" i="2"/>
  <c r="R67" i="2"/>
  <c r="AB67" i="2"/>
  <c r="T67" i="2"/>
  <c r="U67" i="2"/>
  <c r="S67" i="2"/>
  <c r="X67" i="2"/>
  <c r="V67" i="2"/>
  <c r="Z69" i="2"/>
  <c r="R69" i="2"/>
  <c r="AB69" i="2"/>
  <c r="T69" i="2"/>
  <c r="U69" i="2"/>
  <c r="S69" i="2"/>
  <c r="X69" i="2"/>
  <c r="V69" i="2"/>
  <c r="Z65" i="2"/>
  <c r="R72" i="2"/>
  <c r="V73" i="2"/>
  <c r="R75" i="2"/>
  <c r="R65" i="2"/>
  <c r="AB65" i="2"/>
  <c r="T75" i="2"/>
  <c r="Z73" i="2"/>
  <c r="R73" i="2"/>
  <c r="AB73" i="2"/>
  <c r="T73" i="2"/>
  <c r="Y73" i="2"/>
  <c r="Y77" i="2"/>
  <c r="Q77" i="2"/>
  <c r="AB77" i="2"/>
  <c r="S77" i="2"/>
  <c r="AA77" i="2"/>
  <c r="R77" i="2"/>
  <c r="V77" i="2"/>
  <c r="U77" i="2"/>
  <c r="X93" i="2"/>
  <c r="V93" i="2"/>
  <c r="U93" i="2"/>
  <c r="Z93" i="2"/>
  <c r="R93" i="2"/>
  <c r="S93" i="2"/>
  <c r="Q93" i="2"/>
  <c r="AA93" i="2"/>
  <c r="Y93" i="2"/>
  <c r="W93" i="2"/>
  <c r="AB72" i="2"/>
  <c r="T72" i="2"/>
  <c r="V72" i="2"/>
  <c r="Y72" i="2"/>
  <c r="Q73" i="2"/>
  <c r="V75" i="2"/>
  <c r="U75" i="2"/>
  <c r="X75" i="2"/>
  <c r="Z75" i="2"/>
  <c r="T77" i="2"/>
  <c r="Z72" i="2"/>
  <c r="S73" i="2"/>
  <c r="AA75" i="2"/>
  <c r="W77" i="2"/>
  <c r="T93" i="2"/>
  <c r="V65" i="2"/>
  <c r="X65" i="2"/>
  <c r="Y65" i="2"/>
  <c r="V71" i="2"/>
  <c r="X71" i="2"/>
  <c r="Y71" i="2"/>
  <c r="Q72" i="2"/>
  <c r="AA72" i="2"/>
  <c r="U73" i="2"/>
  <c r="Q75" i="2"/>
  <c r="AB75" i="2"/>
  <c r="X77" i="2"/>
  <c r="AB93" i="2"/>
  <c r="R74" i="2"/>
  <c r="Z74" i="2"/>
  <c r="V76" i="2"/>
  <c r="W76" i="2"/>
  <c r="AB90" i="2"/>
  <c r="T90" i="2"/>
  <c r="Z90" i="2"/>
  <c r="R90" i="2"/>
  <c r="Y90" i="2"/>
  <c r="Q90" i="2"/>
  <c r="V90" i="2"/>
  <c r="W74" i="2"/>
  <c r="S76" i="2"/>
  <c r="AA76" i="2"/>
  <c r="P114" i="2"/>
  <c r="U90" i="2"/>
  <c r="U100" i="2"/>
  <c r="AB100" i="2"/>
  <c r="T100" i="2"/>
  <c r="Z100" i="2"/>
  <c r="R100" i="2"/>
  <c r="Y100" i="2"/>
  <c r="Q100" i="2"/>
  <c r="V100" i="2"/>
  <c r="T76" i="2"/>
  <c r="W90" i="2"/>
  <c r="V95" i="2"/>
  <c r="AB95" i="2"/>
  <c r="T95" i="2"/>
  <c r="AA95" i="2"/>
  <c r="S95" i="2"/>
  <c r="X95" i="2"/>
  <c r="AB97" i="2"/>
  <c r="T97" i="2"/>
  <c r="Z97" i="2"/>
  <c r="R97" i="2"/>
  <c r="Y97" i="2"/>
  <c r="Q97" i="2"/>
  <c r="V97" i="2"/>
  <c r="T91" i="2"/>
  <c r="AB91" i="2"/>
  <c r="S92" i="2"/>
  <c r="AA92" i="2"/>
  <c r="Q94" i="2"/>
  <c r="Y94" i="2"/>
  <c r="X98" i="2"/>
  <c r="S101" i="2"/>
  <c r="AA101" i="2"/>
  <c r="Q102" i="2"/>
  <c r="Y102" i="2"/>
  <c r="X103" i="2"/>
  <c r="AA104" i="2"/>
  <c r="S104" i="2"/>
  <c r="X104" i="2"/>
  <c r="Q105" i="2"/>
  <c r="Z106" i="2"/>
  <c r="R106" i="2"/>
  <c r="X106" i="2"/>
  <c r="Y106" i="2"/>
  <c r="V92" i="2"/>
  <c r="T94" i="2"/>
  <c r="AB94" i="2"/>
  <c r="S98" i="2"/>
  <c r="AA98" i="2"/>
  <c r="V101" i="2"/>
  <c r="T102" i="2"/>
  <c r="AB102" i="2"/>
  <c r="S103" i="2"/>
  <c r="AA103" i="2"/>
  <c r="R104" i="2"/>
  <c r="AB104" i="2"/>
  <c r="S106" i="2"/>
  <c r="W92" i="2"/>
  <c r="U94" i="2"/>
  <c r="T98" i="2"/>
  <c r="AB98" i="2"/>
  <c r="W101" i="2"/>
  <c r="U102" i="2"/>
  <c r="T103" i="2"/>
  <c r="AB103" i="2"/>
  <c r="Y110" i="2"/>
  <c r="Q110" i="2"/>
  <c r="U110" i="2"/>
  <c r="AA110" i="2"/>
  <c r="S110" i="2"/>
  <c r="Z110" i="2"/>
  <c r="R110" i="2"/>
  <c r="AB110" i="2"/>
  <c r="X110" i="2"/>
  <c r="W110" i="2"/>
  <c r="V110" i="2"/>
  <c r="T110" i="2"/>
  <c r="Q92" i="2"/>
  <c r="V98" i="2"/>
  <c r="Q101" i="2"/>
  <c r="V103" i="2"/>
  <c r="AB105" i="2"/>
  <c r="T105" i="2"/>
  <c r="Z105" i="2"/>
  <c r="R105" i="2"/>
  <c r="Y105" i="2"/>
  <c r="P119" i="2"/>
  <c r="AA105" i="2"/>
  <c r="S109" i="2"/>
  <c r="V107" i="2"/>
  <c r="X107" i="2"/>
  <c r="Y107" i="2"/>
  <c r="U109" i="2"/>
  <c r="Z107" i="2"/>
  <c r="Q107" i="2"/>
  <c r="AA107" i="2"/>
  <c r="R107" i="2"/>
  <c r="AB107" i="2"/>
  <c r="AB109" i="2"/>
  <c r="T109" i="2"/>
  <c r="V109" i="2"/>
  <c r="Y109" i="2"/>
  <c r="S107" i="2"/>
  <c r="Z109" i="2"/>
  <c r="U112" i="2"/>
  <c r="Q117" i="2"/>
  <c r="Y117" i="2"/>
  <c r="X139" i="2"/>
  <c r="R140" i="2"/>
  <c r="Z140" i="2"/>
  <c r="W108" i="2"/>
  <c r="W111" i="2"/>
  <c r="V112" i="2"/>
  <c r="R117" i="2"/>
  <c r="Z117" i="2"/>
  <c r="W138" i="2"/>
  <c r="Q139" i="2"/>
  <c r="Y139" i="2"/>
  <c r="S140" i="2"/>
  <c r="AA140" i="2"/>
  <c r="W112" i="2"/>
  <c r="S117" i="2"/>
  <c r="AA117" i="2"/>
  <c r="X138" i="2"/>
  <c r="R139" i="2"/>
  <c r="Z139" i="2"/>
  <c r="T140" i="2"/>
  <c r="AB140" i="2"/>
  <c r="X112" i="2"/>
  <c r="T117" i="2"/>
  <c r="AB117" i="2"/>
  <c r="Q138" i="2"/>
  <c r="Y138" i="2"/>
  <c r="S139" i="2"/>
  <c r="AA139" i="2"/>
  <c r="U140" i="2"/>
  <c r="W117" i="2"/>
  <c r="X140" i="2"/>
  <c r="T112" i="2"/>
  <c r="Q140" i="2"/>
  <c r="G134" i="2" l="1"/>
  <c r="I134" i="2"/>
  <c r="K134" i="2"/>
  <c r="E134" i="2"/>
  <c r="H134" i="2"/>
  <c r="AC91" i="2"/>
  <c r="AC96" i="2"/>
  <c r="M134" i="2"/>
  <c r="D134" i="2"/>
  <c r="S37" i="2"/>
  <c r="AC47" i="2"/>
  <c r="AD47" i="2" s="1"/>
  <c r="AC111" i="2"/>
  <c r="AA37" i="2"/>
  <c r="AC108" i="2"/>
  <c r="AC101" i="2"/>
  <c r="AC98" i="2"/>
  <c r="AC70" i="2"/>
  <c r="AD70" i="2" s="1"/>
  <c r="D17" i="7" s="1"/>
  <c r="F17" i="7" s="1"/>
  <c r="AC33" i="2"/>
  <c r="AD33" i="2" s="1"/>
  <c r="AC34" i="2"/>
  <c r="AD34" i="2" s="1"/>
  <c r="D3" i="7" s="1"/>
  <c r="AC42" i="2"/>
  <c r="AC32" i="2"/>
  <c r="AD32" i="2" s="1"/>
  <c r="AC15" i="2"/>
  <c r="AD15" i="2" s="1"/>
  <c r="D11" i="7" s="1"/>
  <c r="AC30" i="2"/>
  <c r="AD30" i="2" s="1"/>
  <c r="AC99" i="2"/>
  <c r="AC71" i="2"/>
  <c r="AD71" i="2" s="1"/>
  <c r="AC54" i="2"/>
  <c r="AD54" i="2" s="1"/>
  <c r="D23" i="7" s="1"/>
  <c r="AC140" i="2"/>
  <c r="AC92" i="2"/>
  <c r="AC89" i="2"/>
  <c r="AC138" i="2"/>
  <c r="V37" i="2"/>
  <c r="Z114" i="2"/>
  <c r="AC57" i="2"/>
  <c r="AD57" i="2" s="1"/>
  <c r="D35" i="7" s="1"/>
  <c r="AC16" i="2"/>
  <c r="AD16" i="2" s="1"/>
  <c r="D7" i="7" s="1"/>
  <c r="AC13" i="2"/>
  <c r="AD13" i="2" s="1"/>
  <c r="D6" i="7" s="1"/>
  <c r="L134" i="2"/>
  <c r="AC103" i="2"/>
  <c r="AC139" i="2"/>
  <c r="AC117" i="2"/>
  <c r="AC75" i="2"/>
  <c r="AD75" i="2" s="1"/>
  <c r="AC60" i="2"/>
  <c r="AD60" i="2" s="1"/>
  <c r="D26" i="7" s="1"/>
  <c r="AC52" i="2"/>
  <c r="AD52" i="2" s="1"/>
  <c r="D33" i="7" s="1"/>
  <c r="F33" i="7" s="1"/>
  <c r="AC58" i="2"/>
  <c r="AD58" i="2" s="1"/>
  <c r="D32" i="7" s="1"/>
  <c r="F32" i="7" s="1"/>
  <c r="AB79" i="2"/>
  <c r="AC25" i="2"/>
  <c r="AD25" i="2" s="1"/>
  <c r="AC17" i="2"/>
  <c r="AD17" i="2" s="1"/>
  <c r="D8" i="7" s="1"/>
  <c r="N134" i="2"/>
  <c r="V114" i="2"/>
  <c r="AC106" i="2"/>
  <c r="X114" i="2"/>
  <c r="AC76" i="2"/>
  <c r="AD76" i="2" s="1"/>
  <c r="W114" i="2"/>
  <c r="Y114" i="2"/>
  <c r="AC69" i="2"/>
  <c r="AD69" i="2" s="1"/>
  <c r="D16" i="7" s="1"/>
  <c r="AC67" i="2"/>
  <c r="AD67" i="2" s="1"/>
  <c r="D31" i="7" s="1"/>
  <c r="F31" i="7" s="1"/>
  <c r="AC55" i="2"/>
  <c r="AD55" i="2" s="1"/>
  <c r="AC62" i="2"/>
  <c r="AD62" i="2" s="1"/>
  <c r="D28" i="7" s="1"/>
  <c r="F28" i="7" s="1"/>
  <c r="AC43" i="2"/>
  <c r="AD43" i="2" s="1"/>
  <c r="D19" i="7" s="1"/>
  <c r="F19" i="7" s="1"/>
  <c r="AC24" i="2"/>
  <c r="AD24" i="2" s="1"/>
  <c r="T37" i="2"/>
  <c r="AC35" i="2"/>
  <c r="AD35" i="2" s="1"/>
  <c r="F134" i="2"/>
  <c r="AC104" i="2"/>
  <c r="AC102" i="2"/>
  <c r="AB114" i="2"/>
  <c r="AC95" i="2"/>
  <c r="AC74" i="2"/>
  <c r="AD74" i="2" s="1"/>
  <c r="AC73" i="2"/>
  <c r="AD73" i="2" s="1"/>
  <c r="AC93" i="2"/>
  <c r="S114" i="2"/>
  <c r="AC77" i="2"/>
  <c r="AD77" i="2" s="1"/>
  <c r="AC50" i="2"/>
  <c r="AD50" i="2" s="1"/>
  <c r="AC68" i="2"/>
  <c r="AD68" i="2" s="1"/>
  <c r="AC66" i="2"/>
  <c r="AD66" i="2" s="1"/>
  <c r="D34" i="7" s="1"/>
  <c r="F34" i="7" s="1"/>
  <c r="AC36" i="2"/>
  <c r="AD36" i="2" s="1"/>
  <c r="X79" i="2"/>
  <c r="AC27" i="2"/>
  <c r="AD27" i="2" s="1"/>
  <c r="AC14" i="2"/>
  <c r="AD14" i="2" s="1"/>
  <c r="D5" i="7" s="1"/>
  <c r="AC26" i="2"/>
  <c r="AD26" i="2" s="1"/>
  <c r="AC72" i="2"/>
  <c r="AD72" i="2" s="1"/>
  <c r="AA114" i="2"/>
  <c r="AC64" i="2"/>
  <c r="AD64" i="2" s="1"/>
  <c r="AC21" i="2"/>
  <c r="AD21" i="2" s="1"/>
  <c r="AC29" i="2"/>
  <c r="AD29" i="2" s="1"/>
  <c r="D12" i="7" s="1"/>
  <c r="AC22" i="2"/>
  <c r="AD22" i="2" s="1"/>
  <c r="AC105" i="2"/>
  <c r="R114" i="2"/>
  <c r="AC53" i="2"/>
  <c r="AD53" i="2" s="1"/>
  <c r="AC51" i="2"/>
  <c r="AD51" i="2" s="1"/>
  <c r="D36" i="7" s="1"/>
  <c r="AC56" i="2"/>
  <c r="AD56" i="2" s="1"/>
  <c r="AC46" i="2"/>
  <c r="AD46" i="2" s="1"/>
  <c r="D22" i="7" s="1"/>
  <c r="F22" i="7" s="1"/>
  <c r="AC31" i="2"/>
  <c r="AD31" i="2" s="1"/>
  <c r="D13" i="7" s="1"/>
  <c r="AC109" i="2"/>
  <c r="AC107" i="2"/>
  <c r="AC97" i="2"/>
  <c r="AC112" i="2"/>
  <c r="AC110" i="2"/>
  <c r="U114" i="2"/>
  <c r="AC65" i="2"/>
  <c r="AD65" i="2" s="1"/>
  <c r="D37" i="7" s="1"/>
  <c r="AC59" i="2"/>
  <c r="AD59" i="2" s="1"/>
  <c r="D30" i="7" s="1"/>
  <c r="F30" i="7" s="1"/>
  <c r="AC49" i="2"/>
  <c r="AD49" i="2" s="1"/>
  <c r="D25" i="7" s="1"/>
  <c r="F25" i="7" s="1"/>
  <c r="AC45" i="2"/>
  <c r="AD45" i="2" s="1"/>
  <c r="D21" i="7" s="1"/>
  <c r="F21" i="7" s="1"/>
  <c r="AC12" i="2"/>
  <c r="AD12" i="2" s="1"/>
  <c r="AC11" i="2"/>
  <c r="AD11" i="2" s="1"/>
  <c r="D4" i="7" s="1"/>
  <c r="AC23" i="2"/>
  <c r="AD23" i="2" s="1"/>
  <c r="AC19" i="2"/>
  <c r="AD19" i="2" s="1"/>
  <c r="D10" i="7" s="1"/>
  <c r="AC28" i="2"/>
  <c r="AD28" i="2" s="1"/>
  <c r="AC90" i="2"/>
  <c r="AC48" i="2"/>
  <c r="AD48" i="2" s="1"/>
  <c r="D24" i="7" s="1"/>
  <c r="V79" i="2"/>
  <c r="AC44" i="2"/>
  <c r="AD44" i="2" s="1"/>
  <c r="D20" i="7" s="1"/>
  <c r="F20" i="7" s="1"/>
  <c r="AC18" i="2"/>
  <c r="AD18" i="2" s="1"/>
  <c r="D9" i="7" s="1"/>
  <c r="AC94" i="2"/>
  <c r="AC100" i="2"/>
  <c r="AC63" i="2"/>
  <c r="AD63" i="2" s="1"/>
  <c r="D29" i="7" s="1"/>
  <c r="F29" i="7" s="1"/>
  <c r="AC61" i="2"/>
  <c r="AD61" i="2" s="1"/>
  <c r="D27" i="7" s="1"/>
  <c r="F27" i="7" s="1"/>
  <c r="AB37" i="2"/>
  <c r="AC20" i="2"/>
  <c r="AD20" i="2" s="1"/>
  <c r="AA79" i="2"/>
  <c r="W37" i="2"/>
  <c r="U37" i="2"/>
  <c r="Z37" i="2"/>
  <c r="S79" i="2"/>
  <c r="Z79" i="2"/>
  <c r="R79" i="2"/>
  <c r="Y79" i="2"/>
  <c r="Q114" i="2"/>
  <c r="Q79" i="2"/>
  <c r="T79" i="2"/>
  <c r="W79" i="2"/>
  <c r="Q37" i="2"/>
  <c r="T114" i="2"/>
  <c r="U79" i="2"/>
  <c r="Y37" i="2"/>
  <c r="X37" i="2"/>
  <c r="R37" i="2"/>
  <c r="P20" i="7" l="1"/>
  <c r="P31" i="7"/>
  <c r="P21" i="7"/>
  <c r="P25" i="7"/>
  <c r="P27" i="7"/>
  <c r="P29" i="7"/>
  <c r="P22" i="7"/>
  <c r="P32" i="7"/>
  <c r="P34" i="7"/>
  <c r="P19" i="7"/>
  <c r="P33" i="7"/>
  <c r="P30" i="7"/>
  <c r="P28" i="7"/>
  <c r="P17" i="7"/>
  <c r="P9" i="7"/>
  <c r="F9" i="7"/>
  <c r="H9" i="7" s="1"/>
  <c r="H20" i="7"/>
  <c r="H31" i="7"/>
  <c r="P4" i="7"/>
  <c r="F4" i="7"/>
  <c r="H4" i="7" s="1"/>
  <c r="F16" i="7"/>
  <c r="P8" i="7"/>
  <c r="F8" i="7"/>
  <c r="H8" i="7" s="1"/>
  <c r="F11" i="7"/>
  <c r="H11" i="7" s="1"/>
  <c r="P11" i="7"/>
  <c r="F24" i="7"/>
  <c r="P12" i="7"/>
  <c r="F12" i="7"/>
  <c r="H12" i="7" s="1"/>
  <c r="P5" i="7"/>
  <c r="F5" i="7"/>
  <c r="H5" i="7" s="1"/>
  <c r="P13" i="7"/>
  <c r="F13" i="7"/>
  <c r="H13" i="7" s="1"/>
  <c r="H32" i="7"/>
  <c r="P6" i="7"/>
  <c r="F6" i="7"/>
  <c r="H6" i="7" s="1"/>
  <c r="D14" i="7"/>
  <c r="P3" i="7"/>
  <c r="F3" i="7"/>
  <c r="F37" i="7"/>
  <c r="P10" i="7"/>
  <c r="F10" i="7"/>
  <c r="H10" i="7" s="1"/>
  <c r="H33" i="7"/>
  <c r="P7" i="7"/>
  <c r="F7" i="7"/>
  <c r="H7" i="7" s="1"/>
  <c r="F23" i="7"/>
  <c r="H21" i="7"/>
  <c r="H25" i="7"/>
  <c r="H27" i="7"/>
  <c r="H30" i="7"/>
  <c r="H29" i="7"/>
  <c r="H22" i="7"/>
  <c r="H34" i="7"/>
  <c r="H19" i="7"/>
  <c r="F36" i="7"/>
  <c r="H28" i="7"/>
  <c r="F26" i="7"/>
  <c r="F35" i="7"/>
  <c r="H17" i="7"/>
  <c r="AC114" i="2"/>
  <c r="AD42" i="2"/>
  <c r="D18" i="7" s="1"/>
  <c r="F18" i="7" s="1"/>
  <c r="AC79" i="2"/>
  <c r="AC37" i="2"/>
  <c r="AC147" i="2" l="1"/>
  <c r="H24" i="7"/>
  <c r="P24" i="7"/>
  <c r="H35" i="7"/>
  <c r="P35" i="7"/>
  <c r="H37" i="7"/>
  <c r="P37" i="7"/>
  <c r="H23" i="7"/>
  <c r="P23" i="7"/>
  <c r="H36" i="7"/>
  <c r="P36" i="7"/>
  <c r="H26" i="7"/>
  <c r="P26" i="7"/>
  <c r="P18" i="7"/>
  <c r="P14" i="7"/>
  <c r="D38" i="7"/>
  <c r="D40" i="7" s="1"/>
  <c r="F14" i="7"/>
  <c r="H3" i="7"/>
  <c r="H14" i="7" s="1"/>
  <c r="H18" i="7"/>
  <c r="H16" i="7"/>
  <c r="P16" i="7"/>
  <c r="F38" i="7"/>
  <c r="AJ3" i="2"/>
  <c r="H38" i="7" l="1"/>
  <c r="H40" i="7" s="1"/>
  <c r="D63" i="7" s="1"/>
  <c r="I19" i="7" s="1"/>
  <c r="J19" i="7" s="1"/>
  <c r="K19" i="7" s="1"/>
  <c r="L19" i="7" s="1"/>
  <c r="I27" i="7"/>
  <c r="J27" i="7" s="1"/>
  <c r="K27" i="7" s="1"/>
  <c r="L27" i="7" s="1"/>
  <c r="N27" i="7" s="1"/>
  <c r="I35" i="7"/>
  <c r="J35" i="7" s="1"/>
  <c r="K35" i="7" s="1"/>
  <c r="L35" i="7" s="1"/>
  <c r="N35" i="7" s="1"/>
  <c r="I9" i="7"/>
  <c r="J9" i="7" s="1"/>
  <c r="K9" i="7" s="1"/>
  <c r="L9" i="7" s="1"/>
  <c r="I21" i="7"/>
  <c r="J21" i="7" s="1"/>
  <c r="K21" i="7" s="1"/>
  <c r="L21" i="7" s="1"/>
  <c r="N21" i="7" s="1"/>
  <c r="I37" i="7"/>
  <c r="J37" i="7" s="1"/>
  <c r="K37" i="7" s="1"/>
  <c r="L37" i="7" s="1"/>
  <c r="N37" i="7" s="1"/>
  <c r="I22" i="7"/>
  <c r="J22" i="7" s="1"/>
  <c r="K22" i="7" s="1"/>
  <c r="L22" i="7" s="1"/>
  <c r="N22" i="7" s="1"/>
  <c r="I4" i="7"/>
  <c r="J4" i="7" s="1"/>
  <c r="K4" i="7" s="1"/>
  <c r="L4" i="7" s="1"/>
  <c r="I24" i="7"/>
  <c r="J24" i="7" s="1"/>
  <c r="K24" i="7" s="1"/>
  <c r="L24" i="7" s="1"/>
  <c r="N24" i="7" s="1"/>
  <c r="I32" i="7"/>
  <c r="J32" i="7" s="1"/>
  <c r="K32" i="7" s="1"/>
  <c r="L32" i="7" s="1"/>
  <c r="I6" i="7"/>
  <c r="J6" i="7" s="1"/>
  <c r="K6" i="7" s="1"/>
  <c r="L6" i="7" s="1"/>
  <c r="I18" i="7"/>
  <c r="J18" i="7" s="1"/>
  <c r="K18" i="7" s="1"/>
  <c r="L18" i="7" s="1"/>
  <c r="N18" i="7" s="1"/>
  <c r="I26" i="7"/>
  <c r="J26" i="7" s="1"/>
  <c r="K26" i="7" s="1"/>
  <c r="L26" i="7" s="1"/>
  <c r="N26" i="7" s="1"/>
  <c r="I34" i="7"/>
  <c r="J34" i="7" s="1"/>
  <c r="K34" i="7" s="1"/>
  <c r="L34" i="7" s="1"/>
  <c r="I8" i="7"/>
  <c r="J8" i="7" s="1"/>
  <c r="K8" i="7" s="1"/>
  <c r="L8" i="7" s="1"/>
  <c r="I10" i="7"/>
  <c r="J10" i="7" s="1"/>
  <c r="K10" i="7" s="1"/>
  <c r="L10" i="7" s="1"/>
  <c r="I29" i="7"/>
  <c r="I30" i="7"/>
  <c r="J30" i="7" s="1"/>
  <c r="K30" i="7" s="1"/>
  <c r="L30" i="7" s="1"/>
  <c r="I23" i="7"/>
  <c r="J23" i="7" s="1"/>
  <c r="K23" i="7" s="1"/>
  <c r="L23" i="7" s="1"/>
  <c r="N23" i="7" s="1"/>
  <c r="I13" i="7"/>
  <c r="J13" i="7" s="1"/>
  <c r="K13" i="7" s="1"/>
  <c r="L13" i="7" s="1"/>
  <c r="N13" i="7" s="1"/>
  <c r="Q13" i="7" s="1"/>
  <c r="R13" i="7" s="1"/>
  <c r="I17" i="7"/>
  <c r="J17" i="7" s="1"/>
  <c r="K17" i="7" s="1"/>
  <c r="L17" i="7" s="1"/>
  <c r="I25" i="7"/>
  <c r="J25" i="7" s="1"/>
  <c r="K25" i="7" s="1"/>
  <c r="L25" i="7" s="1"/>
  <c r="N25" i="7" s="1"/>
  <c r="I7" i="7"/>
  <c r="J7" i="7" s="1"/>
  <c r="K7" i="7" s="1"/>
  <c r="L7" i="7" s="1"/>
  <c r="I20" i="7"/>
  <c r="J20" i="7" s="1"/>
  <c r="K20" i="7" s="1"/>
  <c r="L20" i="7" s="1"/>
  <c r="N20" i="7" s="1"/>
  <c r="I36" i="7"/>
  <c r="J36" i="7" s="1"/>
  <c r="K36" i="7" s="1"/>
  <c r="L36" i="7" s="1"/>
  <c r="N36" i="7" s="1"/>
  <c r="I11" i="7"/>
  <c r="J11" i="7" s="1"/>
  <c r="K11" i="7" s="1"/>
  <c r="L11" i="7" s="1"/>
  <c r="I12" i="7"/>
  <c r="J12" i="7" s="1"/>
  <c r="K12" i="7" s="1"/>
  <c r="L12" i="7" s="1"/>
  <c r="D6" i="8" s="1"/>
  <c r="I5" i="7"/>
  <c r="J5" i="7" s="1"/>
  <c r="K5" i="7" s="1"/>
  <c r="L5" i="7" s="1"/>
  <c r="I47" i="7"/>
  <c r="J47" i="7" s="1"/>
  <c r="K47" i="7" s="1"/>
  <c r="L47" i="7" s="1"/>
  <c r="I51" i="7"/>
  <c r="J51" i="7" s="1"/>
  <c r="K51" i="7" s="1"/>
  <c r="L51" i="7" s="1"/>
  <c r="I48" i="7"/>
  <c r="J48" i="7" s="1"/>
  <c r="K48" i="7" s="1"/>
  <c r="L48" i="7" s="1"/>
  <c r="D43" i="8" s="1"/>
  <c r="I50" i="7"/>
  <c r="J50" i="7" s="1"/>
  <c r="K50" i="7" s="1"/>
  <c r="L50" i="7" s="1"/>
  <c r="J29" i="7"/>
  <c r="K29" i="7" s="1"/>
  <c r="L29" i="7" s="1"/>
  <c r="N29" i="7" s="1"/>
  <c r="I16" i="7"/>
  <c r="I45" i="7"/>
  <c r="J45" i="7" s="1"/>
  <c r="K45" i="7" s="1"/>
  <c r="L45" i="7" s="1"/>
  <c r="I44" i="7"/>
  <c r="J44" i="7" s="1"/>
  <c r="K44" i="7" s="1"/>
  <c r="L44" i="7" s="1"/>
  <c r="I52" i="7"/>
  <c r="J52" i="7" s="1"/>
  <c r="K52" i="7" s="1"/>
  <c r="L52" i="7" s="1"/>
  <c r="I46" i="7"/>
  <c r="J46" i="7" s="1"/>
  <c r="K46" i="7" s="1"/>
  <c r="L46" i="7" s="1"/>
  <c r="I49" i="7"/>
  <c r="J49" i="7" s="1"/>
  <c r="K49" i="7" s="1"/>
  <c r="L49" i="7" s="1"/>
  <c r="F40" i="7"/>
  <c r="D62" i="7" s="1"/>
  <c r="P38" i="7"/>
  <c r="P40" i="7" s="1"/>
  <c r="Q37" i="7" l="1"/>
  <c r="R37" i="7" s="1"/>
  <c r="Q21" i="7"/>
  <c r="R21" i="7" s="1"/>
  <c r="Q26" i="7"/>
  <c r="R26" i="7" s="1"/>
  <c r="Q22" i="7"/>
  <c r="R22" i="7" s="1"/>
  <c r="Q20" i="7"/>
  <c r="R20" i="7" s="1"/>
  <c r="Q29" i="7"/>
  <c r="R29" i="7" s="1"/>
  <c r="Q18" i="7"/>
  <c r="R18" i="7" s="1"/>
  <c r="Q27" i="7"/>
  <c r="R27" i="7" s="1"/>
  <c r="Q23" i="7"/>
  <c r="R23" i="7" s="1"/>
  <c r="Q36" i="7"/>
  <c r="R36" i="7" s="1"/>
  <c r="Q24" i="7"/>
  <c r="R24" i="7" s="1"/>
  <c r="I3" i="7"/>
  <c r="I14" i="7" s="1"/>
  <c r="I33" i="7"/>
  <c r="J33" i="7" s="1"/>
  <c r="K33" i="7" s="1"/>
  <c r="L33" i="7" s="1"/>
  <c r="N33" i="7" s="1"/>
  <c r="I28" i="7"/>
  <c r="J28" i="7" s="1"/>
  <c r="K28" i="7" s="1"/>
  <c r="L28" i="7" s="1"/>
  <c r="N28" i="7" s="1"/>
  <c r="I31" i="7"/>
  <c r="J31" i="7" s="1"/>
  <c r="K31" i="7" s="1"/>
  <c r="L31" i="7" s="1"/>
  <c r="N31" i="7" s="1"/>
  <c r="Q35" i="7"/>
  <c r="R35" i="7" s="1"/>
  <c r="Q25" i="7"/>
  <c r="R25" i="7" s="1"/>
  <c r="N32" i="7"/>
  <c r="D37" i="8"/>
  <c r="E37" i="8" s="1"/>
  <c r="D19" i="8"/>
  <c r="E19" i="8" s="1"/>
  <c r="O11" i="7" s="1"/>
  <c r="N11" i="7"/>
  <c r="Q11" i="7" s="1"/>
  <c r="R11" i="7" s="1"/>
  <c r="N10" i="7"/>
  <c r="Q10" i="7" s="1"/>
  <c r="R10" i="7" s="1"/>
  <c r="D15" i="8"/>
  <c r="E15" i="8" s="1"/>
  <c r="O10" i="7" s="1"/>
  <c r="N46" i="7"/>
  <c r="D24" i="8"/>
  <c r="E24" i="8" s="1"/>
  <c r="O46" i="7" s="1"/>
  <c r="D25" i="8"/>
  <c r="E25" i="8" s="1"/>
  <c r="D39" i="8"/>
  <c r="E39" i="8" s="1"/>
  <c r="N34" i="7"/>
  <c r="E6" i="8"/>
  <c r="N12" i="7"/>
  <c r="Q12" i="7" s="1"/>
  <c r="R12" i="7" s="1"/>
  <c r="N44" i="7"/>
  <c r="D22" i="8"/>
  <c r="E22" i="8" s="1"/>
  <c r="O44" i="7" s="1"/>
  <c r="D11" i="8"/>
  <c r="E11" i="8" s="1"/>
  <c r="O4" i="7" s="1"/>
  <c r="N4" i="7"/>
  <c r="Q4" i="7" s="1"/>
  <c r="R4" i="7" s="1"/>
  <c r="N7" i="7"/>
  <c r="Q7" i="7" s="1"/>
  <c r="R7" i="7" s="1"/>
  <c r="D12" i="8"/>
  <c r="E12" i="8" s="1"/>
  <c r="O7" i="7" s="1"/>
  <c r="N45" i="7"/>
  <c r="D26" i="8"/>
  <c r="E26" i="8" s="1"/>
  <c r="D27" i="8"/>
  <c r="E27" i="8" s="1"/>
  <c r="D13" i="8"/>
  <c r="E13" i="8" s="1"/>
  <c r="O8" i="7" s="1"/>
  <c r="N8" i="7"/>
  <c r="Q8" i="7" s="1"/>
  <c r="R8" i="7" s="1"/>
  <c r="D23" i="8"/>
  <c r="E23" i="8" s="1"/>
  <c r="N17" i="7"/>
  <c r="N48" i="7"/>
  <c r="E43" i="8"/>
  <c r="O48" i="7" s="1"/>
  <c r="N50" i="7"/>
  <c r="D48" i="8"/>
  <c r="E48" i="8" s="1"/>
  <c r="O50" i="7" s="1"/>
  <c r="N49" i="7"/>
  <c r="D49" i="8"/>
  <c r="E49" i="8" s="1"/>
  <c r="O49" i="7" s="1"/>
  <c r="J16" i="7"/>
  <c r="N9" i="7"/>
  <c r="Q9" i="7" s="1"/>
  <c r="R9" i="7" s="1"/>
  <c r="D14" i="8"/>
  <c r="E14" i="8" s="1"/>
  <c r="O9" i="7" s="1"/>
  <c r="N52" i="7"/>
  <c r="D56" i="8"/>
  <c r="E56" i="8" s="1"/>
  <c r="O52" i="7" s="1"/>
  <c r="D47" i="8"/>
  <c r="E47" i="8" s="1"/>
  <c r="N19" i="7"/>
  <c r="N6" i="7"/>
  <c r="Q6" i="7" s="1"/>
  <c r="R6" i="7" s="1"/>
  <c r="D10" i="8"/>
  <c r="E10" i="8" s="1"/>
  <c r="O6" i="7" s="1"/>
  <c r="D42" i="8"/>
  <c r="E42" i="8" s="1"/>
  <c r="O30" i="7" s="1"/>
  <c r="N30" i="7"/>
  <c r="D9" i="8"/>
  <c r="E9" i="8" s="1"/>
  <c r="O5" i="7" s="1"/>
  <c r="N5" i="7"/>
  <c r="Q5" i="7" s="1"/>
  <c r="R5" i="7" s="1"/>
  <c r="N51" i="7"/>
  <c r="D53" i="8"/>
  <c r="E53" i="8" s="1"/>
  <c r="O51" i="7" s="1"/>
  <c r="N47" i="7"/>
  <c r="D30" i="8"/>
  <c r="E30" i="8" s="1"/>
  <c r="O47" i="7" s="1"/>
  <c r="D44" i="8" l="1"/>
  <c r="E44" i="8" s="1"/>
  <c r="O31" i="7" s="1"/>
  <c r="Q33" i="7"/>
  <c r="R33" i="7" s="1"/>
  <c r="Q31" i="7"/>
  <c r="R31" i="7" s="1"/>
  <c r="Q30" i="7"/>
  <c r="R30" i="7" s="1"/>
  <c r="I38" i="7"/>
  <c r="I40" i="7" s="1"/>
  <c r="Q17" i="7"/>
  <c r="R17" i="7" s="1"/>
  <c r="Q34" i="7"/>
  <c r="R34" i="7" s="1"/>
  <c r="D38" i="8"/>
  <c r="E38" i="8" s="1"/>
  <c r="O25" i="7" s="1"/>
  <c r="Q19" i="7"/>
  <c r="R19" i="7" s="1"/>
  <c r="J3" i="7"/>
  <c r="K3" i="7" s="1"/>
  <c r="Q32" i="7"/>
  <c r="R32" i="7" s="1"/>
  <c r="Q28" i="7"/>
  <c r="R28" i="7" s="1"/>
  <c r="O35" i="7"/>
  <c r="O32" i="7"/>
  <c r="O23" i="7"/>
  <c r="O13" i="7"/>
  <c r="O12" i="7"/>
  <c r="J38" i="7"/>
  <c r="K16" i="7"/>
  <c r="O20" i="7"/>
  <c r="O22" i="7"/>
  <c r="O21" i="7"/>
  <c r="O18" i="7"/>
  <c r="O19" i="7"/>
  <c r="O17" i="7"/>
  <c r="O45" i="7"/>
  <c r="O34" i="7"/>
  <c r="O26" i="7"/>
  <c r="O27" i="7"/>
  <c r="O37" i="7"/>
  <c r="O28" i="7"/>
  <c r="O29" i="7"/>
  <c r="O36" i="7" l="1"/>
  <c r="O33" i="7"/>
  <c r="O24" i="7"/>
  <c r="J14" i="7"/>
  <c r="J40" i="7" s="1"/>
  <c r="L16" i="7"/>
  <c r="K38" i="7"/>
  <c r="K14" i="7"/>
  <c r="L3" i="7"/>
  <c r="K40" i="7" l="1"/>
  <c r="D18" i="8"/>
  <c r="E18" i="8" s="1"/>
  <c r="O3" i="7" s="1"/>
  <c r="N3" i="7"/>
  <c r="Q3" i="7" s="1"/>
  <c r="N16" i="7"/>
  <c r="Q16" i="7" s="1"/>
  <c r="D50" i="8"/>
  <c r="E50" i="8" s="1"/>
  <c r="O16" i="7" s="1"/>
  <c r="Q38" i="7" l="1"/>
  <c r="R16" i="7"/>
  <c r="R38" i="7" s="1"/>
  <c r="T38" i="7" s="1"/>
  <c r="Q14" i="7"/>
  <c r="R3" i="7"/>
  <c r="R14" i="7" s="1"/>
  <c r="T14" i="7" s="1"/>
  <c r="Q40" i="7" l="1"/>
  <c r="R40" i="7"/>
  <c r="C71" i="6" s="1"/>
  <c r="C72" i="6" s="1"/>
  <c r="C74" i="6" s="1"/>
  <c r="M5" i="9" l="1"/>
  <c r="N5" i="9"/>
  <c r="T5" i="9" s="1"/>
  <c r="P5" i="9"/>
  <c r="Q5" i="9"/>
  <c r="M6" i="9"/>
  <c r="N6" i="9"/>
  <c r="P6" i="9"/>
  <c r="Q6" i="9"/>
  <c r="R6" i="9"/>
  <c r="T6" i="9"/>
  <c r="M7" i="9"/>
  <c r="N7" i="9" s="1"/>
  <c r="M8" i="9"/>
  <c r="N8" i="9"/>
  <c r="Q8" i="9" s="1"/>
  <c r="R8" i="9" s="1"/>
  <c r="P8" i="9"/>
  <c r="M9" i="9"/>
  <c r="N9" i="9" s="1"/>
  <c r="P9" i="9"/>
  <c r="M10" i="9"/>
  <c r="N10" i="9"/>
  <c r="P10" i="9"/>
  <c r="Q10" i="9"/>
  <c r="R10" i="9"/>
  <c r="T10" i="9"/>
  <c r="M11" i="9"/>
  <c r="N11" i="9" s="1"/>
  <c r="M12" i="9"/>
  <c r="N12" i="9"/>
  <c r="Q12" i="9" s="1"/>
  <c r="R12" i="9" s="1"/>
  <c r="P12" i="9"/>
  <c r="M15" i="9"/>
  <c r="P15" i="9" s="1"/>
  <c r="M16" i="9"/>
  <c r="N16" i="9"/>
  <c r="Q16" i="9" s="1"/>
  <c r="R16" i="9" s="1"/>
  <c r="V16" i="9" s="1"/>
  <c r="P16" i="9"/>
  <c r="M17" i="9"/>
  <c r="P17" i="9"/>
  <c r="M18" i="9"/>
  <c r="N18" i="9"/>
  <c r="Q18" i="9" s="1"/>
  <c r="R18" i="9" s="1"/>
  <c r="V18" i="9" s="1"/>
  <c r="P18" i="9"/>
  <c r="M19" i="9"/>
  <c r="N19" i="9"/>
  <c r="T19" i="9" s="1"/>
  <c r="P19" i="9"/>
  <c r="Q19" i="9"/>
  <c r="R19" i="9" s="1"/>
  <c r="V19" i="9" s="1"/>
  <c r="M20" i="9"/>
  <c r="N20" i="9"/>
  <c r="T20" i="9" s="1"/>
  <c r="P20" i="9"/>
  <c r="Q20" i="9"/>
  <c r="R20" i="9" s="1"/>
  <c r="V20" i="9" s="1"/>
  <c r="M21" i="9"/>
  <c r="N21" i="9"/>
  <c r="P21" i="9"/>
  <c r="Q21" i="9"/>
  <c r="R21" i="9"/>
  <c r="V21" i="9" s="1"/>
  <c r="T21" i="9"/>
  <c r="M22" i="9"/>
  <c r="N22" i="9"/>
  <c r="L22" i="9" s="1"/>
  <c r="P22" i="9"/>
  <c r="Q22" i="9"/>
  <c r="R22" i="9"/>
  <c r="V22" i="9" s="1"/>
  <c r="T22" i="9"/>
  <c r="W22" i="9"/>
  <c r="M23" i="9"/>
  <c r="N23" i="9"/>
  <c r="P23" i="9"/>
  <c r="Q23" i="9"/>
  <c r="R23" i="9"/>
  <c r="V23" i="9" s="1"/>
  <c r="T23" i="9"/>
  <c r="M24" i="9"/>
  <c r="N24" i="9"/>
  <c r="W23" i="9" s="1"/>
  <c r="P24" i="9"/>
  <c r="Q24" i="9"/>
  <c r="R24" i="9"/>
  <c r="V24" i="9" s="1"/>
  <c r="T24" i="9"/>
  <c r="M25" i="9"/>
  <c r="N25" i="9"/>
  <c r="P25" i="9"/>
  <c r="Q25" i="9"/>
  <c r="R25" i="9"/>
  <c r="T25" i="9"/>
  <c r="V25" i="9"/>
  <c r="M26" i="9"/>
  <c r="N26" i="9"/>
  <c r="W25" i="9" s="1"/>
  <c r="P26" i="9"/>
  <c r="Q26" i="9"/>
  <c r="R26" i="9"/>
  <c r="T26" i="9"/>
  <c r="V26" i="9"/>
  <c r="M27" i="9"/>
  <c r="N27" i="9"/>
  <c r="P27" i="9"/>
  <c r="Q27" i="9"/>
  <c r="R27" i="9"/>
  <c r="T27" i="9"/>
  <c r="V27" i="9"/>
  <c r="M28" i="9"/>
  <c r="N28" i="9" s="1"/>
  <c r="M29" i="9"/>
  <c r="P29" i="9" s="1"/>
  <c r="M30" i="9"/>
  <c r="N30" i="9"/>
  <c r="Q30" i="9" s="1"/>
  <c r="R30" i="9" s="1"/>
  <c r="V30" i="9" s="1"/>
  <c r="P30" i="9"/>
  <c r="M31" i="9"/>
  <c r="N31" i="9"/>
  <c r="T31" i="9" s="1"/>
  <c r="P31" i="9"/>
  <c r="Q31" i="9"/>
  <c r="R31" i="9" s="1"/>
  <c r="V31" i="9" s="1"/>
  <c r="M32" i="9"/>
  <c r="N32" i="9"/>
  <c r="T32" i="9" s="1"/>
  <c r="P32" i="9"/>
  <c r="Q32" i="9"/>
  <c r="R32" i="9" s="1"/>
  <c r="V32" i="9" s="1"/>
  <c r="M33" i="9"/>
  <c r="N33" i="9"/>
  <c r="P33" i="9"/>
  <c r="Q33" i="9"/>
  <c r="R33" i="9"/>
  <c r="V33" i="9" s="1"/>
  <c r="T33" i="9"/>
  <c r="M34" i="9"/>
  <c r="N34" i="9"/>
  <c r="P34" i="9"/>
  <c r="Q34" i="9"/>
  <c r="R34" i="9"/>
  <c r="T34" i="9"/>
  <c r="V34" i="9"/>
  <c r="M35" i="9"/>
  <c r="N35" i="9"/>
  <c r="P35" i="9"/>
  <c r="Q35" i="9"/>
  <c r="R35" i="9"/>
  <c r="T35" i="9"/>
  <c r="V35" i="9"/>
  <c r="M36" i="9"/>
  <c r="N36" i="9" s="1"/>
  <c r="AG2" i="2"/>
  <c r="AI2" i="2" s="1"/>
  <c r="AK2" i="2"/>
  <c r="AG3" i="2"/>
  <c r="AI3" i="2"/>
  <c r="AK3" i="2"/>
  <c r="AL3" i="2" s="1"/>
  <c r="AM3" i="2" s="1"/>
  <c r="AK4" i="2"/>
  <c r="Q11" i="9" l="1"/>
  <c r="T11" i="9"/>
  <c r="T9" i="9"/>
  <c r="Q9" i="9"/>
  <c r="R9" i="9" s="1"/>
  <c r="Q7" i="9"/>
  <c r="R7" i="9" s="1"/>
  <c r="T7" i="9"/>
  <c r="AF107" i="2"/>
  <c r="AG107" i="2" s="1"/>
  <c r="AF11" i="2"/>
  <c r="AF15" i="2"/>
  <c r="AG15" i="2" s="1"/>
  <c r="AF19" i="2"/>
  <c r="AG19" i="2" s="1"/>
  <c r="AF23" i="2"/>
  <c r="AG23" i="2" s="1"/>
  <c r="AF27" i="2"/>
  <c r="AG27" i="2" s="1"/>
  <c r="AF31" i="2"/>
  <c r="AG31" i="2" s="1"/>
  <c r="AF35" i="2"/>
  <c r="AG35" i="2" s="1"/>
  <c r="AF43" i="2"/>
  <c r="AG43" i="2" s="1"/>
  <c r="AF47" i="2"/>
  <c r="AG47" i="2" s="1"/>
  <c r="AF51" i="2"/>
  <c r="AG51" i="2" s="1"/>
  <c r="AF55" i="2"/>
  <c r="AG55" i="2" s="1"/>
  <c r="AF59" i="2"/>
  <c r="AG59" i="2" s="1"/>
  <c r="AF63" i="2"/>
  <c r="AG63" i="2" s="1"/>
  <c r="AF67" i="2"/>
  <c r="AG67" i="2" s="1"/>
  <c r="AF71" i="2"/>
  <c r="AG71" i="2" s="1"/>
  <c r="AF75" i="2"/>
  <c r="AG75" i="2" s="1"/>
  <c r="AF92" i="2"/>
  <c r="AG92" i="2" s="1"/>
  <c r="AF96" i="2"/>
  <c r="AG96" i="2" s="1"/>
  <c r="AF100" i="2"/>
  <c r="AG100" i="2" s="1"/>
  <c r="AF104" i="2"/>
  <c r="AG104" i="2" s="1"/>
  <c r="AF108" i="2"/>
  <c r="AG108" i="2" s="1"/>
  <c r="AF112" i="2"/>
  <c r="AG112" i="2" s="1"/>
  <c r="AF111" i="2"/>
  <c r="AG111" i="2" s="1"/>
  <c r="AF12" i="2"/>
  <c r="AG12" i="2" s="1"/>
  <c r="AF16" i="2"/>
  <c r="AG16" i="2" s="1"/>
  <c r="AF20" i="2"/>
  <c r="AG20" i="2" s="1"/>
  <c r="AF24" i="2"/>
  <c r="AG24" i="2" s="1"/>
  <c r="AF28" i="2"/>
  <c r="AG28" i="2" s="1"/>
  <c r="AF32" i="2"/>
  <c r="AG32" i="2" s="1"/>
  <c r="AF36" i="2"/>
  <c r="AG36" i="2" s="1"/>
  <c r="AF44" i="2"/>
  <c r="AG44" i="2" s="1"/>
  <c r="AF48" i="2"/>
  <c r="AG48" i="2" s="1"/>
  <c r="AF52" i="2"/>
  <c r="AG52" i="2" s="1"/>
  <c r="AF56" i="2"/>
  <c r="AG56" i="2" s="1"/>
  <c r="AF60" i="2"/>
  <c r="AG60" i="2" s="1"/>
  <c r="AF64" i="2"/>
  <c r="AG64" i="2" s="1"/>
  <c r="AF68" i="2"/>
  <c r="AG68" i="2" s="1"/>
  <c r="AF72" i="2"/>
  <c r="AG72" i="2" s="1"/>
  <c r="AF76" i="2"/>
  <c r="AG76" i="2" s="1"/>
  <c r="AF89" i="2"/>
  <c r="AF93" i="2"/>
  <c r="AG93" i="2" s="1"/>
  <c r="AF97" i="2"/>
  <c r="AG97" i="2" s="1"/>
  <c r="AF101" i="2"/>
  <c r="AG101" i="2" s="1"/>
  <c r="AF105" i="2"/>
  <c r="AG105" i="2" s="1"/>
  <c r="AF109" i="2"/>
  <c r="AG109" i="2" s="1"/>
  <c r="AF113" i="2"/>
  <c r="AG113" i="2" s="1"/>
  <c r="AF13" i="2"/>
  <c r="AG13" i="2" s="1"/>
  <c r="AF17" i="2"/>
  <c r="AG17" i="2" s="1"/>
  <c r="AF21" i="2"/>
  <c r="AG21" i="2" s="1"/>
  <c r="AF25" i="2"/>
  <c r="AG25" i="2" s="1"/>
  <c r="AF29" i="2"/>
  <c r="AG29" i="2" s="1"/>
  <c r="AF33" i="2"/>
  <c r="AG33" i="2" s="1"/>
  <c r="AF45" i="2"/>
  <c r="AG45" i="2" s="1"/>
  <c r="AF49" i="2"/>
  <c r="AG49" i="2" s="1"/>
  <c r="AF53" i="2"/>
  <c r="AG53" i="2" s="1"/>
  <c r="AF57" i="2"/>
  <c r="AG57" i="2" s="1"/>
  <c r="AF61" i="2"/>
  <c r="AG61" i="2" s="1"/>
  <c r="AF65" i="2"/>
  <c r="AG65" i="2" s="1"/>
  <c r="AF69" i="2"/>
  <c r="AG69" i="2" s="1"/>
  <c r="AF73" i="2"/>
  <c r="AG73" i="2" s="1"/>
  <c r="AF77" i="2"/>
  <c r="AG77" i="2" s="1"/>
  <c r="AF90" i="2"/>
  <c r="AG90" i="2" s="1"/>
  <c r="AF94" i="2"/>
  <c r="AG94" i="2" s="1"/>
  <c r="AF98" i="2"/>
  <c r="AG98" i="2" s="1"/>
  <c r="AF102" i="2"/>
  <c r="AG102" i="2" s="1"/>
  <c r="AF106" i="2"/>
  <c r="AG106" i="2" s="1"/>
  <c r="AF110" i="2"/>
  <c r="AG110" i="2" s="1"/>
  <c r="AF14" i="2"/>
  <c r="AG14" i="2" s="1"/>
  <c r="AF18" i="2"/>
  <c r="AG18" i="2" s="1"/>
  <c r="AF22" i="2"/>
  <c r="AG22" i="2" s="1"/>
  <c r="AF26" i="2"/>
  <c r="AG26" i="2" s="1"/>
  <c r="AF30" i="2"/>
  <c r="AG30" i="2" s="1"/>
  <c r="AF34" i="2"/>
  <c r="AG34" i="2" s="1"/>
  <c r="AF42" i="2"/>
  <c r="AF46" i="2"/>
  <c r="AG46" i="2" s="1"/>
  <c r="AF50" i="2"/>
  <c r="AG50" i="2" s="1"/>
  <c r="AF54" i="2"/>
  <c r="AG54" i="2" s="1"/>
  <c r="AF58" i="2"/>
  <c r="AG58" i="2" s="1"/>
  <c r="AF62" i="2"/>
  <c r="AG62" i="2" s="1"/>
  <c r="AF66" i="2"/>
  <c r="AG66" i="2" s="1"/>
  <c r="AF70" i="2"/>
  <c r="AG70" i="2" s="1"/>
  <c r="AF74" i="2"/>
  <c r="AG74" i="2" s="1"/>
  <c r="AF78" i="2"/>
  <c r="AG78" i="2" s="1"/>
  <c r="AF91" i="2"/>
  <c r="AG91" i="2" s="1"/>
  <c r="AF95" i="2"/>
  <c r="AG95" i="2" s="1"/>
  <c r="AF99" i="2"/>
  <c r="AG99" i="2" s="1"/>
  <c r="AF103" i="2"/>
  <c r="AG103" i="2" s="1"/>
  <c r="Q36" i="9"/>
  <c r="T36" i="9"/>
  <c r="Q28" i="9"/>
  <c r="T28" i="9"/>
  <c r="N29" i="9"/>
  <c r="N15" i="9"/>
  <c r="R5" i="9"/>
  <c r="W17" i="9"/>
  <c r="N17" i="9" s="1"/>
  <c r="T30" i="9"/>
  <c r="T18" i="9"/>
  <c r="T16" i="9"/>
  <c r="T12" i="9"/>
  <c r="T8" i="9"/>
  <c r="P36" i="9"/>
  <c r="P28" i="9"/>
  <c r="P37" i="9" s="1"/>
  <c r="P11" i="9"/>
  <c r="P7" i="9"/>
  <c r="P13" i="9" s="1"/>
  <c r="P39" i="9" s="1"/>
  <c r="AG11" i="2" l="1"/>
  <c r="AG37" i="2" s="1"/>
  <c r="AF37" i="2"/>
  <c r="Q13" i="9"/>
  <c r="Q15" i="9"/>
  <c r="T15" i="9"/>
  <c r="Q29" i="9"/>
  <c r="R29" i="9" s="1"/>
  <c r="V29" i="9" s="1"/>
  <c r="T29" i="9"/>
  <c r="R36" i="9"/>
  <c r="V36" i="9" s="1"/>
  <c r="AG89" i="2"/>
  <c r="AG114" i="2" s="1"/>
  <c r="AF114" i="2"/>
  <c r="R28" i="9"/>
  <c r="V28" i="9" s="1"/>
  <c r="AG42" i="2"/>
  <c r="AG79" i="2" s="1"/>
  <c r="AF79" i="2"/>
  <c r="Q17" i="9"/>
  <c r="R17" i="9" s="1"/>
  <c r="V17" i="9" s="1"/>
  <c r="T17" i="9"/>
  <c r="L17" i="9"/>
  <c r="R11" i="9"/>
  <c r="R13" i="9" s="1"/>
  <c r="Q42" i="9" l="1"/>
  <c r="R15" i="9"/>
  <c r="Q37" i="9"/>
  <c r="Q39" i="9"/>
  <c r="AJ2" i="2"/>
  <c r="AJ4" i="2" l="1"/>
  <c r="AL2" i="2"/>
  <c r="R37" i="9"/>
  <c r="V15" i="9"/>
  <c r="R42" i="9"/>
  <c r="Q43" i="9" l="1"/>
  <c r="R39" i="9"/>
  <c r="AM2" i="2"/>
  <c r="AL4" i="2"/>
  <c r="AM4" i="2" s="1"/>
  <c r="R43" i="9" l="1"/>
  <c r="Q44" i="9"/>
  <c r="Q48" i="9" s="1"/>
</calcChain>
</file>

<file path=xl/comments1.xml><?xml version="1.0" encoding="utf-8"?>
<comments xmlns="http://schemas.openxmlformats.org/spreadsheetml/2006/main">
  <authors>
    <author>Ben Thompson</author>
  </authors>
  <commentList>
    <comment ref="E44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</commentList>
</comments>
</file>

<file path=xl/comments2.xml><?xml version="1.0" encoding="utf-8"?>
<comments xmlns="http://schemas.openxmlformats.org/spreadsheetml/2006/main">
  <authors>
    <author>Hammond, Greg (UTC)</author>
    <author>Ben Thompson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Put in Price Out Rates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Need to use current customer counts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Should be 4.33 * Pickup Rate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E44" authorId="1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7" authorId="1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Linked to current tonnage amount on reference page</t>
        </r>
      </text>
    </comment>
  </commentList>
</comments>
</file>

<file path=xl/sharedStrings.xml><?xml version="1.0" encoding="utf-8"?>
<sst xmlns="http://schemas.openxmlformats.org/spreadsheetml/2006/main" count="564" uniqueCount="401">
  <si>
    <t>Vashon Disposal</t>
  </si>
  <si>
    <t>Total</t>
  </si>
  <si>
    <t>Increase</t>
  </si>
  <si>
    <t>Gross Up</t>
  </si>
  <si>
    <t>From LG</t>
  </si>
  <si>
    <t>Plug to Balance</t>
  </si>
  <si>
    <t>Increase %</t>
  </si>
  <si>
    <t>Vashon</t>
  </si>
  <si>
    <t>Per LG</t>
  </si>
  <si>
    <t>Difference</t>
  </si>
  <si>
    <t>Garbage</t>
  </si>
  <si>
    <t>Revenue Price Out by Service Level and Line of Business</t>
  </si>
  <si>
    <t>Number of Months</t>
  </si>
  <si>
    <t>Recycling</t>
  </si>
  <si>
    <t>Oct. 1, 2017 - Sept. 30, 2018</t>
  </si>
  <si>
    <t>Revenue</t>
  </si>
  <si>
    <t>Customer Count</t>
  </si>
  <si>
    <t>Service Code</t>
  </si>
  <si>
    <t>Service Code Description</t>
  </si>
  <si>
    <t>Rates as of 07/25/17</t>
  </si>
  <si>
    <t>Total Revenue</t>
  </si>
  <si>
    <t>Average Monthly Customer Count</t>
  </si>
  <si>
    <t>Annual Customer Count</t>
  </si>
  <si>
    <t>Tariff Increase</t>
  </si>
  <si>
    <t>Annual Increase</t>
  </si>
  <si>
    <t>RESIDENTIAL SERVICES</t>
  </si>
  <si>
    <t>RESIDENTIAL GARBAGE</t>
  </si>
  <si>
    <t>20RW1</t>
  </si>
  <si>
    <t>1-20 GAL CAN WEEKLY</t>
  </si>
  <si>
    <t>20RW1R</t>
  </si>
  <si>
    <t>1-20 GL CART WKLY W/ RECY</t>
  </si>
  <si>
    <t>32RE1</t>
  </si>
  <si>
    <t>1-32 GAL CAN EOW</t>
  </si>
  <si>
    <t>32RM1</t>
  </si>
  <si>
    <t>1-32 GAL CAN MONTHLY</t>
  </si>
  <si>
    <t>32ROCPU</t>
  </si>
  <si>
    <t>1-32 GAL CAN-ON CALL</t>
  </si>
  <si>
    <t>32RW1</t>
  </si>
  <si>
    <t>1-32 GAL CAN WEEKLY</t>
  </si>
  <si>
    <t>32RW2</t>
  </si>
  <si>
    <t>2-32 GAL CANS WEEKLY</t>
  </si>
  <si>
    <t>32RW3</t>
  </si>
  <si>
    <t>3-32 GAL CANS WEEKLY</t>
  </si>
  <si>
    <t>32RW4</t>
  </si>
  <si>
    <t>4-32 GAL CANS WEEKLY</t>
  </si>
  <si>
    <t>35RW1R</t>
  </si>
  <si>
    <t>1-35 GAL CART WKLY W/REC</t>
  </si>
  <si>
    <t>ADJRES</t>
  </si>
  <si>
    <t>SERVICE ADJ-RESIDENTIAL</t>
  </si>
  <si>
    <t>CARRY-RES</t>
  </si>
  <si>
    <t>CARRY OUT -RES</t>
  </si>
  <si>
    <t>DRIVEPRVT-RES</t>
  </si>
  <si>
    <t>DRIVE IN PRIVATE RD - RES</t>
  </si>
  <si>
    <t>DRVNRE1</t>
  </si>
  <si>
    <t>DRIVE IN UP TO 125'-EOW</t>
  </si>
  <si>
    <t>DRVNRW1</t>
  </si>
  <si>
    <t>DRIVE IN UP TO 125'-WKLY</t>
  </si>
  <si>
    <t>DRVNRW2</t>
  </si>
  <si>
    <t>DRIVE IN OVER 125'-WKLY</t>
  </si>
  <si>
    <t>GWCR</t>
  </si>
  <si>
    <t>GOOD WILL CREDIT - RESI</t>
  </si>
  <si>
    <t>OBSR</t>
  </si>
  <si>
    <t>OBSTRUCTION</t>
  </si>
  <si>
    <t>OS</t>
  </si>
  <si>
    <t>OVERSIZE UNIT</t>
  </si>
  <si>
    <t>OSOW</t>
  </si>
  <si>
    <t>OVERSIZE/OVERWEIGHT</t>
  </si>
  <si>
    <t>OW</t>
  </si>
  <si>
    <t>OVERWEIGHT UNIT</t>
  </si>
  <si>
    <t>PACKR</t>
  </si>
  <si>
    <t>CARRY-OUT RESIDENTIAL</t>
  </si>
  <si>
    <t>RESTART FEE</t>
  </si>
  <si>
    <t>REXTRA</t>
  </si>
  <si>
    <t>EXTRA UNITS</t>
  </si>
  <si>
    <t>SUNKENR</t>
  </si>
  <si>
    <t>SUNKEN CAN CHARGE - RESI</t>
  </si>
  <si>
    <t>TRIPRCANS</t>
  </si>
  <si>
    <t>RETURN TRIP CHARGE - CANS</t>
  </si>
  <si>
    <t>TOTAL RESIDENTIAL GARBAGE</t>
  </si>
  <si>
    <t>COMMERCIAL SERVICES</t>
  </si>
  <si>
    <t>COMMERCIAL GARBAGE</t>
  </si>
  <si>
    <t>32CE1</t>
  </si>
  <si>
    <t>32 GAL CAN COMM EOW</t>
  </si>
  <si>
    <t>32CW1</t>
  </si>
  <si>
    <t>32CW2</t>
  </si>
  <si>
    <t>2-32 GAL CANS WKLY</t>
  </si>
  <si>
    <t>32CW3</t>
  </si>
  <si>
    <t>3-32 GAL CANS WKLY</t>
  </si>
  <si>
    <t>32CW4</t>
  </si>
  <si>
    <t>4-32 GAL CANS WKLY</t>
  </si>
  <si>
    <t>2YD CONT 2X WEEKLY</t>
  </si>
  <si>
    <t>2YD CONT 3X WEEKLY</t>
  </si>
  <si>
    <t>PACKC</t>
  </si>
  <si>
    <t>CARRY-OUT COMMERCIAL</t>
  </si>
  <si>
    <t>R1.5YD1W</t>
  </si>
  <si>
    <t>1.5YD CONT 1xWEEKLY</t>
  </si>
  <si>
    <t>R1.5YD2W</t>
  </si>
  <si>
    <t>1.5YD CONT 2xWEEKLY</t>
  </si>
  <si>
    <t>R1.5YD3W</t>
  </si>
  <si>
    <t>1.5YD CONT 3xWEEKLY</t>
  </si>
  <si>
    <t>R1.5YDEOW</t>
  </si>
  <si>
    <t>1.5YD CONT EOW</t>
  </si>
  <si>
    <t>R1.5YDEX</t>
  </si>
  <si>
    <t>1.5YD CONTAINER EXTRA</t>
  </si>
  <si>
    <t>R1.5YDTPU</t>
  </si>
  <si>
    <t>1.5YD TEMP CONTAINER</t>
  </si>
  <si>
    <t>R1YD1W</t>
  </si>
  <si>
    <t>1YD CONT 1xWEEKLY</t>
  </si>
  <si>
    <t>R1YD2W</t>
  </si>
  <si>
    <t>1YD CONT 2xWEEKLY</t>
  </si>
  <si>
    <t>R1YD3W</t>
  </si>
  <si>
    <t>1YD CONT 3xWEEKLY</t>
  </si>
  <si>
    <t>R1YDEOW</t>
  </si>
  <si>
    <t>1YD CONT EOW</t>
  </si>
  <si>
    <t>R1YDEX</t>
  </si>
  <si>
    <t>1YD CONTAINER EXTRA</t>
  </si>
  <si>
    <t>R1YDTPU</t>
  </si>
  <si>
    <t>1YD TEMP CONT</t>
  </si>
  <si>
    <t>R2YD1W</t>
  </si>
  <si>
    <t>2YD CONT 1xWEEKLY</t>
  </si>
  <si>
    <t>R2YD2W</t>
  </si>
  <si>
    <t>2YD CONT 2xWEEKLY</t>
  </si>
  <si>
    <t>R2YD3W</t>
  </si>
  <si>
    <t>2YD CONT 3xWEEKLY</t>
  </si>
  <si>
    <t>R2YD4W</t>
  </si>
  <si>
    <t>2YD CONT 4xWEEKLY</t>
  </si>
  <si>
    <t>R2YD5W</t>
  </si>
  <si>
    <t>2YD CONT 5xWEEKLY</t>
  </si>
  <si>
    <t>R2YDEOW</t>
  </si>
  <si>
    <t>2YD CONT EOW</t>
  </si>
  <si>
    <t>R2YDEX</t>
  </si>
  <si>
    <t>2YD CONTAINER EXTRA</t>
  </si>
  <si>
    <t>R2YDTPU</t>
  </si>
  <si>
    <t>2YD TEMP CONTAINER</t>
  </si>
  <si>
    <t>CDEL</t>
  </si>
  <si>
    <t>CONTAINER DELIVERY CHARGE</t>
  </si>
  <si>
    <t>CEX</t>
  </si>
  <si>
    <t>EXTRA CANS</t>
  </si>
  <si>
    <t>CEXYD</t>
  </si>
  <si>
    <t>CMML EXTRA YARDAGE</t>
  </si>
  <si>
    <t>CLOCK</t>
  </si>
  <si>
    <t>LOCK CHARGE-CONTAINER</t>
  </si>
  <si>
    <t>CROLL</t>
  </si>
  <si>
    <t>ROLLOUT CHARGE - CMML</t>
  </si>
  <si>
    <t>CTDEL</t>
  </si>
  <si>
    <t>TEMP CONTAINER DELIVERY</t>
  </si>
  <si>
    <t>CTRIP</t>
  </si>
  <si>
    <t>RETURN TRIP CHARGE - CONT</t>
  </si>
  <si>
    <t>CUNLOCK</t>
  </si>
  <si>
    <t>COMM UNLOCK GATE OR CONT</t>
  </si>
  <si>
    <t>DRIVEDWAY-COMM</t>
  </si>
  <si>
    <t>DRIVE IN DRIVEWAY - COMM</t>
  </si>
  <si>
    <t>DRIVEPVT-COMM</t>
  </si>
  <si>
    <t>DRIVE IN PRIVATE RD - COMM</t>
  </si>
  <si>
    <t>TOTAL COMMERCIAL GARBAGE</t>
  </si>
  <si>
    <t>SUBTOTAL COMMERCIAL</t>
  </si>
  <si>
    <t>DROP BOX SERVICES</t>
  </si>
  <si>
    <t>DROP BOX HAULS/RENTAL</t>
  </si>
  <si>
    <t>ROHAUL20</t>
  </si>
  <si>
    <t>20YD ROLL OFF-HAUL</t>
  </si>
  <si>
    <t>ROHAUL20A</t>
  </si>
  <si>
    <t>ADDTL 20YD ROLL OFF HAUL</t>
  </si>
  <si>
    <t>ROHAUL20T</t>
  </si>
  <si>
    <t>20YD ROLL OFF TEMP HAUL</t>
  </si>
  <si>
    <t>ROHAUL25</t>
  </si>
  <si>
    <t>25YD ROLL OFF - HAUL</t>
  </si>
  <si>
    <t>ROHAUL25A</t>
  </si>
  <si>
    <t>ADDTL 25YD ROLL OFF HAUL</t>
  </si>
  <si>
    <t>ROHAUL25T</t>
  </si>
  <si>
    <t>25YD ROLL OFF TEMP HAUL</t>
  </si>
  <si>
    <t>ROHAUL30</t>
  </si>
  <si>
    <t>30YD ROLL OFF-HAUL</t>
  </si>
  <si>
    <t>ROHAUL30A</t>
  </si>
  <si>
    <t>ADDTL 30YD ROLL OFF HAUL</t>
  </si>
  <si>
    <t>ROHAUL30T</t>
  </si>
  <si>
    <t>30YD ROLL OFF TEMP HAUL</t>
  </si>
  <si>
    <t>CPHAUL20</t>
  </si>
  <si>
    <t>20YD COMPACTOR-HAUL</t>
  </si>
  <si>
    <t>CPHAUL25</t>
  </si>
  <si>
    <t>25YD COMPACTOR-HAUL</t>
  </si>
  <si>
    <t>CPHAUL30</t>
  </si>
  <si>
    <t>30YD COMPACTOR-HAUL</t>
  </si>
  <si>
    <t>RORENT20D</t>
  </si>
  <si>
    <t>20YD ROLL OFF-DAILY RENT</t>
  </si>
  <si>
    <t>RORENT20T</t>
  </si>
  <si>
    <t>20YD ROLL OFF-TEMP RENT</t>
  </si>
  <si>
    <t>RORENT25D</t>
  </si>
  <si>
    <t>25YD ROLL OFF -DAILY RENT</t>
  </si>
  <si>
    <t>RORENT25T</t>
  </si>
  <si>
    <t>25YD ROLL OFF-TEMP RENT</t>
  </si>
  <si>
    <t>RORENT30D</t>
  </si>
  <si>
    <t>30YD ROLL OFF-DAILY RENT</t>
  </si>
  <si>
    <t>RORENT30T</t>
  </si>
  <si>
    <t>30YD ROLL OFF-TEMP RENT</t>
  </si>
  <si>
    <t>ROTA</t>
  </si>
  <si>
    <t>TANDEM AXLE</t>
  </si>
  <si>
    <t>ROWAIT</t>
  </si>
  <si>
    <t>STANDBY CHARGE</t>
  </si>
  <si>
    <t>RTRIP-RO</t>
  </si>
  <si>
    <t>RETURN TRIP - RO</t>
  </si>
  <si>
    <t>CPCONNECT</t>
  </si>
  <si>
    <t>COMP CONNECT/RECONNECT</t>
  </si>
  <si>
    <t>ROCLEAN</t>
  </si>
  <si>
    <t>ROLLOFF CLEANING</t>
  </si>
  <si>
    <t>RODEL</t>
  </si>
  <si>
    <t>ROLL OFF-DELIVERY</t>
  </si>
  <si>
    <t>TOTAL DROP BOX HAULS/RENTAL</t>
  </si>
  <si>
    <t>PASSTHROUGH DISPOSAL</t>
  </si>
  <si>
    <t>DISP</t>
  </si>
  <si>
    <t>DISPOSAL FEE PER TON</t>
  </si>
  <si>
    <t>TOTAL PASSTHROUGH DISPOSAL</t>
  </si>
  <si>
    <t>STORAGE</t>
  </si>
  <si>
    <t>SURC</t>
  </si>
  <si>
    <t>Check Figure</t>
  </si>
  <si>
    <t>COMMODITY CREDIT</t>
  </si>
  <si>
    <t>RECYCLECR</t>
  </si>
  <si>
    <t>VALUE OF RECYCLABLES</t>
  </si>
  <si>
    <t>MRECYCRCANS</t>
  </si>
  <si>
    <t>MRECYCRCONT</t>
  </si>
  <si>
    <t>TOTAL COMMODITY CREDIT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</si>
  <si>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</si>
  <si>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</si>
  <si>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</si>
  <si>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</si>
  <si>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</si>
  <si>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</si>
  <si>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</si>
  <si>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</si>
  <si>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</si>
  <si>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</si>
  <si>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</si>
  <si>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</si>
  <si>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</si>
  <si>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</si>
  <si>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</si>
  <si>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</si>
  <si>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</si>
  <si>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Note: Temporary container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</si>
  <si>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</si>
  <si>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</si>
  <si>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</si>
  <si>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</si>
  <si>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</si>
  <si>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</si>
  <si>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</si>
  <si>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</si>
  <si>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</si>
  <si>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</si>
  <si>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</si>
  <si>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</si>
  <si>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</si>
  <si>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Annual</t>
  </si>
  <si>
    <t>40 gallon Can</t>
  </si>
  <si>
    <t>*</t>
  </si>
  <si>
    <t>Supercan 60</t>
  </si>
  <si>
    <t>Supercan 90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</si>
  <si>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</si>
  <si>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</si>
  <si>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</si>
  <si>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</si>
  <si>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</si>
  <si>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</si>
  <si>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</si>
  <si>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</si>
  <si>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</si>
  <si>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</si>
  <si>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</si>
  <si>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</si>
  <si>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</si>
  <si>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</si>
  <si>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</si>
  <si>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</si>
  <si>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</si>
  <si>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</si>
  <si>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</si>
  <si>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</si>
  <si>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* not on meeks - calculated</t>
  </si>
  <si>
    <t xml:space="preserve">   weight times compaction ratio</t>
  </si>
  <si>
    <t>Pierce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</si>
  <si>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</si>
  <si>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</si>
  <si>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</si>
  <si>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</si>
  <si>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</si>
  <si>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</si>
  <si>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</si>
  <si>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</si>
  <si>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</si>
  <si>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</si>
  <si>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</si>
  <si>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</si>
  <si>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</si>
  <si>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</si>
  <si>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</si>
  <si>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</si>
  <si>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</si>
  <si>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</si>
  <si>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</si>
  <si>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</si>
  <si>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Annual Customers</t>
  </si>
  <si>
    <t>Monthly Frequency</t>
  </si>
  <si>
    <t>Annual PU's</t>
  </si>
  <si>
    <t>Calculated Annual Pounds</t>
  </si>
  <si>
    <t>Adjusted Annual Pounds</t>
  </si>
  <si>
    <t>Tariff Rate Increase</t>
  </si>
  <si>
    <t>Company Current Tariff</t>
  </si>
  <si>
    <t xml:space="preserve"> Calculated Rate</t>
  </si>
  <si>
    <t>Company Proposed Tariff</t>
  </si>
  <si>
    <t>Company Current Revenue</t>
  </si>
  <si>
    <t>Proposed Revenue</t>
  </si>
  <si>
    <t>Revised Revenue Increase</t>
  </si>
  <si>
    <t>Residential</t>
  </si>
  <si>
    <t>1-32 GAL EOW</t>
  </si>
  <si>
    <t>Total Residential</t>
  </si>
  <si>
    <t>Commercial</t>
  </si>
  <si>
    <t>COMMERICAL EXTRA CAN</t>
  </si>
  <si>
    <t>COMMERICAL EXTRA YARD</t>
  </si>
  <si>
    <t>1-32 GAL CAN WEEKLY  MINIMUM</t>
  </si>
  <si>
    <t>1YD CONT 1X WEEKLY (FMC)</t>
  </si>
  <si>
    <t>1.5YD CONT 1X WEEKLY  (FMC)</t>
  </si>
  <si>
    <t>1.5YD CONT 2X WEEKLY</t>
  </si>
  <si>
    <t>2YD CONT 1X WEEKLY (FMC)</t>
  </si>
  <si>
    <t>2YD CONT 4X WEEKLY</t>
  </si>
  <si>
    <t>1YD CONT 1xWEEKLY Temp</t>
  </si>
  <si>
    <t>2YD CONT 1xWEEKLY Temp</t>
  </si>
  <si>
    <t>1YD EXTRA</t>
  </si>
  <si>
    <t>1.5YD EXTRA</t>
  </si>
  <si>
    <t>2YD EXTRA</t>
  </si>
  <si>
    <t>Total Commercial</t>
  </si>
  <si>
    <t>Total Company</t>
  </si>
  <si>
    <t>No Current Customers</t>
  </si>
  <si>
    <t>Bulky</t>
  </si>
  <si>
    <t>2YD COMP 1X WEEK 3:1</t>
  </si>
  <si>
    <t>Roll-off</t>
  </si>
  <si>
    <t>2YD COMP 1X WEEK 5:1</t>
  </si>
  <si>
    <t>Adjustment Factor Calculation</t>
  </si>
  <si>
    <t>Total Tonnage</t>
  </si>
  <si>
    <t>Total Pounds</t>
  </si>
  <si>
    <t>Total Pick Ups</t>
  </si>
  <si>
    <t>Adjustment factor</t>
  </si>
  <si>
    <t>American Disposal Co., Inc. G-87</t>
  </si>
  <si>
    <t>dba Vashon Disposal</t>
  </si>
  <si>
    <t>Current Tariff Rate</t>
  </si>
  <si>
    <t>Proposed Increase</t>
  </si>
  <si>
    <t>Item 55, Pg 16</t>
  </si>
  <si>
    <t>Over size</t>
  </si>
  <si>
    <t>WG-R</t>
  </si>
  <si>
    <t>Item 100, pg 21</t>
  </si>
  <si>
    <t>One can</t>
  </si>
  <si>
    <t>MG</t>
  </si>
  <si>
    <t>EOWG</t>
  </si>
  <si>
    <t xml:space="preserve">Mini can </t>
  </si>
  <si>
    <t>Two cans</t>
  </si>
  <si>
    <t>Three cans</t>
  </si>
  <si>
    <t>Four cans</t>
  </si>
  <si>
    <t>Item 100, pg 22</t>
  </si>
  <si>
    <t>Each</t>
  </si>
  <si>
    <t>On Call</t>
  </si>
  <si>
    <t>no revenue</t>
  </si>
  <si>
    <t>Item 150, pg 28</t>
  </si>
  <si>
    <t>Loose material</t>
  </si>
  <si>
    <t>Additional</t>
  </si>
  <si>
    <t>Minimum</t>
  </si>
  <si>
    <t>Item 207, pg 32</t>
  </si>
  <si>
    <t>Overfilled</t>
  </si>
  <si>
    <t>Item 230, pg 34</t>
  </si>
  <si>
    <t>Ton</t>
  </si>
  <si>
    <t>Item 240, pg 35</t>
  </si>
  <si>
    <t>First/Additional</t>
  </si>
  <si>
    <t>1 yard</t>
  </si>
  <si>
    <t>1.5 yard</t>
  </si>
  <si>
    <t>2 yard</t>
  </si>
  <si>
    <t>M</t>
  </si>
  <si>
    <t>Temporary Service</t>
  </si>
  <si>
    <t>Item 245, pg 36</t>
  </si>
  <si>
    <t>1 32 gal can (grouped)</t>
  </si>
  <si>
    <t>Special pickups, p/can</t>
  </si>
  <si>
    <t>Monthly minimum</t>
  </si>
  <si>
    <t>Occasional extra</t>
  </si>
  <si>
    <t>Item 255, pg 38  3:1 compaction</t>
  </si>
  <si>
    <t>Item 255, pg 38  5:1 compaction</t>
  </si>
  <si>
    <t>Bulky/Loose Minimum</t>
  </si>
  <si>
    <t>Bulky/Loose Additional</t>
  </si>
  <si>
    <t>Excess Weight</t>
  </si>
  <si>
    <t>32 GAL SPECIAL PICKUP</t>
  </si>
  <si>
    <t>Note: Customer count and disposal/weight related figures were audited and presented as part of TG-180955 and are used in this filing per WUTC request.</t>
  </si>
  <si>
    <t>Staff Calculated Rate</t>
  </si>
  <si>
    <t>Staff Proposed Revenue</t>
  </si>
  <si>
    <t>na</t>
  </si>
  <si>
    <t>1YD CONT EOW  (Minimum)</t>
  </si>
  <si>
    <t>Oversize</t>
  </si>
  <si>
    <t>Commerical</t>
  </si>
  <si>
    <t>New 1/1/2022 Rate</t>
  </si>
  <si>
    <t>DF Effective 1/1/2022</t>
  </si>
  <si>
    <t>Resi</t>
  </si>
  <si>
    <t>Comm</t>
  </si>
  <si>
    <t>RO</t>
  </si>
  <si>
    <t>2021 Customer counts:</t>
  </si>
  <si>
    <t>RO Tons - 2020 Annual Report</t>
  </si>
  <si>
    <t>Increase per Ton</t>
  </si>
  <si>
    <t>RO Increase for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</si>
</sst>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.000_);_(&quot;$&quot;* \(#,##0.000\);_(&quot;$&quot;* &quot;-&quot;??_);_(@_)"/>
    <numFmt numFmtId="167" formatCode="_(* #,##0.000000_);_(* \(#,##0.000000\);_(* &quot;-&quot;??_);_(@_)"/>
    <numFmt numFmtId="168" formatCode="_(&quot;$&quot;* #,##0.000000_);_(&quot;$&quot;* \(#,##0.000000\);_(&quot;$&quot;* &quot;-&quot;??_);_(@_)"/>
    <numFmt numFmtId="169" formatCode="0.0000%"/>
    <numFmt numFmtId="170" formatCode="0.000000"/>
    <numFmt numFmtId="171" formatCode="_(&quot;$&quot;* #,##0_);_(&quot;$&quot;* \(#,##0\);_(&quot;$&quot;* &quot;-&quot;??_);_(@_)"/>
    <numFmt numFmtId="172" formatCode="#,##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  <scheme val="minor"/>
    </font>
    <font>
      <b/>
      <sz val="11"/>
      <color indexed="50"/>
      <name val="Calibri"/>
      <family val="2"/>
      <scheme val="minor"/>
    </font>
    <font>
      <sz val="11"/>
      <color indexed="8"/>
      <name val="Arial"/>
      <family val="2"/>
    </font>
    <font>
      <sz val="11"/>
      <color theme="3" tint="0.399975585192419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8" fillId="0" borderId="0" xfId="5" applyFont="1" applyFill="1"/>
    <xf numFmtId="0" fontId="8" fillId="0" borderId="0" xfId="5" applyFont="1"/>
    <xf numFmtId="0" fontId="9" fillId="2" borderId="2" xfId="5" applyFont="1" applyFill="1" applyBorder="1" applyAlignment="1">
      <alignment horizontal="center"/>
    </xf>
    <xf numFmtId="0" fontId="10" fillId="2" borderId="2" xfId="5" applyFont="1" applyFill="1" applyBorder="1" applyAlignment="1">
      <alignment horizontal="center"/>
    </xf>
    <xf numFmtId="0" fontId="9" fillId="0" borderId="0" xfId="5" applyFont="1" applyFill="1"/>
    <xf numFmtId="0" fontId="9" fillId="0" borderId="0" xfId="5" applyFont="1" applyAlignment="1">
      <alignment horizontal="right"/>
    </xf>
    <xf numFmtId="10" fontId="8" fillId="0" borderId="0" xfId="2" applyNumberFormat="1" applyFont="1"/>
    <xf numFmtId="10" fontId="8" fillId="3" borderId="0" xfId="2" applyNumberFormat="1" applyFont="1" applyFill="1"/>
    <xf numFmtId="10" fontId="8" fillId="0" borderId="0" xfId="5" applyNumberFormat="1" applyFont="1"/>
    <xf numFmtId="164" fontId="8" fillId="0" borderId="0" xfId="5" applyNumberFormat="1" applyFont="1"/>
    <xf numFmtId="41" fontId="8" fillId="0" borderId="0" xfId="5" applyNumberFormat="1" applyFont="1"/>
    <xf numFmtId="44" fontId="8" fillId="0" borderId="0" xfId="5" applyNumberFormat="1" applyFont="1" applyFill="1"/>
    <xf numFmtId="0" fontId="2" fillId="0" borderId="0" xfId="5" applyFont="1" applyAlignment="1">
      <alignment horizontal="right"/>
    </xf>
    <xf numFmtId="0" fontId="8" fillId="4" borderId="0" xfId="5" applyFont="1" applyFill="1" applyAlignment="1">
      <alignment horizontal="center"/>
    </xf>
    <xf numFmtId="0" fontId="8" fillId="0" borderId="0" xfId="5" applyFont="1" applyFill="1" applyAlignment="1">
      <alignment horizontal="center"/>
    </xf>
    <xf numFmtId="165" fontId="8" fillId="0" borderId="0" xfId="2" applyNumberFormat="1" applyFont="1"/>
    <xf numFmtId="9" fontId="8" fillId="0" borderId="0" xfId="5" applyNumberFormat="1" applyFont="1"/>
    <xf numFmtId="164" fontId="8" fillId="0" borderId="1" xfId="5" applyNumberFormat="1" applyFont="1" applyBorder="1"/>
    <xf numFmtId="0" fontId="9" fillId="0" borderId="0" xfId="5" applyFont="1" applyFill="1" applyAlignment="1">
      <alignment horizontal="center" wrapText="1"/>
    </xf>
    <xf numFmtId="0" fontId="8" fillId="0" borderId="0" xfId="5" applyFont="1" applyFill="1" applyAlignment="1"/>
    <xf numFmtId="0" fontId="1" fillId="2" borderId="0" xfId="5" applyFont="1" applyFill="1"/>
    <xf numFmtId="0" fontId="1" fillId="3" borderId="0" xfId="5" applyFont="1" applyFill="1"/>
    <xf numFmtId="9" fontId="8" fillId="0" borderId="0" xfId="2" applyFont="1"/>
    <xf numFmtId="0" fontId="9" fillId="0" borderId="0" xfId="5" applyFont="1" applyFill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9" fillId="2" borderId="2" xfId="5" applyNumberFormat="1" applyFont="1" applyFill="1" applyBorder="1" applyAlignment="1">
      <alignment horizontal="center" vertical="center" wrapText="1"/>
    </xf>
    <xf numFmtId="17" fontId="9" fillId="3" borderId="0" xfId="5" applyNumberFormat="1" applyFont="1" applyFill="1" applyBorder="1" applyAlignment="1">
      <alignment horizontal="center" vertical="center" wrapText="1"/>
    </xf>
    <xf numFmtId="0" fontId="8" fillId="2" borderId="0" xfId="5" applyFont="1" applyFill="1"/>
    <xf numFmtId="0" fontId="8" fillId="3" borderId="0" xfId="5" applyFont="1" applyFill="1"/>
    <xf numFmtId="0" fontId="12" fillId="0" borderId="0" xfId="5" applyFont="1" applyFill="1" applyAlignment="1">
      <alignment horizontal="left"/>
    </xf>
    <xf numFmtId="0" fontId="12" fillId="0" borderId="0" xfId="5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0" fontId="13" fillId="2" borderId="0" xfId="5" applyFont="1" applyFill="1" applyAlignment="1">
      <alignment horizontal="center"/>
    </xf>
    <xf numFmtId="0" fontId="13" fillId="3" borderId="0" xfId="5" applyFont="1" applyFill="1" applyAlignment="1">
      <alignment horizontal="center"/>
    </xf>
    <xf numFmtId="0" fontId="9" fillId="0" borderId="0" xfId="5" applyFont="1" applyFill="1" applyAlignment="1">
      <alignment horizontal="left"/>
    </xf>
    <xf numFmtId="0" fontId="8" fillId="0" borderId="0" xfId="5" applyFont="1" applyFill="1" applyBorder="1"/>
    <xf numFmtId="43" fontId="8" fillId="0" borderId="0" xfId="6" applyFont="1" applyFill="1"/>
    <xf numFmtId="164" fontId="8" fillId="0" borderId="0" xfId="6" applyNumberFormat="1" applyFont="1" applyFill="1"/>
    <xf numFmtId="164" fontId="8" fillId="2" borderId="0" xfId="6" applyNumberFormat="1" applyFont="1" applyFill="1"/>
    <xf numFmtId="164" fontId="8" fillId="0" borderId="0" xfId="6" applyNumberFormat="1" applyFont="1"/>
    <xf numFmtId="164" fontId="8" fillId="3" borderId="0" xfId="6" applyNumberFormat="1" applyFont="1" applyFill="1"/>
    <xf numFmtId="44" fontId="8" fillId="2" borderId="0" xfId="1" applyFont="1" applyFill="1"/>
    <xf numFmtId="43" fontId="8" fillId="0" borderId="0" xfId="5" applyNumberFormat="1" applyFont="1"/>
    <xf numFmtId="0" fontId="9" fillId="0" borderId="0" xfId="5" applyFont="1" applyFill="1" applyBorder="1" applyAlignment="1">
      <alignment horizontal="right"/>
    </xf>
    <xf numFmtId="164" fontId="8" fillId="0" borderId="3" xfId="6" applyNumberFormat="1" applyFont="1" applyFill="1" applyBorder="1"/>
    <xf numFmtId="164" fontId="8" fillId="0" borderId="0" xfId="6" applyNumberFormat="1" applyFont="1" applyFill="1" applyBorder="1"/>
    <xf numFmtId="0" fontId="9" fillId="0" borderId="0" xfId="5" applyFont="1" applyFill="1" applyBorder="1"/>
    <xf numFmtId="164" fontId="9" fillId="0" borderId="0" xfId="6" applyNumberFormat="1" applyFont="1" applyFill="1"/>
    <xf numFmtId="0" fontId="1" fillId="0" borderId="0" xfId="5" applyFont="1" applyFill="1" applyAlignment="1">
      <alignment horizontal="left" indent="1"/>
    </xf>
    <xf numFmtId="44" fontId="8" fillId="0" borderId="3" xfId="1" applyFont="1" applyFill="1" applyBorder="1"/>
    <xf numFmtId="0" fontId="9" fillId="0" borderId="0" xfId="5" applyFont="1"/>
    <xf numFmtId="164" fontId="9" fillId="0" borderId="0" xfId="6" applyNumberFormat="1" applyFont="1"/>
    <xf numFmtId="164" fontId="8" fillId="0" borderId="0" xfId="5" applyNumberFormat="1" applyFont="1" applyFill="1"/>
    <xf numFmtId="164" fontId="9" fillId="0" borderId="0" xfId="5" applyNumberFormat="1" applyFont="1" applyFill="1" applyAlignment="1">
      <alignment horizontal="right"/>
    </xf>
    <xf numFmtId="164" fontId="7" fillId="0" borderId="0" xfId="5" applyNumberFormat="1"/>
    <xf numFmtId="0" fontId="8" fillId="0" borderId="0" xfId="6" applyNumberFormat="1" applyFont="1" applyFill="1" applyAlignment="1">
      <alignment horizontal="right"/>
    </xf>
    <xf numFmtId="164" fontId="8" fillId="0" borderId="0" xfId="5" applyNumberFormat="1" applyFont="1" applyFill="1" applyAlignment="1">
      <alignment horizontal="right"/>
    </xf>
    <xf numFmtId="0" fontId="8" fillId="0" borderId="0" xfId="5" applyFont="1" applyFill="1" applyAlignment="1">
      <alignment horizontal="right"/>
    </xf>
    <xf numFmtId="164" fontId="8" fillId="0" borderId="1" xfId="5" applyNumberFormat="1" applyFont="1" applyFill="1" applyBorder="1" applyAlignment="1">
      <alignment horizontal="right"/>
    </xf>
    <xf numFmtId="0" fontId="1" fillId="0" borderId="0" xfId="7" applyFont="1"/>
    <xf numFmtId="0" fontId="1" fillId="0" borderId="4" xfId="7" applyFont="1" applyBorder="1" applyAlignment="1">
      <alignment horizontal="center"/>
    </xf>
    <xf numFmtId="0" fontId="1" fillId="0" borderId="4" xfId="7" applyFont="1" applyFill="1" applyBorder="1" applyAlignment="1">
      <alignment horizontal="center"/>
    </xf>
    <xf numFmtId="43" fontId="6" fillId="0" borderId="0" xfId="8" applyFont="1"/>
    <xf numFmtId="43" fontId="1" fillId="0" borderId="0" xfId="7" applyNumberFormat="1" applyFont="1" applyBorder="1" applyAlignment="1">
      <alignment horizontal="center"/>
    </xf>
    <xf numFmtId="43" fontId="1" fillId="0" borderId="0" xfId="7" applyNumberFormat="1" applyFont="1"/>
    <xf numFmtId="43" fontId="6" fillId="0" borderId="0" xfId="8" applyNumberFormat="1" applyFont="1"/>
    <xf numFmtId="0" fontId="3" fillId="0" borderId="0" xfId="7" applyFont="1"/>
    <xf numFmtId="43" fontId="6" fillId="0" borderId="0" xfId="8" applyFont="1" applyAlignment="1">
      <alignment horizontal="center"/>
    </xf>
    <xf numFmtId="44" fontId="1" fillId="0" borderId="0" xfId="9" applyFont="1"/>
    <xf numFmtId="0" fontId="1" fillId="0" borderId="0" xfId="7" applyFont="1" applyAlignment="1">
      <alignment horizontal="left" indent="1"/>
    </xf>
    <xf numFmtId="164" fontId="6" fillId="0" borderId="0" xfId="8" applyNumberFormat="1" applyFont="1"/>
    <xf numFmtId="0" fontId="6" fillId="0" borderId="0" xfId="7" applyFont="1" applyFill="1"/>
    <xf numFmtId="0" fontId="2" fillId="0" borderId="0" xfId="7" applyFont="1" applyFill="1"/>
    <xf numFmtId="0" fontId="2" fillId="0" borderId="0" xfId="7" applyFont="1" applyFill="1" applyAlignment="1">
      <alignment horizontal="center"/>
    </xf>
    <xf numFmtId="43" fontId="3" fillId="0" borderId="0" xfId="7" applyNumberFormat="1" applyFont="1"/>
    <xf numFmtId="0" fontId="3" fillId="0" borderId="0" xfId="7" applyFont="1" applyAlignment="1">
      <alignment horizontal="left" indent="1"/>
    </xf>
    <xf numFmtId="41" fontId="6" fillId="0" borderId="0" xfId="8" applyNumberFormat="1" applyFont="1"/>
    <xf numFmtId="0" fontId="3" fillId="5" borderId="4" xfId="7" applyFont="1" applyFill="1" applyBorder="1"/>
    <xf numFmtId="0" fontId="1" fillId="5" borderId="4" xfId="7" applyFont="1" applyFill="1" applyBorder="1" applyAlignment="1">
      <alignment horizontal="center"/>
    </xf>
    <xf numFmtId="0" fontId="1" fillId="0" borderId="0" xfId="7" applyFont="1" applyAlignment="1">
      <alignment horizontal="left"/>
    </xf>
    <xf numFmtId="166" fontId="6" fillId="0" borderId="0" xfId="10" applyNumberFormat="1" applyFont="1" applyFill="1"/>
    <xf numFmtId="167" fontId="6" fillId="0" borderId="0" xfId="8" applyNumberFormat="1" applyFont="1"/>
    <xf numFmtId="167" fontId="6" fillId="0" borderId="0" xfId="8" applyNumberFormat="1" applyFont="1" applyBorder="1"/>
    <xf numFmtId="44" fontId="6" fillId="0" borderId="1" xfId="10" applyFont="1" applyFill="1" applyBorder="1"/>
    <xf numFmtId="168" fontId="6" fillId="0" borderId="1" xfId="10" applyNumberFormat="1" applyFont="1" applyFill="1" applyBorder="1"/>
    <xf numFmtId="10" fontId="1" fillId="0" borderId="0" xfId="7" applyNumberFormat="1" applyFont="1"/>
    <xf numFmtId="167" fontId="6" fillId="0" borderId="4" xfId="8" applyNumberFormat="1" applyFont="1" applyBorder="1"/>
    <xf numFmtId="168" fontId="1" fillId="0" borderId="0" xfId="7" applyNumberFormat="1" applyFont="1"/>
    <xf numFmtId="169" fontId="1" fillId="0" borderId="0" xfId="7" applyNumberFormat="1" applyFont="1"/>
    <xf numFmtId="167" fontId="1" fillId="0" borderId="0" xfId="7" applyNumberFormat="1" applyFont="1"/>
    <xf numFmtId="44" fontId="1" fillId="0" borderId="0" xfId="7" applyNumberFormat="1" applyFont="1"/>
    <xf numFmtId="170" fontId="1" fillId="0" borderId="0" xfId="7" applyNumberFormat="1" applyFont="1"/>
    <xf numFmtId="164" fontId="6" fillId="0" borderId="4" xfId="8" applyNumberFormat="1" applyFont="1" applyFill="1" applyBorder="1"/>
    <xf numFmtId="42" fontId="3" fillId="0" borderId="0" xfId="7" applyNumberFormat="1" applyFont="1"/>
    <xf numFmtId="3" fontId="1" fillId="0" borderId="0" xfId="7" applyNumberFormat="1" applyFont="1"/>
    <xf numFmtId="37" fontId="1" fillId="0" borderId="0" xfId="7" applyNumberFormat="1" applyFont="1"/>
    <xf numFmtId="0" fontId="3" fillId="0" borderId="5" xfId="7" applyFont="1" applyBorder="1"/>
    <xf numFmtId="0" fontId="3" fillId="0" borderId="6" xfId="7" applyFont="1" applyBorder="1"/>
    <xf numFmtId="0" fontId="1" fillId="5" borderId="7" xfId="7" applyFont="1" applyFill="1" applyBorder="1" applyAlignment="1">
      <alignment horizontal="center"/>
    </xf>
    <xf numFmtId="41" fontId="1" fillId="0" borderId="0" xfId="7" applyNumberFormat="1" applyFont="1"/>
    <xf numFmtId="0" fontId="1" fillId="0" borderId="8" xfId="7" applyFont="1" applyBorder="1"/>
    <xf numFmtId="0" fontId="1" fillId="0" borderId="0" xfId="7" applyFont="1" applyBorder="1"/>
    <xf numFmtId="42" fontId="6" fillId="0" borderId="9" xfId="10" applyNumberFormat="1" applyFont="1" applyBorder="1"/>
    <xf numFmtId="0" fontId="1" fillId="0" borderId="9" xfId="7" applyFont="1" applyBorder="1"/>
    <xf numFmtId="0" fontId="3" fillId="0" borderId="10" xfId="7" applyFont="1" applyBorder="1"/>
    <xf numFmtId="0" fontId="3" fillId="0" borderId="11" xfId="7" applyFont="1" applyBorder="1"/>
    <xf numFmtId="10" fontId="1" fillId="5" borderId="12" xfId="7" applyNumberFormat="1" applyFont="1" applyFill="1" applyBorder="1" applyAlignment="1">
      <alignment horizontal="right"/>
    </xf>
    <xf numFmtId="0" fontId="3" fillId="5" borderId="4" xfId="11" applyFont="1" applyFill="1" applyBorder="1"/>
    <xf numFmtId="0" fontId="3" fillId="5" borderId="4" xfId="11" applyFont="1" applyFill="1" applyBorder="1" applyAlignment="1">
      <alignment horizontal="center" wrapText="1"/>
    </xf>
    <xf numFmtId="0" fontId="3" fillId="0" borderId="4" xfId="11" applyFont="1" applyFill="1" applyBorder="1" applyAlignment="1">
      <alignment horizontal="center" wrapText="1"/>
    </xf>
    <xf numFmtId="0" fontId="3" fillId="0" borderId="0" xfId="11" applyFont="1" applyFill="1" applyBorder="1" applyAlignment="1">
      <alignment horizontal="center" wrapText="1"/>
    </xf>
    <xf numFmtId="0" fontId="1" fillId="0" borderId="0" xfId="11" applyFont="1" applyFill="1" applyBorder="1"/>
    <xf numFmtId="3" fontId="3" fillId="0" borderId="0" xfId="11" applyNumberFormat="1" applyFont="1" applyFill="1" applyBorder="1" applyAlignment="1">
      <alignment horizontal="center" wrapText="1"/>
    </xf>
    <xf numFmtId="0" fontId="1" fillId="0" borderId="0" xfId="11" applyFont="1" applyBorder="1"/>
    <xf numFmtId="4" fontId="1" fillId="0" borderId="0" xfId="11" applyNumberFormat="1" applyFont="1" applyFill="1" applyBorder="1"/>
    <xf numFmtId="0" fontId="1" fillId="0" borderId="0" xfId="11" applyFont="1" applyFill="1" applyBorder="1" applyAlignment="1">
      <alignment horizontal="center" vertical="center"/>
    </xf>
    <xf numFmtId="0" fontId="6" fillId="0" borderId="0" xfId="12" applyFont="1" applyBorder="1"/>
    <xf numFmtId="3" fontId="1" fillId="0" borderId="0" xfId="11" applyNumberFormat="1" applyFont="1" applyBorder="1"/>
    <xf numFmtId="43" fontId="6" fillId="0" borderId="0" xfId="13" applyNumberFormat="1" applyFont="1" applyFill="1" applyBorder="1"/>
    <xf numFmtId="164" fontId="6" fillId="0" borderId="0" xfId="13" applyNumberFormat="1" applyFont="1" applyFill="1" applyBorder="1"/>
    <xf numFmtId="164" fontId="6" fillId="0" borderId="0" xfId="13" applyNumberFormat="1" applyFont="1" applyFill="1" applyBorder="1" applyAlignment="1">
      <alignment horizontal="center" wrapText="1"/>
    </xf>
    <xf numFmtId="44" fontId="6" fillId="0" borderId="0" xfId="14" applyFont="1" applyFill="1" applyBorder="1"/>
    <xf numFmtId="44" fontId="6" fillId="0" borderId="0" xfId="14" applyFont="1" applyBorder="1"/>
    <xf numFmtId="44" fontId="6" fillId="0" borderId="0" xfId="14" applyNumberFormat="1" applyFont="1" applyFill="1" applyBorder="1"/>
    <xf numFmtId="44" fontId="6" fillId="2" borderId="0" xfId="14" applyFont="1" applyFill="1" applyBorder="1"/>
    <xf numFmtId="4" fontId="6" fillId="2" borderId="0" xfId="14" applyNumberFormat="1" applyFont="1" applyFill="1" applyBorder="1"/>
    <xf numFmtId="3" fontId="1" fillId="0" borderId="0" xfId="11" applyNumberFormat="1" applyFont="1" applyFill="1" applyBorder="1"/>
    <xf numFmtId="2" fontId="1" fillId="0" borderId="0" xfId="11" applyNumberFormat="1" applyFont="1" applyFill="1" applyBorder="1"/>
    <xf numFmtId="0" fontId="1" fillId="5" borderId="3" xfId="11" applyFont="1" applyFill="1" applyBorder="1" applyAlignment="1">
      <alignment horizontal="center" vertical="center"/>
    </xf>
    <xf numFmtId="0" fontId="5" fillId="5" borderId="3" xfId="15" applyFont="1" applyFill="1" applyBorder="1" applyAlignment="1">
      <alignment horizontal="left"/>
    </xf>
    <xf numFmtId="3" fontId="3" fillId="5" borderId="3" xfId="11" applyNumberFormat="1" applyFont="1" applyFill="1" applyBorder="1" applyAlignment="1">
      <alignment horizontal="right"/>
    </xf>
    <xf numFmtId="43" fontId="6" fillId="5" borderId="3" xfId="13" applyFont="1" applyFill="1" applyBorder="1"/>
    <xf numFmtId="43" fontId="1" fillId="5" borderId="3" xfId="11" applyNumberFormat="1" applyFont="1" applyFill="1" applyBorder="1"/>
    <xf numFmtId="44" fontId="3" fillId="5" borderId="3" xfId="14" applyFont="1" applyFill="1" applyBorder="1"/>
    <xf numFmtId="44" fontId="6" fillId="5" borderId="3" xfId="14" applyFont="1" applyFill="1" applyBorder="1"/>
    <xf numFmtId="4" fontId="3" fillId="0" borderId="0" xfId="11" applyNumberFormat="1" applyFont="1" applyFill="1" applyBorder="1"/>
    <xf numFmtId="3" fontId="3" fillId="0" borderId="0" xfId="11" applyNumberFormat="1" applyFont="1" applyFill="1" applyBorder="1"/>
    <xf numFmtId="10" fontId="1" fillId="0" borderId="0" xfId="11" applyNumberFormat="1" applyFont="1" applyFill="1" applyBorder="1"/>
    <xf numFmtId="0" fontId="5" fillId="0" borderId="0" xfId="15" applyFont="1" applyFill="1" applyBorder="1" applyAlignment="1">
      <alignment horizontal="left"/>
    </xf>
    <xf numFmtId="3" fontId="3" fillId="0" borderId="0" xfId="11" applyNumberFormat="1" applyFont="1" applyFill="1" applyBorder="1" applyAlignment="1">
      <alignment horizontal="right"/>
    </xf>
    <xf numFmtId="43" fontId="6" fillId="0" borderId="0" xfId="13" applyFont="1" applyFill="1" applyBorder="1"/>
    <xf numFmtId="164" fontId="3" fillId="0" borderId="0" xfId="11" applyNumberFormat="1" applyFont="1" applyFill="1" applyBorder="1"/>
    <xf numFmtId="43" fontId="1" fillId="0" borderId="0" xfId="11" applyNumberFormat="1" applyFont="1" applyFill="1" applyBorder="1"/>
    <xf numFmtId="164" fontId="3" fillId="0" borderId="0" xfId="13" applyNumberFormat="1" applyFont="1" applyFill="1" applyBorder="1"/>
    <xf numFmtId="44" fontId="3" fillId="0" borderId="0" xfId="14" applyFont="1" applyFill="1" applyBorder="1"/>
    <xf numFmtId="4" fontId="3" fillId="0" borderId="0" xfId="14" applyNumberFormat="1" applyFont="1" applyFill="1" applyBorder="1"/>
    <xf numFmtId="3" fontId="3" fillId="0" borderId="0" xfId="11" applyNumberFormat="1" applyFont="1" applyFill="1" applyBorder="1" applyAlignment="1">
      <alignment horizontal="center"/>
    </xf>
    <xf numFmtId="0" fontId="6" fillId="0" borderId="0" xfId="12" applyFont="1" applyFill="1" applyBorder="1"/>
    <xf numFmtId="3" fontId="6" fillId="0" borderId="0" xfId="13" applyNumberFormat="1" applyFont="1" applyBorder="1"/>
    <xf numFmtId="3" fontId="6" fillId="0" borderId="0" xfId="13" applyNumberFormat="1" applyFont="1" applyFill="1" applyBorder="1"/>
    <xf numFmtId="0" fontId="1" fillId="5" borderId="3" xfId="11" applyFont="1" applyFill="1" applyBorder="1"/>
    <xf numFmtId="0" fontId="1" fillId="5" borderId="3" xfId="11" applyFont="1" applyFill="1" applyBorder="1" applyAlignment="1">
      <alignment horizontal="center"/>
    </xf>
    <xf numFmtId="3" fontId="3" fillId="5" borderId="3" xfId="13" applyNumberFormat="1" applyFont="1" applyFill="1" applyBorder="1" applyAlignment="1">
      <alignment horizontal="right"/>
    </xf>
    <xf numFmtId="164" fontId="3" fillId="5" borderId="3" xfId="13" applyNumberFormat="1" applyFont="1" applyFill="1" applyBorder="1" applyAlignment="1">
      <alignment horizontal="right"/>
    </xf>
    <xf numFmtId="0" fontId="1" fillId="0" borderId="0" xfId="11" applyFont="1" applyBorder="1" applyAlignment="1">
      <alignment horizontal="center"/>
    </xf>
    <xf numFmtId="3" fontId="1" fillId="0" borderId="0" xfId="11" applyNumberFormat="1" applyFont="1" applyBorder="1" applyAlignment="1">
      <alignment horizontal="right"/>
    </xf>
    <xf numFmtId="164" fontId="6" fillId="0" borderId="0" xfId="13" applyNumberFormat="1" applyFont="1" applyBorder="1"/>
    <xf numFmtId="44" fontId="6" fillId="0" borderId="0" xfId="13" applyNumberFormat="1" applyFont="1" applyFill="1" applyBorder="1"/>
    <xf numFmtId="44" fontId="1" fillId="0" borderId="0" xfId="11" applyNumberFormat="1" applyFont="1" applyBorder="1"/>
    <xf numFmtId="172" fontId="1" fillId="0" borderId="0" xfId="11" applyNumberFormat="1" applyFont="1" applyFill="1" applyBorder="1"/>
    <xf numFmtId="0" fontId="3" fillId="0" borderId="0" xfId="11" applyFont="1" applyBorder="1"/>
    <xf numFmtId="164" fontId="3" fillId="0" borderId="0" xfId="11" applyNumberFormat="1" applyFont="1" applyBorder="1"/>
    <xf numFmtId="0" fontId="1" fillId="6" borderId="0" xfId="11" applyFont="1" applyFill="1" applyBorder="1"/>
    <xf numFmtId="0" fontId="1" fillId="6" borderId="0" xfId="11" applyFont="1" applyFill="1" applyBorder="1" applyAlignment="1">
      <alignment horizontal="center"/>
    </xf>
    <xf numFmtId="0" fontId="3" fillId="6" borderId="0" xfId="11" applyFont="1" applyFill="1" applyBorder="1"/>
    <xf numFmtId="3" fontId="1" fillId="6" borderId="0" xfId="11" applyNumberFormat="1" applyFont="1" applyFill="1" applyBorder="1" applyAlignment="1">
      <alignment horizontal="right"/>
    </xf>
    <xf numFmtId="164" fontId="6" fillId="6" borderId="0" xfId="13" applyNumberFormat="1" applyFont="1" applyFill="1" applyBorder="1"/>
    <xf numFmtId="44" fontId="6" fillId="6" borderId="0" xfId="13" applyNumberFormat="1" applyFont="1" applyFill="1" applyBorder="1"/>
    <xf numFmtId="0" fontId="1" fillId="0" borderId="0" xfId="11" applyFont="1" applyFill="1" applyBorder="1" applyAlignment="1">
      <alignment horizontal="right"/>
    </xf>
    <xf numFmtId="4" fontId="1" fillId="0" borderId="0" xfId="11" applyNumberFormat="1" applyFont="1" applyFill="1" applyBorder="1" applyAlignment="1">
      <alignment horizontal="right"/>
    </xf>
    <xf numFmtId="44" fontId="6" fillId="0" borderId="0" xfId="14" applyFont="1" applyFill="1" applyBorder="1" applyAlignment="1">
      <alignment horizontal="right"/>
    </xf>
    <xf numFmtId="3" fontId="5" fillId="0" borderId="1" xfId="14" applyNumberFormat="1" applyFont="1" applyFill="1" applyBorder="1"/>
    <xf numFmtId="3" fontId="6" fillId="0" borderId="0" xfId="14" applyNumberFormat="1" applyFont="1" applyFill="1" applyBorder="1"/>
    <xf numFmtId="3" fontId="5" fillId="0" borderId="0" xfId="14" applyNumberFormat="1" applyFont="1" applyFill="1" applyBorder="1"/>
    <xf numFmtId="10" fontId="6" fillId="0" borderId="0" xfId="14" applyNumberFormat="1" applyFont="1" applyFill="1" applyBorder="1"/>
    <xf numFmtId="0" fontId="1" fillId="0" borderId="0" xfId="11" applyFont="1" applyFill="1" applyBorder="1" applyAlignment="1">
      <alignment vertical="center" textRotation="90"/>
    </xf>
    <xf numFmtId="0" fontId="6" fillId="0" borderId="0" xfId="17" applyFont="1" applyBorder="1" applyAlignment="1">
      <alignment horizontal="left"/>
    </xf>
    <xf numFmtId="3" fontId="6" fillId="0" borderId="0" xfId="13" applyNumberFormat="1" applyFont="1" applyBorder="1" applyAlignment="1">
      <alignment horizontal="right"/>
    </xf>
    <xf numFmtId="0" fontId="1" fillId="0" borderId="0" xfId="11" applyFont="1" applyBorder="1" applyAlignment="1">
      <alignment horizontal="right"/>
    </xf>
    <xf numFmtId="0" fontId="2" fillId="0" borderId="0" xfId="17" applyFont="1" applyBorder="1" applyAlignment="1">
      <alignment horizontal="left"/>
    </xf>
    <xf numFmtId="0" fontId="1" fillId="0" borderId="0" xfId="11" applyFont="1" applyFill="1" applyBorder="1" applyAlignment="1"/>
    <xf numFmtId="0" fontId="1" fillId="0" borderId="0" xfId="11" applyFont="1" applyFill="1" applyBorder="1" applyAlignment="1">
      <alignment horizontal="left"/>
    </xf>
    <xf numFmtId="164" fontId="3" fillId="0" borderId="4" xfId="13" applyNumberFormat="1" applyFont="1" applyBorder="1" applyAlignment="1">
      <alignment horizontal="center"/>
    </xf>
    <xf numFmtId="0" fontId="3" fillId="0" borderId="0" xfId="11" applyFont="1" applyBorder="1" applyAlignment="1">
      <alignment horizontal="center"/>
    </xf>
    <xf numFmtId="164" fontId="6" fillId="0" borderId="0" xfId="13" applyNumberFormat="1" applyFont="1" applyFill="1" applyBorder="1" applyAlignment="1">
      <alignment horizontal="right"/>
    </xf>
    <xf numFmtId="164" fontId="6" fillId="0" borderId="0" xfId="13" applyNumberFormat="1" applyFont="1" applyFill="1" applyBorder="1" applyAlignment="1">
      <alignment horizontal="left"/>
    </xf>
    <xf numFmtId="0" fontId="2" fillId="0" borderId="0" xfId="15" applyFont="1" applyFill="1" applyBorder="1" applyAlignment="1">
      <alignment horizontal="left"/>
    </xf>
    <xf numFmtId="164" fontId="6" fillId="0" borderId="0" xfId="13" applyNumberFormat="1" applyFont="1" applyBorder="1" applyAlignment="1">
      <alignment horizontal="right"/>
    </xf>
    <xf numFmtId="0" fontId="15" fillId="0" borderId="0" xfId="13" applyNumberFormat="1" applyFont="1" applyFill="1" applyBorder="1" applyAlignment="1">
      <alignment horizontal="left"/>
    </xf>
    <xf numFmtId="0" fontId="6" fillId="0" borderId="0" xfId="13" applyNumberFormat="1" applyFont="1" applyFill="1" applyBorder="1"/>
    <xf numFmtId="0" fontId="1" fillId="0" borderId="0" xfId="11" applyFont="1" applyBorder="1" applyAlignment="1">
      <alignment horizontal="left"/>
    </xf>
    <xf numFmtId="10" fontId="6" fillId="0" borderId="0" xfId="18" applyNumberFormat="1" applyFont="1" applyBorder="1" applyAlignment="1">
      <alignment horizontal="right"/>
    </xf>
    <xf numFmtId="10" fontId="6" fillId="0" borderId="0" xfId="18" applyNumberFormat="1" applyFont="1" applyFill="1" applyBorder="1"/>
    <xf numFmtId="0" fontId="1" fillId="0" borderId="0" xfId="11" applyFont="1" applyBorder="1" applyAlignment="1">
      <alignment horizontal="right" wrapText="1"/>
    </xf>
    <xf numFmtId="0" fontId="1" fillId="0" borderId="0" xfId="11" applyFont="1" applyBorder="1" applyAlignment="1">
      <alignment horizontal="center" wrapText="1"/>
    </xf>
    <xf numFmtId="0" fontId="6" fillId="0" borderId="0" xfId="15" applyFont="1" applyFill="1" applyBorder="1" applyAlignment="1">
      <alignment horizontal="left"/>
    </xf>
    <xf numFmtId="171" fontId="6" fillId="0" borderId="0" xfId="14" applyNumberFormat="1" applyFont="1" applyBorder="1"/>
    <xf numFmtId="171" fontId="1" fillId="0" borderId="0" xfId="11" applyNumberFormat="1" applyFont="1" applyBorder="1"/>
    <xf numFmtId="44" fontId="6" fillId="0" borderId="0" xfId="14" applyFont="1" applyBorder="1" applyAlignment="1">
      <alignment horizontal="right"/>
    </xf>
    <xf numFmtId="166" fontId="6" fillId="0" borderId="0" xfId="14" applyNumberFormat="1" applyFont="1" applyBorder="1"/>
    <xf numFmtId="43" fontId="6" fillId="0" borderId="0" xfId="13" applyFont="1" applyBorder="1"/>
    <xf numFmtId="43" fontId="1" fillId="0" borderId="0" xfId="11" applyNumberFormat="1" applyFont="1" applyBorder="1"/>
    <xf numFmtId="0" fontId="5" fillId="0" borderId="0" xfId="19" applyFont="1" applyBorder="1"/>
    <xf numFmtId="2" fontId="6" fillId="0" borderId="0" xfId="19" applyNumberFormat="1" applyFont="1" applyFill="1" applyBorder="1"/>
    <xf numFmtId="0" fontId="6" fillId="0" borderId="0" xfId="20" applyFont="1"/>
    <xf numFmtId="0" fontId="18" fillId="0" borderId="0" xfId="20" applyFont="1"/>
    <xf numFmtId="0" fontId="1" fillId="0" borderId="0" xfId="11" applyFont="1"/>
    <xf numFmtId="0" fontId="5" fillId="0" borderId="0" xfId="20" applyFont="1"/>
    <xf numFmtId="2" fontId="6" fillId="0" borderId="0" xfId="20" applyNumberFormat="1" applyFont="1" applyFill="1"/>
    <xf numFmtId="0" fontId="6" fillId="0" borderId="0" xfId="20" applyFont="1" applyAlignment="1">
      <alignment horizontal="center"/>
    </xf>
    <xf numFmtId="2" fontId="5" fillId="5" borderId="0" xfId="20" applyNumberFormat="1" applyFont="1" applyFill="1" applyAlignment="1">
      <alignment horizontal="center" wrapText="1"/>
    </xf>
    <xf numFmtId="0" fontId="5" fillId="5" borderId="0" xfId="20" applyFont="1" applyFill="1" applyAlignment="1">
      <alignment horizontal="center" wrapText="1"/>
    </xf>
    <xf numFmtId="4" fontId="6" fillId="0" borderId="0" xfId="20" applyNumberFormat="1" applyFont="1" applyFill="1"/>
    <xf numFmtId="4" fontId="6" fillId="0" borderId="0" xfId="20" applyNumberFormat="1" applyFont="1"/>
    <xf numFmtId="10" fontId="18" fillId="0" borderId="0" xfId="16" applyNumberFormat="1" applyFont="1"/>
    <xf numFmtId="2" fontId="6" fillId="0" borderId="0" xfId="20" applyNumberFormat="1" applyFont="1"/>
    <xf numFmtId="43" fontId="18" fillId="0" borderId="0" xfId="20" applyNumberFormat="1" applyFont="1"/>
    <xf numFmtId="0" fontId="6" fillId="0" borderId="0" xfId="20" applyFont="1" applyFill="1"/>
    <xf numFmtId="0" fontId="18" fillId="0" borderId="0" xfId="20" applyFont="1" applyFill="1"/>
    <xf numFmtId="4" fontId="18" fillId="0" borderId="0" xfId="20" applyNumberFormat="1" applyFont="1"/>
    <xf numFmtId="2" fontId="1" fillId="0" borderId="0" xfId="11" applyNumberFormat="1" applyFont="1"/>
    <xf numFmtId="0" fontId="18" fillId="0" borderId="0" xfId="11" applyFont="1"/>
    <xf numFmtId="164" fontId="2" fillId="3" borderId="0" xfId="6" applyNumberFormat="1" applyFont="1" applyFill="1"/>
    <xf numFmtId="44" fontId="3" fillId="5" borderId="3" xfId="1" applyFont="1" applyFill="1" applyBorder="1" applyAlignment="1">
      <alignment horizontal="right"/>
    </xf>
    <xf numFmtId="0" fontId="0" fillId="0" borderId="0" xfId="11" applyFont="1" applyFill="1" applyBorder="1" applyAlignment="1">
      <alignment horizontal="center" vertical="center"/>
    </xf>
    <xf numFmtId="171" fontId="3" fillId="0" borderId="0" xfId="14" applyNumberFormat="1" applyFont="1" applyFill="1" applyBorder="1" applyAlignment="1">
      <alignment horizontal="right"/>
    </xf>
    <xf numFmtId="43" fontId="19" fillId="0" borderId="0" xfId="5" applyNumberFormat="1" applyFont="1" applyFill="1"/>
    <xf numFmtId="4" fontId="1" fillId="0" borderId="0" xfId="11" applyNumberFormat="1" applyFont="1" applyBorder="1"/>
    <xf numFmtId="3" fontId="1" fillId="3" borderId="0" xfId="11" applyNumberFormat="1" applyFont="1" applyFill="1" applyBorder="1"/>
    <xf numFmtId="44" fontId="6" fillId="7" borderId="0" xfId="14" applyFont="1" applyFill="1" applyBorder="1"/>
    <xf numFmtId="44" fontId="6" fillId="3" borderId="0" xfId="14" applyNumberFormat="1" applyFont="1" applyFill="1" applyBorder="1"/>
    <xf numFmtId="44" fontId="1" fillId="0" borderId="0" xfId="1" applyFont="1" applyFill="1" applyBorder="1"/>
    <xf numFmtId="44" fontId="6" fillId="3" borderId="0" xfId="14" applyFont="1" applyFill="1" applyBorder="1"/>
    <xf numFmtId="164" fontId="3" fillId="5" borderId="3" xfId="11" applyNumberFormat="1" applyFont="1" applyFill="1" applyBorder="1"/>
    <xf numFmtId="3" fontId="3" fillId="5" borderId="3" xfId="11" applyNumberFormat="1" applyFont="1" applyFill="1" applyBorder="1"/>
    <xf numFmtId="164" fontId="3" fillId="5" borderId="3" xfId="13" applyNumberFormat="1" applyFont="1" applyFill="1" applyBorder="1"/>
    <xf numFmtId="3" fontId="6" fillId="3" borderId="0" xfId="13" applyNumberFormat="1" applyFont="1" applyFill="1" applyBorder="1"/>
    <xf numFmtId="171" fontId="3" fillId="0" borderId="0" xfId="14" applyNumberFormat="1" applyFont="1" applyBorder="1" applyAlignment="1">
      <alignment horizontal="right"/>
    </xf>
    <xf numFmtId="44" fontId="3" fillId="0" borderId="0" xfId="1" applyFont="1" applyFill="1" applyBorder="1"/>
    <xf numFmtId="0" fontId="1" fillId="0" borderId="0" xfId="11" applyFont="1" applyFill="1" applyBorder="1" applyAlignment="1">
      <alignment horizontal="center"/>
    </xf>
    <xf numFmtId="3" fontId="1" fillId="0" borderId="0" xfId="11" applyNumberFormat="1" applyFont="1" applyFill="1" applyBorder="1" applyAlignment="1">
      <alignment horizontal="right"/>
    </xf>
    <xf numFmtId="164" fontId="6" fillId="3" borderId="0" xfId="13" applyNumberFormat="1" applyFont="1" applyFill="1" applyBorder="1" applyAlignment="1">
      <alignment horizontal="right"/>
    </xf>
    <xf numFmtId="10" fontId="6" fillId="0" borderId="0" xfId="21" applyNumberFormat="1" applyFont="1" applyBorder="1" applyAlignment="1">
      <alignment horizontal="right"/>
    </xf>
    <xf numFmtId="10" fontId="6" fillId="0" borderId="0" xfId="21" applyNumberFormat="1" applyFont="1" applyFill="1" applyBorder="1"/>
    <xf numFmtId="0" fontId="1" fillId="0" borderId="0" xfId="7" applyFont="1" applyFill="1" applyAlignment="1">
      <alignment horizontal="center"/>
    </xf>
    <xf numFmtId="0" fontId="6" fillId="0" borderId="0" xfId="7" applyFont="1" applyFill="1" applyAlignment="1">
      <alignment horizontal="right"/>
    </xf>
    <xf numFmtId="10" fontId="3" fillId="0" borderId="0" xfId="2" applyNumberFormat="1" applyFont="1" applyFill="1" applyBorder="1" applyAlignment="1">
      <alignment horizontal="right"/>
    </xf>
    <xf numFmtId="10" fontId="3" fillId="0" borderId="0" xfId="16" applyNumberFormat="1" applyFont="1" applyFill="1" applyBorder="1"/>
    <xf numFmtId="0" fontId="0" fillId="0" borderId="0" xfId="11" applyFont="1" applyBorder="1" applyAlignment="1">
      <alignment horizontal="right"/>
    </xf>
    <xf numFmtId="164" fontId="1" fillId="0" borderId="0" xfId="22" applyNumberFormat="1" applyFont="1" applyBorder="1"/>
    <xf numFmtId="164" fontId="1" fillId="0" borderId="0" xfId="22" applyNumberFormat="1" applyFont="1" applyBorder="1" applyAlignment="1">
      <alignment horizontal="right"/>
    </xf>
    <xf numFmtId="171" fontId="6" fillId="0" borderId="0" xfId="14" applyNumberFormat="1" applyFont="1" applyFill="1" applyBorder="1"/>
    <xf numFmtId="0" fontId="2" fillId="0" borderId="0" xfId="5" applyFont="1" applyFill="1" applyBorder="1"/>
    <xf numFmtId="43" fontId="2" fillId="0" borderId="0" xfId="6" applyFont="1" applyFill="1"/>
    <xf numFmtId="164" fontId="2" fillId="0" borderId="0" xfId="6" applyNumberFormat="1" applyFont="1" applyFill="1"/>
    <xf numFmtId="164" fontId="2" fillId="2" borderId="0" xfId="6" applyNumberFormat="1" applyFont="1" applyFill="1"/>
    <xf numFmtId="164" fontId="2" fillId="0" borderId="0" xfId="6" applyNumberFormat="1" applyFont="1"/>
    <xf numFmtId="0" fontId="2" fillId="0" borderId="0" xfId="5" applyFont="1"/>
    <xf numFmtId="44" fontId="2" fillId="2" borderId="0" xfId="1" applyFont="1" applyFill="1"/>
    <xf numFmtId="0" fontId="2" fillId="0" borderId="0" xfId="5" applyFont="1" applyFill="1"/>
    <xf numFmtId="0" fontId="3" fillId="0" borderId="0" xfId="11" applyFont="1" applyBorder="1" applyAlignment="1">
      <alignment horizontal="right"/>
    </xf>
    <xf numFmtId="44" fontId="6" fillId="8" borderId="0" xfId="10" applyFont="1" applyFill="1"/>
    <xf numFmtId="44" fontId="6" fillId="8" borderId="0" xfId="10" applyFont="1" applyFill="1" applyBorder="1"/>
    <xf numFmtId="3" fontId="5" fillId="0" borderId="0" xfId="14" applyNumberFormat="1" applyFont="1" applyFill="1" applyBorder="1" applyAlignment="1">
      <alignment horizontal="right"/>
    </xf>
    <xf numFmtId="3" fontId="6" fillId="0" borderId="0" xfId="14" applyNumberFormat="1" applyFont="1" applyFill="1" applyBorder="1" applyAlignment="1">
      <alignment horizontal="right"/>
    </xf>
    <xf numFmtId="44" fontId="6" fillId="0" borderId="4" xfId="1" applyFont="1" applyFill="1" applyBorder="1"/>
    <xf numFmtId="43" fontId="1" fillId="0" borderId="0" xfId="22" applyFont="1" applyFill="1" applyBorder="1"/>
    <xf numFmtId="44" fontId="5" fillId="0" borderId="0" xfId="1" applyFont="1" applyFill="1" applyBorder="1"/>
    <xf numFmtId="43" fontId="6" fillId="0" borderId="0" xfId="20" applyNumberFormat="1" applyFont="1" applyFill="1"/>
    <xf numFmtId="0" fontId="1" fillId="5" borderId="0" xfId="7" applyFont="1" applyFill="1" applyAlignment="1">
      <alignment horizontal="center"/>
    </xf>
    <xf numFmtId="0" fontId="1" fillId="0" borderId="0" xfId="7" applyFont="1" applyAlignment="1">
      <alignment horizontal="left"/>
    </xf>
    <xf numFmtId="0" fontId="3" fillId="5" borderId="4" xfId="7" applyFont="1" applyFill="1" applyBorder="1" applyAlignment="1">
      <alignment horizontal="center"/>
    </xf>
    <xf numFmtId="0" fontId="1" fillId="0" borderId="1" xfId="11" applyFont="1" applyFill="1" applyBorder="1" applyAlignment="1">
      <alignment horizontal="center" vertical="center" textRotation="90"/>
    </xf>
    <xf numFmtId="0" fontId="1" fillId="0" borderId="0" xfId="11" applyFont="1" applyFill="1" applyBorder="1" applyAlignment="1">
      <alignment horizontal="center" vertical="center" textRotation="90"/>
    </xf>
    <xf numFmtId="0" fontId="1" fillId="0" borderId="4" xfId="11" applyFont="1" applyFill="1" applyBorder="1" applyAlignment="1">
      <alignment horizontal="center" vertical="center" textRotation="90"/>
    </xf>
    <xf numFmtId="0" fontId="1" fillId="5" borderId="0" xfId="11" applyFont="1" applyFill="1" applyBorder="1" applyAlignment="1">
      <alignment horizontal="center"/>
    </xf>
    <xf numFmtId="0" fontId="9" fillId="2" borderId="0" xfId="5" applyFont="1" applyFill="1" applyAlignment="1">
      <alignment horizontal="center"/>
    </xf>
  </cellXfs>
  <cellStyles count="23">
    <cellStyle name="Comma" xfId="22" builtinId="3"/>
    <cellStyle name="Comma 10" xfId="4"/>
    <cellStyle name="Comma 12 4" xfId="6"/>
    <cellStyle name="Comma 19" xfId="13"/>
    <cellStyle name="Comma 2" xfId="8"/>
    <cellStyle name="Currency" xfId="1" builtinId="4"/>
    <cellStyle name="Currency 10" xfId="14"/>
    <cellStyle name="Currency 2" xfId="9"/>
    <cellStyle name="Currency 2 2" xfId="10"/>
    <cellStyle name="Normal" xfId="0" builtinId="0"/>
    <cellStyle name="Normal 10 2 2" xfId="11"/>
    <cellStyle name="Normal 12 3" xfId="5"/>
    <cellStyle name="Normal 143" xfId="3"/>
    <cellStyle name="Normal 2" xfId="7"/>
    <cellStyle name="Normal 90" xfId="17"/>
    <cellStyle name="Normal_Book3" xfId="19"/>
    <cellStyle name="Normal_Murrey's Jan-Dec 2012" xfId="12"/>
    <cellStyle name="Normal_Price out" xfId="15"/>
    <cellStyle name="Normal_Sheet1" xfId="20"/>
    <cellStyle name="Percent" xfId="2" builtinId="5"/>
    <cellStyle name="Percent 2" xfId="16"/>
    <cellStyle name="Percent 2 2" xfId="18"/>
    <cellStyle name="Percent 2 2 3" xfId="21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Northern_Washington\Month%20End\2017\Tacoma%20Hauling\03-2017\Revenue\Revenue%20Subledger\RM_MM001_Query_v4e%20-%20Murreys%20Updated%20for%20dist%20change%20(adjusted%20for%20DMR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Vashon\Dump%20Fee\Murreys-American%20Disp%20Fee%20Calc%203-1-2016,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Vashon%20%202132/Annual%20Report/2020/Vashon%20Solid%20Waste%20Class%20A%20and%20B%20Annual%20Report%20Form%202020%20-%20Submittal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2000%20Western%20Region%20Office\WUTC\WIP%20Files\2111%20Murrey's\2021\General%20Rate%20Filing\.Murrey's%20Proforma%206.30.20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urrey%20%202111/General%20Rate%20Filings/Rate%20Filing%201-1-2019/Audit/FINAL/Copy%20of%20TG-180953%20Staff%20Workbook-%20Company%20Response%20(003)%20-%20Greg%20Edit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Vashon\Dump%20Fee\Murreys-American%20Disp%20Fee%20Calc%203-1-2016,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Tacoma%20Hauling%20Price%20O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Memo"/>
      <sheetName val="MM001Tranx"/>
      <sheetName val="JEexport"/>
      <sheetName val="Rev Import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  <sheetName val="RM_MM001_Query_v4e - Murreys Up"/>
      <sheetName val=""/>
    </sheetNames>
    <sheetDataSet>
      <sheetData sheetId="0"/>
      <sheetData sheetId="1"/>
      <sheetData sheetId="2">
        <row r="9">
          <cell r="L9">
            <v>11501</v>
          </cell>
        </row>
        <row r="10">
          <cell r="L10" t="str">
            <v>11501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F Calculation"/>
      <sheetName val="Consolidated Cust Cnt"/>
      <sheetName val="Disposal Schedule"/>
      <sheetName val="Proposed Rates"/>
      <sheetName val="Rev Recon"/>
      <sheetName val="Murrey's Rev 2015"/>
      <sheetName val="American Rev 2015"/>
      <sheetName val="Murrey's IS"/>
      <sheetName val="American IS"/>
    </sheetNames>
    <sheetDataSet>
      <sheetData sheetId="0">
        <row r="9">
          <cell r="C9">
            <v>1</v>
          </cell>
        </row>
        <row r="30">
          <cell r="C30">
            <v>324</v>
          </cell>
        </row>
      </sheetData>
      <sheetData sheetId="1"/>
      <sheetData sheetId="2"/>
      <sheetData sheetId="3"/>
      <sheetData sheetId="4">
        <row r="75">
          <cell r="C75">
            <v>22.96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s-Instructions-Information"/>
      <sheetName val="Affiliated Interest Rules"/>
      <sheetName val="Cover Sheet"/>
      <sheetName val="Ownership- Industry Info"/>
      <sheetName val="Complaint Contact Information"/>
      <sheetName val="Sch 1 Veh-Mileage-Accident Info"/>
      <sheetName val="Sch 2 Vehicle Listings"/>
      <sheetName val="Sch 3 Fuel Consumption Stats"/>
      <sheetName val="Sch 4 Employee Class-Compen"/>
      <sheetName val="Sch 5 Operating Property"/>
      <sheetName val="Sch 6 Bal Sheet Assests -Total"/>
      <sheetName val="Sch 7 Bal Sheet Liab-Equity"/>
      <sheetName val="Sch 8 Revenues"/>
      <sheetName val="Sch 9 Customers"/>
      <sheetName val="Sch 10 Income Statement"/>
      <sheetName val="Sch 11 Reg Recycle Program"/>
      <sheetName val="Sch 12 Yard Waste-Organics Prog"/>
      <sheetName val="Sch 13 Garbage Disposal Fees"/>
      <sheetName val="Sch 14 Medical Waste "/>
      <sheetName val="Sch 15 Other Disp-Process Exp"/>
      <sheetName val="Sch 16 Contracted Cities"/>
      <sheetName val="Reg Fee Calc Schedule"/>
      <sheetName val="Company Info-Certification Pag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I10">
            <v>333.29044169862237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urrey's IS"/>
      <sheetName val="Vashon IS"/>
      <sheetName val="DMR IS"/>
      <sheetName val="Consolidated IS"/>
      <sheetName val="Murrey's LOB"/>
      <sheetName val="Vashon LOB"/>
      <sheetName val="Allocators (C)"/>
      <sheetName val="Hours+Tons"/>
      <sheetName val="Shop Hours 2020"/>
      <sheetName val="Revenue+Cust"/>
      <sheetName val="Restating ADJ's"/>
      <sheetName val="Pro forma Adj"/>
      <sheetName val="LG BRG - Murrey's Total"/>
      <sheetName val="LG BRG -Vashon Total"/>
      <sheetName val="Payroll Summary"/>
      <sheetName val="Murrey's COVID EXPENSES"/>
      <sheetName val="Vashon Price Out"/>
      <sheetName val="Murrey's Price Out"/>
      <sheetName val="Customers UTC-City %"/>
      <sheetName val="Shop Hours"/>
      <sheetName val="Murrey's Rate Sheet"/>
      <sheetName val="Vashon Rate Sheet"/>
      <sheetName val="2111_BS_06.30.21"/>
      <sheetName val="2111_BS_06.30.20"/>
      <sheetName val="2132_BS_06.30.21"/>
      <sheetName val="2132_BS_06.30.20"/>
      <sheetName val="2140_BS_06.30.21"/>
      <sheetName val="2021 Budget Adds"/>
      <sheetName val="Vashon Deprec"/>
      <sheetName val="M-A Deprec"/>
      <sheetName val="2111 Region OH"/>
      <sheetName val="2132 Region OH"/>
      <sheetName val="2140 Region OH"/>
      <sheetName val="Corp-OH (C)"/>
      <sheetName val="Corp IS-BS -2020"/>
      <sheetName val="Explanations"/>
      <sheetName val="Interject_LastPulledValues"/>
      <sheetName val="DVP-DivCon Allocs  (C)"/>
      <sheetName val="Fuel Adjustment"/>
      <sheetName val="Disposal"/>
      <sheetName val="401k Accts JE Query"/>
      <sheetName val="43001 JE Query"/>
      <sheetName val="70148 JE Query"/>
      <sheetName val="70195 JE Query"/>
      <sheetName val="70255 JE Query"/>
      <sheetName val="70235 JE Query"/>
      <sheetName val="91010 JE Qu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7">
          <cell r="AF37">
            <v>2307.1639196198721</v>
          </cell>
        </row>
        <row r="95">
          <cell r="AF95">
            <v>230.31998552325217</v>
          </cell>
        </row>
        <row r="113">
          <cell r="AF113">
            <v>0.47121086746655633</v>
          </cell>
        </row>
        <row r="114">
          <cell r="AF114">
            <v>1.1743577020619693</v>
          </cell>
        </row>
        <row r="115">
          <cell r="AF115">
            <v>0</v>
          </cell>
        </row>
        <row r="116">
          <cell r="AF116">
            <v>0.59248538978939247</v>
          </cell>
        </row>
        <row r="117">
          <cell r="AF117">
            <v>1.3572265894359399</v>
          </cell>
        </row>
        <row r="118">
          <cell r="AF118">
            <v>3.9987457272025577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rey's-American IS"/>
      <sheetName val="Vashon IS"/>
      <sheetName val="DM IS"/>
      <sheetName val="Consolidated IS"/>
      <sheetName val="Murrey's LOB"/>
      <sheetName val="Vashon LOB"/>
      <sheetName val="Hours+Tons"/>
      <sheetName val="Revenue+Cust"/>
      <sheetName val="Count"/>
      <sheetName val="Shop Hours"/>
      <sheetName val="Restating - Mur-Amer"/>
      <sheetName val="Restating - Vashon"/>
      <sheetName val="Restating Expl"/>
      <sheetName val="Pro forma Adj"/>
      <sheetName val="Murrey's Rate Sheet"/>
      <sheetName val="Vashon Rate Sheet"/>
      <sheetName val="References"/>
      <sheetName val="DF Calculation"/>
      <sheetName val="Proposed Rates"/>
      <sheetName val="DF Tons"/>
      <sheetName val="Vashon Total 16"/>
      <sheetName val="Murrey's Price Out"/>
      <sheetName val="American Price Out"/>
      <sheetName val="Vashon Price Out"/>
      <sheetName val="LG Summary"/>
      <sheetName val="LG Total Company 2111"/>
      <sheetName val="LG Med Waste 2111"/>
      <sheetName val="LG MSW 2111"/>
      <sheetName val="LG ALL GARBAGE 2111"/>
      <sheetName val="LG Recycling 2111"/>
      <sheetName val="LG YW 2111"/>
      <sheetName val="LG Roll Off 2111"/>
      <sheetName val="LG Total Company 2132"/>
      <sheetName val="LG MSW 2132"/>
      <sheetName val="LG Recycle 2132"/>
      <sheetName val="Vashon Deprec"/>
      <sheetName val="M-A Deprec"/>
      <sheetName val="Corp OH"/>
      <sheetName val="M-A Reg OH"/>
      <sheetName val="Vashon Reg OH"/>
      <sheetName val="DM Region OH"/>
      <sheetName val="Explanations"/>
      <sheetName val="DVP-DivCon Allocs"/>
      <sheetName val="Fuel Adjustment"/>
      <sheetName val="Disposal"/>
      <sheetName val="M-A Payroll Schedule"/>
      <sheetName val="Vashon Payroll Schedule"/>
      <sheetName val="DM Payroll Schedule"/>
      <sheetName val="70095"/>
      <sheetName val="70195"/>
      <sheetName val="70255"/>
      <sheetName val="2111_BS_09.30.18"/>
      <sheetName val="2111_BS_09.30.17"/>
      <sheetName val="2132_BS_09.30.18"/>
      <sheetName val="2132_BS_09.30.17"/>
      <sheetName val="2140_BS_9.30.18"/>
      <sheetName val="WCI BS"/>
    </sheetNames>
    <sheetDataSet>
      <sheetData sheetId="0" refreshError="1"/>
      <sheetData sheetId="1" refreshError="1"/>
      <sheetData sheetId="2" refreshError="1"/>
      <sheetData sheetId="3">
        <row r="19">
          <cell r="U19">
            <v>46114.64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69">
          <cell r="D69">
            <v>5.9399999999999995</v>
          </cell>
        </row>
        <row r="70">
          <cell r="D70">
            <v>14.72</v>
          </cell>
        </row>
        <row r="71">
          <cell r="D71">
            <v>13.17</v>
          </cell>
        </row>
        <row r="72">
          <cell r="D72">
            <v>18.600000000000001</v>
          </cell>
        </row>
        <row r="73">
          <cell r="D73">
            <v>25.99</v>
          </cell>
        </row>
        <row r="74">
          <cell r="D74">
            <v>35.029999999999994</v>
          </cell>
        </row>
        <row r="75">
          <cell r="D75">
            <v>43.85</v>
          </cell>
        </row>
        <row r="83">
          <cell r="D83">
            <v>4.03</v>
          </cell>
        </row>
        <row r="91">
          <cell r="D91">
            <v>17.3</v>
          </cell>
        </row>
        <row r="136">
          <cell r="D136">
            <v>19.059999999999999</v>
          </cell>
          <cell r="F136">
            <v>19.444098285870787</v>
          </cell>
        </row>
        <row r="137">
          <cell r="D137">
            <v>24.119999999999997</v>
          </cell>
        </row>
        <row r="138">
          <cell r="D138">
            <v>33.549999999999997</v>
          </cell>
        </row>
        <row r="153">
          <cell r="D153">
            <v>21.169999999999998</v>
          </cell>
        </row>
        <row r="155">
          <cell r="D155">
            <v>35.65</v>
          </cell>
        </row>
        <row r="162">
          <cell r="D162">
            <v>3.5300000000000002</v>
          </cell>
        </row>
        <row r="168">
          <cell r="D168">
            <v>15.280000000000001</v>
          </cell>
        </row>
        <row r="171">
          <cell r="D171">
            <v>4.01</v>
          </cell>
        </row>
      </sheetData>
      <sheetData sheetId="16">
        <row r="4">
          <cell r="C4">
            <v>17.333333333333332</v>
          </cell>
        </row>
        <row r="5">
          <cell r="C5">
            <v>13</v>
          </cell>
        </row>
        <row r="6">
          <cell r="C6">
            <v>8.6666666666666661</v>
          </cell>
        </row>
        <row r="7">
          <cell r="C7">
            <v>4.333333333333333</v>
          </cell>
        </row>
        <row r="8">
          <cell r="C8">
            <v>2.1666666666666665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4</v>
          </cell>
        </row>
        <row r="15">
          <cell r="C15">
            <v>20</v>
          </cell>
        </row>
        <row r="16">
          <cell r="C16">
            <v>34</v>
          </cell>
        </row>
        <row r="17">
          <cell r="C17">
            <v>51</v>
          </cell>
        </row>
        <row r="18">
          <cell r="C18">
            <v>77</v>
          </cell>
        </row>
        <row r="19">
          <cell r="C19">
            <v>97</v>
          </cell>
        </row>
        <row r="28">
          <cell r="C28">
            <v>29</v>
          </cell>
        </row>
        <row r="29">
          <cell r="C29">
            <v>125</v>
          </cell>
        </row>
        <row r="30">
          <cell r="C30">
            <v>175</v>
          </cell>
        </row>
        <row r="31">
          <cell r="C31">
            <v>250</v>
          </cell>
        </row>
        <row r="32">
          <cell r="C32">
            <v>324</v>
          </cell>
        </row>
        <row r="42">
          <cell r="C42">
            <v>972</v>
          </cell>
        </row>
        <row r="51">
          <cell r="C51">
            <v>1620</v>
          </cell>
        </row>
        <row r="60">
          <cell r="C60">
            <v>6.2299999999999898</v>
          </cell>
          <cell r="D60">
            <v>3.1149999999999928E-3</v>
          </cell>
          <cell r="E60">
            <v>4.6288728731703616E-2</v>
          </cell>
        </row>
        <row r="63">
          <cell r="H63">
            <v>0.97989999999999999</v>
          </cell>
        </row>
        <row r="65">
          <cell r="C65">
            <v>2369.77</v>
          </cell>
        </row>
      </sheetData>
      <sheetData sheetId="17" refreshError="1"/>
      <sheetData sheetId="18">
        <row r="6">
          <cell r="C6">
            <v>2.56</v>
          </cell>
          <cell r="E6">
            <v>2.63</v>
          </cell>
        </row>
        <row r="9">
          <cell r="E9">
            <v>5.7</v>
          </cell>
        </row>
        <row r="10">
          <cell r="E10">
            <v>14.12</v>
          </cell>
        </row>
        <row r="11">
          <cell r="E11">
            <v>12.68</v>
          </cell>
        </row>
        <row r="12">
          <cell r="E12">
            <v>17.96</v>
          </cell>
        </row>
        <row r="13">
          <cell r="E13">
            <v>25.13</v>
          </cell>
        </row>
        <row r="14">
          <cell r="E14">
            <v>33.96</v>
          </cell>
        </row>
        <row r="15">
          <cell r="E15">
            <v>42.51</v>
          </cell>
        </row>
        <row r="18">
          <cell r="E18">
            <v>3.89</v>
          </cell>
        </row>
        <row r="22">
          <cell r="C22">
            <v>14.57</v>
          </cell>
          <cell r="E22">
            <v>14.84</v>
          </cell>
        </row>
        <row r="26">
          <cell r="E26">
            <v>16.68</v>
          </cell>
        </row>
        <row r="37">
          <cell r="E37">
            <v>18.46</v>
          </cell>
        </row>
        <row r="38">
          <cell r="E38">
            <v>23.430000000000003</v>
          </cell>
        </row>
        <row r="39">
          <cell r="E39">
            <v>32.53</v>
          </cell>
        </row>
        <row r="42">
          <cell r="E42">
            <v>79.92370922311234</v>
          </cell>
        </row>
        <row r="43">
          <cell r="E43">
            <v>101.45815603301763</v>
          </cell>
        </row>
        <row r="44">
          <cell r="E44">
            <v>140.85121021879084</v>
          </cell>
        </row>
        <row r="47">
          <cell r="E47">
            <v>40.049999999999997</v>
          </cell>
        </row>
        <row r="48">
          <cell r="E48">
            <v>50.84</v>
          </cell>
        </row>
        <row r="49">
          <cell r="E49">
            <v>70.58</v>
          </cell>
        </row>
        <row r="52">
          <cell r="E52">
            <v>20.46</v>
          </cell>
        </row>
        <row r="53">
          <cell r="C53">
            <v>24.884388209168193</v>
          </cell>
          <cell r="E53">
            <v>25.431112930696376</v>
          </cell>
        </row>
        <row r="54">
          <cell r="E54">
            <v>34.53</v>
          </cell>
        </row>
        <row r="59">
          <cell r="E59">
            <v>3.46</v>
          </cell>
        </row>
        <row r="60">
          <cell r="E60">
            <v>14.76</v>
          </cell>
        </row>
        <row r="62">
          <cell r="E62">
            <v>3.86</v>
          </cell>
        </row>
        <row r="65">
          <cell r="C65">
            <v>83.320000000000007</v>
          </cell>
          <cell r="E65">
            <v>85.45</v>
          </cell>
        </row>
        <row r="68">
          <cell r="C68">
            <v>128.25</v>
          </cell>
          <cell r="E68">
            <v>131.79</v>
          </cell>
        </row>
      </sheetData>
      <sheetData sheetId="19">
        <row r="23">
          <cell r="D23">
            <v>204.11916451693435</v>
          </cell>
        </row>
      </sheetData>
      <sheetData sheetId="20" refreshError="1"/>
      <sheetData sheetId="21" refreshError="1"/>
      <sheetData sheetId="22" refreshError="1"/>
      <sheetData sheetId="23">
        <row r="14">
          <cell r="AD14">
            <v>1328.9607686148918</v>
          </cell>
        </row>
        <row r="20">
          <cell r="AD20">
            <v>2831.7815186246416</v>
          </cell>
        </row>
        <row r="21">
          <cell r="AD21">
            <v>618.37921847246878</v>
          </cell>
        </row>
        <row r="23">
          <cell r="AD23">
            <v>16304.112244897959</v>
          </cell>
        </row>
        <row r="27">
          <cell r="AD27">
            <v>2988.5391480730227</v>
          </cell>
        </row>
        <row r="30">
          <cell r="AD30">
            <v>166.25067709900694</v>
          </cell>
        </row>
        <row r="32">
          <cell r="AD32">
            <v>24.250060110603513</v>
          </cell>
        </row>
        <row r="68">
          <cell r="AD68">
            <v>6168.5863874345559</v>
          </cell>
        </row>
        <row r="96">
          <cell r="AD96">
            <v>36</v>
          </cell>
        </row>
        <row r="97">
          <cell r="AD97">
            <v>125.24983027834352</v>
          </cell>
        </row>
        <row r="98">
          <cell r="AD98">
            <v>55.499827764381678</v>
          </cell>
        </row>
        <row r="99">
          <cell r="AD99">
            <v>36.000000000000007</v>
          </cell>
        </row>
        <row r="100">
          <cell r="AD100">
            <v>12</v>
          </cell>
        </row>
        <row r="137">
          <cell r="AD137">
            <v>186.00040342914775</v>
          </cell>
        </row>
        <row r="138">
          <cell r="AD138">
            <v>33.875031519491657</v>
          </cell>
        </row>
        <row r="140">
          <cell r="AD140">
            <v>34</v>
          </cell>
        </row>
        <row r="141">
          <cell r="AD141">
            <v>3</v>
          </cell>
        </row>
        <row r="143">
          <cell r="AD143">
            <v>616.50031908104665</v>
          </cell>
        </row>
        <row r="146">
          <cell r="AD146">
            <v>489.75038245792962</v>
          </cell>
        </row>
        <row r="147">
          <cell r="AD147">
            <v>8.2488938053097343</v>
          </cell>
        </row>
        <row r="148">
          <cell r="AD148">
            <v>3</v>
          </cell>
        </row>
        <row r="149">
          <cell r="AD149">
            <v>638.50025382551303</v>
          </cell>
        </row>
        <row r="150">
          <cell r="AD150">
            <v>267.8750407948653</v>
          </cell>
        </row>
        <row r="151">
          <cell r="AD151">
            <v>74</v>
          </cell>
        </row>
        <row r="152">
          <cell r="AD152">
            <v>15.749995467319373</v>
          </cell>
        </row>
        <row r="154">
          <cell r="AD154">
            <v>96</v>
          </cell>
        </row>
        <row r="155">
          <cell r="AD155">
            <v>3.9484600879949721</v>
          </cell>
        </row>
        <row r="156">
          <cell r="AD156">
            <v>7.75</v>
          </cell>
        </row>
        <row r="160">
          <cell r="AD160">
            <v>1624.2015706806283</v>
          </cell>
        </row>
        <row r="161">
          <cell r="AD161">
            <v>19.500304692260816</v>
          </cell>
        </row>
      </sheetData>
      <sheetData sheetId="24" refreshError="1"/>
      <sheetData sheetId="25">
        <row r="5">
          <cell r="C5">
            <v>36380334.645887405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0">
          <cell r="J20">
            <v>43657.304134515929</v>
          </cell>
          <cell r="K20">
            <v>5.0177956213510698E-2</v>
          </cell>
        </row>
      </sheetData>
      <sheetData sheetId="34">
        <row r="20">
          <cell r="J20">
            <v>50813.928184820747</v>
          </cell>
          <cell r="K20">
            <v>0.49015548820462918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F Calculation"/>
      <sheetName val="Consolidated Cust Cnt"/>
      <sheetName val="Disposal Schedule"/>
      <sheetName val="Proposed Rates"/>
      <sheetName val="Rev Recon"/>
      <sheetName val="Murrey's Rev 2015"/>
      <sheetName val="American Rev 2015"/>
      <sheetName val="Murrey's IS"/>
      <sheetName val="American IS"/>
    </sheetNames>
    <sheetDataSet>
      <sheetData sheetId="0">
        <row r="9">
          <cell r="C9">
            <v>1</v>
          </cell>
        </row>
        <row r="30">
          <cell r="C30">
            <v>324</v>
          </cell>
        </row>
      </sheetData>
      <sheetData sheetId="1"/>
      <sheetData sheetId="2"/>
      <sheetData sheetId="3"/>
      <sheetData sheetId="4">
        <row r="75">
          <cell r="C75">
            <v>22.96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_IS210"/>
      <sheetName val="VD_IS210"/>
      <sheetName val="DM_IS210"/>
      <sheetName val="Revenue"/>
      <sheetName val="Customers"/>
      <sheetName val="Murrey's G-9 Reg."/>
      <sheetName val="American G-87 Reg."/>
      <sheetName val="DM-BL"/>
      <sheetName val="DM-BUCK"/>
      <sheetName val="Buckley"/>
      <sheetName val="DM-CAR"/>
      <sheetName val="Carbonado"/>
      <sheetName val="DM-MIL"/>
      <sheetName val="DM-ORT"/>
      <sheetName val="DM-PIER"/>
      <sheetName val="DM-PUY"/>
      <sheetName val="DM-SP"/>
      <sheetName val="DM-SUM"/>
      <sheetName val="Vashon"/>
      <sheetName val="MM001 Data"/>
      <sheetName val="Rates Pre-030118"/>
      <sheetName val="Rates as of 030118"/>
      <sheetName val="Rates as of 070118"/>
      <sheetName val="2150-2160 Pivot"/>
      <sheetName val="Manual Revenue"/>
    </sheetNames>
    <sheetDataSet>
      <sheetData sheetId="0"/>
      <sheetData sheetId="1"/>
      <sheetData sheetId="2"/>
      <sheetData sheetId="3"/>
      <sheetData sheetId="4"/>
      <sheetData sheetId="5">
        <row r="2">
          <cell r="AB2">
            <v>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P2">
            <v>113786.0899999992</v>
          </cell>
        </row>
      </sheetData>
      <sheetData sheetId="20">
        <row r="1">
          <cell r="K1" t="str">
            <v>G-9 Regulated Bill Area(s) Pricing Pre 03/01/18</v>
          </cell>
          <cell r="BC1" t="str">
            <v>Vashon Bill Area Pricing as of 07/25/17</v>
          </cell>
        </row>
        <row r="3">
          <cell r="BC3" t="str">
            <v>b_area</v>
          </cell>
          <cell r="BD3" t="str">
            <v>VASHON</v>
          </cell>
        </row>
        <row r="5">
          <cell r="BC5" t="str">
            <v>Row Labels</v>
          </cell>
          <cell r="BD5" t="str">
            <v>Average of def_amount</v>
          </cell>
          <cell r="BE5" t="str">
            <v>Per Month</v>
          </cell>
        </row>
        <row r="6">
          <cell r="BC6" t="str">
            <v>BI-MONTHLY SPLIT ODD</v>
          </cell>
          <cell r="BD6">
            <v>20.40388888888889</v>
          </cell>
        </row>
        <row r="7">
          <cell r="BC7" t="str">
            <v>20RW1</v>
          </cell>
          <cell r="BD7">
            <v>24.98</v>
          </cell>
          <cell r="BE7">
            <v>12.49</v>
          </cell>
        </row>
        <row r="8">
          <cell r="BC8" t="str">
            <v>32RE1</v>
          </cell>
          <cell r="BD8">
            <v>27.92</v>
          </cell>
          <cell r="BE8">
            <v>13.96</v>
          </cell>
        </row>
        <row r="9">
          <cell r="BC9" t="str">
            <v>32RW1</v>
          </cell>
          <cell r="BD9">
            <v>35.28</v>
          </cell>
          <cell r="BE9">
            <v>17.64</v>
          </cell>
        </row>
        <row r="10">
          <cell r="BC10" t="str">
            <v>32RW2</v>
          </cell>
          <cell r="BD10">
            <v>49.3</v>
          </cell>
          <cell r="BE10">
            <v>24.65</v>
          </cell>
        </row>
        <row r="11">
          <cell r="BC11" t="str">
            <v>32RW3</v>
          </cell>
          <cell r="BD11">
            <v>66.459999999999994</v>
          </cell>
          <cell r="BE11">
            <v>33.229999999999997</v>
          </cell>
        </row>
        <row r="12">
          <cell r="BC12" t="str">
            <v>32RW4</v>
          </cell>
          <cell r="BD12">
            <v>83.18</v>
          </cell>
          <cell r="BE12">
            <v>41.59</v>
          </cell>
        </row>
        <row r="13">
          <cell r="BC13" t="str">
            <v>CARRY-COMM</v>
          </cell>
          <cell r="BD13">
            <v>0.69</v>
          </cell>
          <cell r="BE13">
            <v>0.34499999999999997</v>
          </cell>
        </row>
        <row r="14">
          <cell r="BC14" t="str">
            <v>CARRY-RES</v>
          </cell>
          <cell r="BD14">
            <v>4.58</v>
          </cell>
          <cell r="BE14">
            <v>2.29</v>
          </cell>
        </row>
        <row r="15">
          <cell r="BC15" t="str">
            <v>DRIVEPRVT-RES</v>
          </cell>
          <cell r="BD15">
            <v>10.62</v>
          </cell>
          <cell r="BE15">
            <v>5.31</v>
          </cell>
        </row>
        <row r="16">
          <cell r="BC16" t="str">
            <v>DRVNRE1</v>
          </cell>
          <cell r="BD16">
            <v>5.32</v>
          </cell>
          <cell r="BE16">
            <v>2.66</v>
          </cell>
        </row>
        <row r="17">
          <cell r="BC17" t="str">
            <v>DRVNRW1</v>
          </cell>
          <cell r="BD17">
            <v>5.32</v>
          </cell>
          <cell r="BE17">
            <v>2.66</v>
          </cell>
        </row>
        <row r="18">
          <cell r="BC18" t="str">
            <v>DRVNRW2</v>
          </cell>
          <cell r="BD18">
            <v>5.32</v>
          </cell>
          <cell r="BE18">
            <v>2.66</v>
          </cell>
        </row>
        <row r="19">
          <cell r="BC19" t="str">
            <v>HWFEERES</v>
          </cell>
          <cell r="BD19">
            <v>1.68</v>
          </cell>
          <cell r="BE19">
            <v>0.84</v>
          </cell>
        </row>
        <row r="20">
          <cell r="BC20" t="str">
            <v>OBSR</v>
          </cell>
          <cell r="BD20">
            <v>2.12</v>
          </cell>
          <cell r="BE20">
            <v>1.06</v>
          </cell>
        </row>
        <row r="21">
          <cell r="BC21" t="str">
            <v>recyonly</v>
          </cell>
          <cell r="BD21">
            <v>22.48</v>
          </cell>
          <cell r="BE21">
            <v>11.24</v>
          </cell>
        </row>
        <row r="22">
          <cell r="BC22" t="str">
            <v>RECYR</v>
          </cell>
          <cell r="BD22">
            <v>19.48</v>
          </cell>
          <cell r="BE22">
            <v>9.74</v>
          </cell>
        </row>
        <row r="23">
          <cell r="BC23" t="str">
            <v>STEPSR</v>
          </cell>
          <cell r="BD23">
            <v>0.42</v>
          </cell>
          <cell r="BE23">
            <v>0.21</v>
          </cell>
        </row>
        <row r="24">
          <cell r="BC24" t="str">
            <v>SUNKENR</v>
          </cell>
          <cell r="BD24">
            <v>2.12</v>
          </cell>
          <cell r="BE24">
            <v>1.06</v>
          </cell>
        </row>
        <row r="25">
          <cell r="BC25" t="str">
            <v>MONTHLY ARREARS</v>
          </cell>
          <cell r="BD25">
            <v>116.93121951219509</v>
          </cell>
        </row>
        <row r="26">
          <cell r="BC26" t="str">
            <v>32CE1</v>
          </cell>
          <cell r="BD26">
            <v>14.49</v>
          </cell>
          <cell r="BE26">
            <v>14.49</v>
          </cell>
        </row>
        <row r="27">
          <cell r="BC27" t="str">
            <v>32CW1</v>
          </cell>
          <cell r="BD27">
            <v>14.73</v>
          </cell>
          <cell r="BE27">
            <v>14.73</v>
          </cell>
        </row>
        <row r="28">
          <cell r="BC28" t="str">
            <v>32CW2</v>
          </cell>
          <cell r="BD28">
            <v>29.03</v>
          </cell>
          <cell r="BE28">
            <v>29.03</v>
          </cell>
        </row>
        <row r="29">
          <cell r="BC29" t="str">
            <v>32CW3</v>
          </cell>
          <cell r="BD29">
            <v>43.55</v>
          </cell>
          <cell r="BE29">
            <v>43.55</v>
          </cell>
        </row>
        <row r="30">
          <cell r="BC30" t="str">
            <v>32CW4</v>
          </cell>
          <cell r="BD30">
            <v>58.07</v>
          </cell>
          <cell r="BE30">
            <v>58.07</v>
          </cell>
        </row>
        <row r="31">
          <cell r="BC31" t="str">
            <v>32CW5</v>
          </cell>
          <cell r="BD31">
            <v>72.58</v>
          </cell>
          <cell r="BE31">
            <v>72.58</v>
          </cell>
        </row>
        <row r="32">
          <cell r="BC32" t="str">
            <v>32RM1</v>
          </cell>
          <cell r="BD32">
            <v>11.26</v>
          </cell>
          <cell r="BE32">
            <v>11.26</v>
          </cell>
        </row>
        <row r="33">
          <cell r="BC33" t="str">
            <v>CLOCK</v>
          </cell>
          <cell r="BD33">
            <v>4.59</v>
          </cell>
          <cell r="BE33">
            <v>4.59</v>
          </cell>
        </row>
        <row r="34">
          <cell r="BC34" t="str">
            <v>CROLL</v>
          </cell>
          <cell r="BD34">
            <v>22.99</v>
          </cell>
          <cell r="BE34">
            <v>22.99</v>
          </cell>
        </row>
        <row r="35">
          <cell r="BC35" t="str">
            <v>HWFEECANCOM</v>
          </cell>
          <cell r="BD35">
            <v>1.46</v>
          </cell>
          <cell r="BE35">
            <v>1.46</v>
          </cell>
        </row>
        <row r="36">
          <cell r="BC36" t="str">
            <v>HWFEECOMM</v>
          </cell>
          <cell r="BD36">
            <v>12.01</v>
          </cell>
          <cell r="BE36">
            <v>12.01</v>
          </cell>
        </row>
        <row r="37">
          <cell r="BC37" t="str">
            <v>HWFEERO</v>
          </cell>
          <cell r="BD37">
            <v>46.15</v>
          </cell>
          <cell r="BE37">
            <v>46.15</v>
          </cell>
        </row>
        <row r="38">
          <cell r="BC38" t="str">
            <v>OS</v>
          </cell>
          <cell r="BD38">
            <v>2.56</v>
          </cell>
          <cell r="BE38">
            <v>2.56</v>
          </cell>
        </row>
        <row r="39">
          <cell r="BC39" t="str">
            <v>OW</v>
          </cell>
          <cell r="BD39">
            <v>2.56</v>
          </cell>
          <cell r="BE39">
            <v>2.56</v>
          </cell>
        </row>
        <row r="40">
          <cell r="BC40" t="str">
            <v>R1.5YD1M</v>
          </cell>
          <cell r="BD40">
            <v>49.66</v>
          </cell>
          <cell r="BE40">
            <v>49.66</v>
          </cell>
        </row>
        <row r="41">
          <cell r="BC41" t="str">
            <v>R1.5YD1W</v>
          </cell>
          <cell r="BD41">
            <v>99.15</v>
          </cell>
          <cell r="BE41">
            <v>99.15</v>
          </cell>
        </row>
        <row r="42">
          <cell r="BC42" t="str">
            <v>R1.5YD2W</v>
          </cell>
          <cell r="BD42">
            <v>198.29</v>
          </cell>
          <cell r="BE42">
            <v>198.29</v>
          </cell>
        </row>
        <row r="43">
          <cell r="BC43" t="str">
            <v>R1.5YD3W</v>
          </cell>
          <cell r="BD43">
            <v>297.44</v>
          </cell>
          <cell r="BE43">
            <v>297.44</v>
          </cell>
        </row>
        <row r="44">
          <cell r="BC44" t="str">
            <v>R1.5YDEOW</v>
          </cell>
          <cell r="BD44">
            <v>49.66</v>
          </cell>
          <cell r="BE44">
            <v>49.66</v>
          </cell>
        </row>
        <row r="45">
          <cell r="BC45" t="str">
            <v>R1.5YDEX</v>
          </cell>
          <cell r="BD45">
            <v>22.88</v>
          </cell>
          <cell r="BE45">
            <v>22.88</v>
          </cell>
        </row>
        <row r="46">
          <cell r="BC46" t="str">
            <v>R1.5YDTPU</v>
          </cell>
          <cell r="BD46">
            <v>99.52</v>
          </cell>
          <cell r="BE46">
            <v>99.52</v>
          </cell>
        </row>
        <row r="47">
          <cell r="BC47" t="str">
            <v>R1YD1W</v>
          </cell>
          <cell r="BD47">
            <v>78.349999999999994</v>
          </cell>
          <cell r="BE47">
            <v>78.349999999999994</v>
          </cell>
        </row>
        <row r="48">
          <cell r="BC48" t="str">
            <v>R1YD2W</v>
          </cell>
          <cell r="BD48">
            <v>156.69</v>
          </cell>
          <cell r="BE48">
            <v>156.69</v>
          </cell>
        </row>
        <row r="49">
          <cell r="BC49" t="str">
            <v>R1YD3W</v>
          </cell>
          <cell r="BD49">
            <v>235.04</v>
          </cell>
          <cell r="BE49">
            <v>235.04</v>
          </cell>
        </row>
        <row r="50">
          <cell r="BC50" t="str">
            <v>R1YD5W</v>
          </cell>
          <cell r="BD50">
            <v>391.73</v>
          </cell>
          <cell r="BE50">
            <v>391.73</v>
          </cell>
        </row>
        <row r="51">
          <cell r="BC51" t="str">
            <v>R1YDEOW</v>
          </cell>
          <cell r="BD51">
            <v>39.22</v>
          </cell>
          <cell r="BE51">
            <v>39.22</v>
          </cell>
        </row>
        <row r="52">
          <cell r="BC52" t="str">
            <v>R1YDTPU</v>
          </cell>
          <cell r="BD52">
            <v>80.319999999999993</v>
          </cell>
          <cell r="BE52">
            <v>80.319999999999993</v>
          </cell>
        </row>
        <row r="53">
          <cell r="BC53" t="str">
            <v>R2YD1W</v>
          </cell>
          <cell r="BD53">
            <v>137.88999999999999</v>
          </cell>
          <cell r="BE53">
            <v>137.88999999999999</v>
          </cell>
        </row>
        <row r="54">
          <cell r="BC54" t="str">
            <v>R2YD2W</v>
          </cell>
          <cell r="BD54">
            <v>275.77</v>
          </cell>
          <cell r="BE54">
            <v>275.77</v>
          </cell>
        </row>
        <row r="55">
          <cell r="BC55" t="str">
            <v>R2YD3W</v>
          </cell>
          <cell r="BD55">
            <v>413.66</v>
          </cell>
          <cell r="BE55">
            <v>413.66</v>
          </cell>
        </row>
        <row r="56">
          <cell r="BC56" t="str">
            <v>R2YD4W</v>
          </cell>
          <cell r="BD56">
            <v>551.54999999999995</v>
          </cell>
          <cell r="BE56">
            <v>551.54999999999995</v>
          </cell>
        </row>
        <row r="57">
          <cell r="BC57" t="str">
            <v>R2YD5W</v>
          </cell>
          <cell r="BD57">
            <v>689.43</v>
          </cell>
          <cell r="BE57">
            <v>689.43</v>
          </cell>
        </row>
        <row r="58">
          <cell r="BC58" t="str">
            <v>R2YDEOW</v>
          </cell>
          <cell r="BD58">
            <v>69.040000000000006</v>
          </cell>
          <cell r="BE58">
            <v>69.040000000000006</v>
          </cell>
        </row>
        <row r="59">
          <cell r="BC59" t="str">
            <v>R2YDTPU</v>
          </cell>
          <cell r="BD59">
            <v>135.28</v>
          </cell>
          <cell r="BE59">
            <v>135.28</v>
          </cell>
        </row>
        <row r="60">
          <cell r="BC60" t="str">
            <v>RORENT20D</v>
          </cell>
          <cell r="BD60">
            <v>11.47</v>
          </cell>
          <cell r="BE60">
            <v>11.47</v>
          </cell>
        </row>
        <row r="61">
          <cell r="BC61" t="str">
            <v>RORENT20T</v>
          </cell>
          <cell r="BD61">
            <v>114.7</v>
          </cell>
          <cell r="BE61">
            <v>114.7</v>
          </cell>
        </row>
        <row r="62">
          <cell r="BC62" t="str">
            <v>RORENT25D</v>
          </cell>
          <cell r="BD62">
            <v>14.33</v>
          </cell>
          <cell r="BE62">
            <v>14.33</v>
          </cell>
        </row>
        <row r="63">
          <cell r="BC63" t="str">
            <v>RORENT25T</v>
          </cell>
          <cell r="BD63">
            <v>114.7</v>
          </cell>
          <cell r="BE63">
            <v>114.7</v>
          </cell>
        </row>
        <row r="64">
          <cell r="BC64" t="str">
            <v>RORENT30D</v>
          </cell>
          <cell r="BD64">
            <v>17.2</v>
          </cell>
          <cell r="BE64">
            <v>17.2</v>
          </cell>
        </row>
        <row r="65">
          <cell r="BC65" t="str">
            <v>RORENT30T</v>
          </cell>
          <cell r="BD65">
            <v>114.7</v>
          </cell>
          <cell r="BE65">
            <v>114.7</v>
          </cell>
        </row>
        <row r="66">
          <cell r="BC66" t="str">
            <v>STEPSC</v>
          </cell>
          <cell r="BD66">
            <v>0.48</v>
          </cell>
          <cell r="BE66">
            <v>0.48</v>
          </cell>
        </row>
        <row r="67">
          <cell r="BC67" t="str">
            <v>ONCALL</v>
          </cell>
          <cell r="BD67">
            <v>54.869782608695658</v>
          </cell>
        </row>
        <row r="68">
          <cell r="BC68" t="str">
            <v>32ROCPU</v>
          </cell>
          <cell r="BD68">
            <v>5.73</v>
          </cell>
          <cell r="BE68">
            <v>5.73</v>
          </cell>
        </row>
        <row r="69">
          <cell r="BC69" t="str">
            <v>BULKMIN-COMM</v>
          </cell>
          <cell r="BD69">
            <v>16.41</v>
          </cell>
          <cell r="BE69">
            <v>16.41</v>
          </cell>
        </row>
        <row r="70">
          <cell r="BC70" t="str">
            <v>CEX</v>
          </cell>
          <cell r="BD70">
            <v>3.82</v>
          </cell>
          <cell r="BE70">
            <v>3.82</v>
          </cell>
        </row>
        <row r="71">
          <cell r="BC71" t="str">
            <v>CEXYD</v>
          </cell>
          <cell r="BD71">
            <v>16.41</v>
          </cell>
          <cell r="BE71">
            <v>16.41</v>
          </cell>
        </row>
        <row r="72">
          <cell r="BC72" t="str">
            <v>CPCONNECT</v>
          </cell>
          <cell r="BD72">
            <v>4.28</v>
          </cell>
          <cell r="BE72">
            <v>4.28</v>
          </cell>
        </row>
        <row r="73">
          <cell r="BC73" t="str">
            <v>CPHAUL20</v>
          </cell>
          <cell r="BD73">
            <v>137.58000000000001</v>
          </cell>
          <cell r="BE73">
            <v>137.58000000000001</v>
          </cell>
        </row>
        <row r="74">
          <cell r="BC74" t="str">
            <v>CPHAUL25</v>
          </cell>
          <cell r="BD74">
            <v>143.32</v>
          </cell>
          <cell r="BE74">
            <v>143.32</v>
          </cell>
        </row>
        <row r="75">
          <cell r="BC75" t="str">
            <v>CPHAUL30</v>
          </cell>
          <cell r="BD75">
            <v>149.04</v>
          </cell>
          <cell r="BE75">
            <v>149.04</v>
          </cell>
        </row>
        <row r="76">
          <cell r="BC76" t="str">
            <v>CTDEL</v>
          </cell>
          <cell r="BD76">
            <v>26.56</v>
          </cell>
          <cell r="BE76">
            <v>26.56</v>
          </cell>
        </row>
        <row r="77">
          <cell r="BC77" t="str">
            <v>CTRIP</v>
          </cell>
          <cell r="BD77">
            <v>5.31</v>
          </cell>
          <cell r="BE77">
            <v>5.31</v>
          </cell>
        </row>
        <row r="78">
          <cell r="BC78" t="str">
            <v>DISP</v>
          </cell>
          <cell r="BD78">
            <v>134.59</v>
          </cell>
          <cell r="BE78">
            <v>134.59</v>
          </cell>
        </row>
        <row r="79">
          <cell r="BC79" t="str">
            <v>DRIVEDWAY-COMM</v>
          </cell>
          <cell r="BD79">
            <v>2.77</v>
          </cell>
          <cell r="BE79">
            <v>2.77</v>
          </cell>
        </row>
        <row r="80">
          <cell r="BC80" t="str">
            <v>DRIVEPVT-COMM</v>
          </cell>
          <cell r="BD80">
            <v>5.76</v>
          </cell>
          <cell r="BE80">
            <v>5.76</v>
          </cell>
        </row>
        <row r="81">
          <cell r="BC81" t="str">
            <v>HRLYADDEMPL-RO</v>
          </cell>
          <cell r="BD81">
            <v>35</v>
          </cell>
          <cell r="BE81">
            <v>35</v>
          </cell>
        </row>
        <row r="82">
          <cell r="BC82" t="str">
            <v>HRLYTRUCKTIMEMIN-RO</v>
          </cell>
          <cell r="BD82">
            <v>150</v>
          </cell>
          <cell r="BE82">
            <v>150</v>
          </cell>
        </row>
        <row r="83">
          <cell r="BC83" t="str">
            <v>HRLYTRUCKTIME-RO</v>
          </cell>
          <cell r="BD83">
            <v>75</v>
          </cell>
          <cell r="BE83">
            <v>75</v>
          </cell>
        </row>
        <row r="84">
          <cell r="BC84" t="str">
            <v>NSF FEES</v>
          </cell>
          <cell r="BD84">
            <v>26.56</v>
          </cell>
          <cell r="BE84">
            <v>26.56</v>
          </cell>
        </row>
        <row r="85">
          <cell r="BC85" t="str">
            <v>OSOW</v>
          </cell>
          <cell r="BD85">
            <v>2.56</v>
          </cell>
          <cell r="BE85">
            <v>2.56</v>
          </cell>
        </row>
        <row r="86">
          <cell r="BC86" t="str">
            <v>OT-RO</v>
          </cell>
          <cell r="BD86">
            <v>60</v>
          </cell>
          <cell r="BE86">
            <v>60</v>
          </cell>
        </row>
        <row r="87">
          <cell r="BC87" t="str">
            <v>OVERHEAD-COMM</v>
          </cell>
          <cell r="BD87">
            <v>1.17</v>
          </cell>
          <cell r="BE87">
            <v>1.17</v>
          </cell>
        </row>
        <row r="88">
          <cell r="BC88" t="str">
            <v>R1YDEX</v>
          </cell>
          <cell r="BD88">
            <v>18.079999999999998</v>
          </cell>
          <cell r="BE88">
            <v>18.079999999999998</v>
          </cell>
        </row>
        <row r="89">
          <cell r="BC89" t="str">
            <v>R2YDEX</v>
          </cell>
          <cell r="BD89">
            <v>31.82</v>
          </cell>
          <cell r="BE89">
            <v>31.82</v>
          </cell>
        </row>
        <row r="90">
          <cell r="BC90" t="str">
            <v>REDELCONT-COMM</v>
          </cell>
          <cell r="BD90">
            <v>39.5</v>
          </cell>
          <cell r="BE90">
            <v>39.5</v>
          </cell>
        </row>
        <row r="91">
          <cell r="BC91" t="str">
            <v>REDEL-RES</v>
          </cell>
          <cell r="BD91">
            <v>15</v>
          </cell>
          <cell r="BE91">
            <v>15</v>
          </cell>
        </row>
        <row r="92">
          <cell r="BC92" t="str">
            <v>REDEL-RO</v>
          </cell>
          <cell r="BD92">
            <v>49.5</v>
          </cell>
          <cell r="BE92">
            <v>49.5</v>
          </cell>
        </row>
        <row r="93">
          <cell r="BC93" t="str">
            <v>RELO-RO</v>
          </cell>
          <cell r="BD93">
            <v>57.33</v>
          </cell>
          <cell r="BE93">
            <v>57.33</v>
          </cell>
        </row>
        <row r="94">
          <cell r="BC94" t="str">
            <v>RESTART FEE</v>
          </cell>
          <cell r="BD94">
            <v>15</v>
          </cell>
          <cell r="BE94">
            <v>15</v>
          </cell>
        </row>
        <row r="95">
          <cell r="BC95" t="str">
            <v>REXTRA</v>
          </cell>
          <cell r="BD95">
            <v>3.82</v>
          </cell>
          <cell r="BE95">
            <v>3.82</v>
          </cell>
        </row>
        <row r="96">
          <cell r="BC96" t="str">
            <v>ROCLEAN</v>
          </cell>
          <cell r="BD96">
            <v>3.19</v>
          </cell>
          <cell r="BE96">
            <v>3.19</v>
          </cell>
        </row>
        <row r="97">
          <cell r="BC97" t="str">
            <v>ROCLEANMIN</v>
          </cell>
          <cell r="BD97">
            <v>9.56</v>
          </cell>
          <cell r="BE97">
            <v>9.56</v>
          </cell>
        </row>
        <row r="98">
          <cell r="BC98" t="str">
            <v>RODEL</v>
          </cell>
          <cell r="BD98">
            <v>77.39</v>
          </cell>
          <cell r="BE98">
            <v>77.39</v>
          </cell>
        </row>
        <row r="99">
          <cell r="BC99" t="str">
            <v>ROHAUL20</v>
          </cell>
          <cell r="BD99">
            <v>137.58000000000001</v>
          </cell>
          <cell r="BE99">
            <v>137.58000000000001</v>
          </cell>
        </row>
        <row r="100">
          <cell r="BC100" t="str">
            <v>ROHAUL20A</v>
          </cell>
          <cell r="BD100">
            <v>114.65</v>
          </cell>
          <cell r="BE100">
            <v>114.65</v>
          </cell>
        </row>
        <row r="101">
          <cell r="BC101" t="str">
            <v>ROHAUL20T</v>
          </cell>
          <cell r="BD101">
            <v>114.65</v>
          </cell>
          <cell r="BE101">
            <v>114.65</v>
          </cell>
        </row>
        <row r="102">
          <cell r="BC102" t="str">
            <v>ROHAUL25</v>
          </cell>
          <cell r="BD102">
            <v>137.58000000000001</v>
          </cell>
          <cell r="BE102">
            <v>137.58000000000001</v>
          </cell>
        </row>
        <row r="103">
          <cell r="BC103" t="str">
            <v>ROHAUL25A</v>
          </cell>
          <cell r="BD103">
            <v>114.65</v>
          </cell>
          <cell r="BE103">
            <v>114.65</v>
          </cell>
        </row>
        <row r="104">
          <cell r="BC104" t="str">
            <v>ROHAUL25T</v>
          </cell>
          <cell r="BD104">
            <v>114.65</v>
          </cell>
          <cell r="BE104">
            <v>114.65</v>
          </cell>
        </row>
        <row r="105">
          <cell r="BC105" t="str">
            <v>ROHAUL30</v>
          </cell>
          <cell r="BD105">
            <v>137.58000000000001</v>
          </cell>
          <cell r="BE105">
            <v>137.58000000000001</v>
          </cell>
        </row>
        <row r="106">
          <cell r="BC106" t="str">
            <v>ROHAUL30A</v>
          </cell>
          <cell r="BD106">
            <v>114.65</v>
          </cell>
          <cell r="BE106">
            <v>114.65</v>
          </cell>
        </row>
        <row r="107">
          <cell r="BC107" t="str">
            <v>ROHAUL30T</v>
          </cell>
          <cell r="BD107">
            <v>114.65</v>
          </cell>
          <cell r="BE107">
            <v>114.65</v>
          </cell>
        </row>
        <row r="108">
          <cell r="BC108" t="str">
            <v>ROSTEAM</v>
          </cell>
          <cell r="BD108">
            <v>3.72</v>
          </cell>
          <cell r="BE108">
            <v>3.72</v>
          </cell>
        </row>
        <row r="109">
          <cell r="BC109" t="str">
            <v>ROSTEAMMIN</v>
          </cell>
          <cell r="BD109">
            <v>18.59</v>
          </cell>
          <cell r="BE109">
            <v>18.59</v>
          </cell>
        </row>
        <row r="110">
          <cell r="BC110" t="str">
            <v>ROTA</v>
          </cell>
          <cell r="BD110">
            <v>17.84</v>
          </cell>
          <cell r="BE110">
            <v>17.84</v>
          </cell>
        </row>
        <row r="111">
          <cell r="BC111" t="str">
            <v>RTRIP-RO</v>
          </cell>
          <cell r="BD111">
            <v>57.33</v>
          </cell>
          <cell r="BE111">
            <v>57.33</v>
          </cell>
        </row>
        <row r="112">
          <cell r="BC112" t="str">
            <v>SUNKENC</v>
          </cell>
          <cell r="BD112">
            <v>1.17</v>
          </cell>
          <cell r="BE112">
            <v>1.17</v>
          </cell>
        </row>
        <row r="113">
          <cell r="BC113" t="str">
            <v>TRIPRCANS</v>
          </cell>
          <cell r="BD113">
            <v>2.66</v>
          </cell>
          <cell r="BE113">
            <v>2.66</v>
          </cell>
        </row>
        <row r="114">
          <cell r="BC114" t="str">
            <v>Grand Total</v>
          </cell>
          <cell r="BD114">
            <v>73.194857142857117</v>
          </cell>
        </row>
      </sheetData>
      <sheetData sheetId="21">
        <row r="2">
          <cell r="A2" t="str">
            <v>DMRCOMMERCIAL1.5YDFOOD1W</v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zoomScale="85" zoomScaleNormal="85" workbookViewId="0">
      <selection activeCell="C66" sqref="C66"/>
    </sheetView>
  </sheetViews>
  <sheetFormatPr defaultRowHeight="15" x14ac:dyDescent="0.25"/>
  <cols>
    <col min="1" max="1" width="31.28515625" style="60" customWidth="1"/>
    <col min="2" max="2" width="7" style="60" customWidth="1"/>
    <col min="3" max="3" width="19" style="60" bestFit="1" customWidth="1"/>
    <col min="4" max="4" width="11" style="60" customWidth="1"/>
    <col min="5" max="5" width="10.5703125" style="60" bestFit="1" customWidth="1"/>
    <col min="6" max="6" width="7" style="60" bestFit="1" customWidth="1"/>
    <col min="7" max="7" width="11.42578125" style="60" bestFit="1" customWidth="1"/>
    <col min="8" max="8" width="10.5703125" style="60" bestFit="1" customWidth="1"/>
    <col min="9" max="9" width="8" style="60" bestFit="1" customWidth="1"/>
    <col min="10" max="10" width="15.85546875" style="60" bestFit="1" customWidth="1"/>
    <col min="11" max="11" width="14.5703125" style="60" customWidth="1"/>
    <col min="12" max="16384" width="9.140625" style="60"/>
  </cols>
  <sheetData>
    <row r="1" spans="1:11" x14ac:dyDescent="0.25">
      <c r="A1" s="270" t="s">
        <v>220</v>
      </c>
      <c r="B1" s="270"/>
      <c r="C1" s="270"/>
      <c r="D1" s="270"/>
      <c r="E1" s="270"/>
      <c r="F1" s="270"/>
      <c r="G1" s="270"/>
      <c r="H1" s="270"/>
      <c r="I1" s="270"/>
    </row>
    <row r="2" spans="1:11" x14ac:dyDescent="0.25">
      <c r="A2" s="60" t="s">
        <v>221</v>
      </c>
      <c r="C2" s="61" t="s">
        <v>222</v>
      </c>
      <c r="D2" s="61" t="s">
        <v>223</v>
      </c>
      <c r="E2" s="61" t="s">
        <v>224</v>
      </c>
      <c r="F2" s="62" t="s">
        <v>225</v>
      </c>
      <c r="G2" s="62" t="s">
        <v>226</v>
      </c>
      <c r="H2" s="62" t="s">
        <v>227</v>
      </c>
      <c r="I2" s="61" t="s">
        <v>228</v>
      </c>
    </row>
    <row r="3" spans="1:11" x14ac:dyDescent="0.25">
      <c r="A3" s="60" t="s">
        <v>229</v>
      </c>
      <c r="C3" s="63">
        <f>52*5/12</f>
        <v>21.666666666666668</v>
      </c>
      <c r="D3" s="64">
        <f>$C$3*2</f>
        <v>43.333333333333336</v>
      </c>
      <c r="E3" s="64">
        <f>$C$3*3</f>
        <v>65</v>
      </c>
      <c r="F3" s="64">
        <f>$C$3*4</f>
        <v>86.666666666666671</v>
      </c>
      <c r="G3" s="64">
        <f>$C$3*5</f>
        <v>108.33333333333334</v>
      </c>
      <c r="H3" s="64">
        <f>$C$3*6</f>
        <v>130</v>
      </c>
      <c r="I3" s="64">
        <f>$C$3*7</f>
        <v>151.66666666666669</v>
      </c>
    </row>
    <row r="4" spans="1:11" x14ac:dyDescent="0.25">
      <c r="A4" s="60" t="s">
        <v>230</v>
      </c>
      <c r="C4" s="63">
        <f>52*4/12</f>
        <v>17.333333333333332</v>
      </c>
      <c r="D4" s="64">
        <f>$C$4*2</f>
        <v>34.666666666666664</v>
      </c>
      <c r="E4" s="64">
        <f>$C$4*3</f>
        <v>52</v>
      </c>
      <c r="F4" s="64">
        <f>$C$4*4</f>
        <v>69.333333333333329</v>
      </c>
      <c r="G4" s="64">
        <f>$C$4*5</f>
        <v>86.666666666666657</v>
      </c>
      <c r="H4" s="64">
        <f>$C$4*6</f>
        <v>104</v>
      </c>
      <c r="I4" s="64">
        <f>$C$4*7</f>
        <v>121.33333333333333</v>
      </c>
    </row>
    <row r="5" spans="1:11" x14ac:dyDescent="0.25">
      <c r="A5" s="60" t="s">
        <v>231</v>
      </c>
      <c r="C5" s="63">
        <f>52*3/12</f>
        <v>13</v>
      </c>
      <c r="D5" s="64">
        <f>$C$5*2</f>
        <v>26</v>
      </c>
      <c r="E5" s="64">
        <f>$C$5*3</f>
        <v>39</v>
      </c>
      <c r="F5" s="64">
        <f>$C$5*4</f>
        <v>52</v>
      </c>
      <c r="G5" s="64">
        <f>$C$5*5</f>
        <v>65</v>
      </c>
      <c r="H5" s="64">
        <f>$C$5*6</f>
        <v>78</v>
      </c>
      <c r="I5" s="64">
        <f>$C$5*7</f>
        <v>91</v>
      </c>
    </row>
    <row r="6" spans="1:11" x14ac:dyDescent="0.25">
      <c r="A6" s="60" t="s">
        <v>232</v>
      </c>
      <c r="C6" s="63">
        <f>52*2/12</f>
        <v>8.6666666666666661</v>
      </c>
      <c r="D6" s="65">
        <f>$C$6*2</f>
        <v>17.333333333333332</v>
      </c>
      <c r="E6" s="65">
        <f>$C$6*3</f>
        <v>26</v>
      </c>
      <c r="F6" s="65">
        <f>$C$6*4</f>
        <v>34.666666666666664</v>
      </c>
      <c r="G6" s="65">
        <f>$C$6*5</f>
        <v>43.333333333333329</v>
      </c>
      <c r="H6" s="65">
        <f>$C$6*6</f>
        <v>52</v>
      </c>
      <c r="I6" s="65">
        <f>$C$6*7</f>
        <v>60.666666666666664</v>
      </c>
    </row>
    <row r="7" spans="1:11" x14ac:dyDescent="0.25">
      <c r="A7" s="60" t="s">
        <v>233</v>
      </c>
      <c r="C7" s="63">
        <f>52/12</f>
        <v>4.333333333333333</v>
      </c>
      <c r="D7" s="65">
        <f>$C$7*2</f>
        <v>8.6666666666666661</v>
      </c>
      <c r="E7" s="65">
        <f>$C$7*3</f>
        <v>13</v>
      </c>
      <c r="F7" s="65">
        <f>$C$7*4</f>
        <v>17.333333333333332</v>
      </c>
      <c r="G7" s="65">
        <f>$C$7*5</f>
        <v>21.666666666666664</v>
      </c>
      <c r="H7" s="65">
        <f>$C$7*6</f>
        <v>26</v>
      </c>
      <c r="I7" s="65">
        <f>$C$7*7</f>
        <v>30.333333333333332</v>
      </c>
    </row>
    <row r="8" spans="1:11" x14ac:dyDescent="0.25">
      <c r="A8" s="60" t="s">
        <v>234</v>
      </c>
      <c r="C8" s="66">
        <f>26/12</f>
        <v>2.1666666666666665</v>
      </c>
      <c r="D8" s="65">
        <f>$C$8*2</f>
        <v>4.333333333333333</v>
      </c>
      <c r="E8" s="65">
        <f>$C$8*3</f>
        <v>6.5</v>
      </c>
      <c r="F8" s="65">
        <f>$C$8*4</f>
        <v>8.6666666666666661</v>
      </c>
      <c r="G8" s="65">
        <f>$C$8*5</f>
        <v>10.833333333333332</v>
      </c>
      <c r="H8" s="65">
        <f>$C$8*6</f>
        <v>13</v>
      </c>
      <c r="I8" s="65">
        <f>$C$8*7</f>
        <v>15.166666666666666</v>
      </c>
    </row>
    <row r="9" spans="1:11" x14ac:dyDescent="0.25">
      <c r="A9" s="60" t="s">
        <v>235</v>
      </c>
      <c r="C9" s="63">
        <f>12/12</f>
        <v>1</v>
      </c>
      <c r="D9" s="65">
        <f>$C$9*2</f>
        <v>2</v>
      </c>
      <c r="E9" s="65">
        <f>$C$9*3</f>
        <v>3</v>
      </c>
      <c r="F9" s="65">
        <f>$C$9*4</f>
        <v>4</v>
      </c>
      <c r="G9" s="65">
        <f>$C$9*5</f>
        <v>5</v>
      </c>
      <c r="H9" s="65">
        <f>$C$9*6</f>
        <v>6</v>
      </c>
      <c r="I9" s="65">
        <f>$C$9*7</f>
        <v>7</v>
      </c>
    </row>
    <row r="10" spans="1:11" x14ac:dyDescent="0.25">
      <c r="A10" s="60" t="s">
        <v>236</v>
      </c>
      <c r="C10" s="63">
        <v>1</v>
      </c>
      <c r="D10" s="65"/>
      <c r="E10" s="65"/>
      <c r="F10" s="65"/>
      <c r="G10" s="65"/>
      <c r="H10" s="65"/>
      <c r="I10" s="65"/>
    </row>
    <row r="11" spans="1:11" x14ac:dyDescent="0.25">
      <c r="A11" s="60" t="s">
        <v>237</v>
      </c>
      <c r="C11" s="63">
        <v>4</v>
      </c>
      <c r="D11" s="65"/>
      <c r="E11" s="65"/>
      <c r="F11" s="65"/>
      <c r="G11" s="65"/>
      <c r="H11" s="65"/>
      <c r="I11" s="65"/>
    </row>
    <row r="12" spans="1:11" x14ac:dyDescent="0.25">
      <c r="C12" s="63"/>
      <c r="D12" s="65"/>
      <c r="E12" s="65"/>
      <c r="F12" s="65"/>
      <c r="G12" s="65"/>
      <c r="H12" s="65"/>
      <c r="I12" s="65"/>
    </row>
    <row r="13" spans="1:11" x14ac:dyDescent="0.25">
      <c r="A13" s="270" t="s">
        <v>238</v>
      </c>
      <c r="B13" s="270"/>
      <c r="C13" s="270"/>
      <c r="D13" s="65"/>
      <c r="E13" s="65"/>
      <c r="F13" s="65"/>
      <c r="G13" s="65"/>
      <c r="H13" s="65"/>
      <c r="I13" s="65"/>
    </row>
    <row r="14" spans="1:11" x14ac:dyDescent="0.25">
      <c r="A14" s="67" t="s">
        <v>239</v>
      </c>
      <c r="B14" s="67"/>
      <c r="C14" s="68" t="s">
        <v>240</v>
      </c>
      <c r="D14" s="65"/>
      <c r="E14" s="65"/>
      <c r="F14" s="65"/>
      <c r="G14" s="65"/>
      <c r="H14" s="65"/>
      <c r="I14" s="65"/>
      <c r="K14" s="69"/>
    </row>
    <row r="15" spans="1:11" x14ac:dyDescent="0.25">
      <c r="A15" s="70" t="s">
        <v>241</v>
      </c>
      <c r="B15" s="70"/>
      <c r="C15" s="71">
        <v>20</v>
      </c>
      <c r="D15" s="65"/>
      <c r="E15" s="65"/>
      <c r="F15" s="65"/>
      <c r="G15" s="65"/>
      <c r="H15" s="65"/>
      <c r="I15" s="65"/>
    </row>
    <row r="16" spans="1:11" x14ac:dyDescent="0.25">
      <c r="A16" s="70" t="s">
        <v>242</v>
      </c>
      <c r="B16" s="70"/>
      <c r="C16" s="71">
        <v>34</v>
      </c>
      <c r="D16" s="65"/>
      <c r="E16" s="65"/>
      <c r="F16" s="65"/>
      <c r="G16" s="65"/>
      <c r="H16" s="65"/>
      <c r="I16" s="65"/>
    </row>
    <row r="17" spans="1:9" x14ac:dyDescent="0.25">
      <c r="A17" s="70" t="s">
        <v>243</v>
      </c>
      <c r="B17" s="70"/>
      <c r="C17" s="71">
        <v>51</v>
      </c>
      <c r="D17" s="65"/>
      <c r="E17" s="65"/>
      <c r="F17" s="65"/>
      <c r="G17" s="65"/>
      <c r="H17" s="65"/>
      <c r="I17" s="65"/>
    </row>
    <row r="18" spans="1:9" x14ac:dyDescent="0.25">
      <c r="A18" s="70" t="s">
        <v>244</v>
      </c>
      <c r="B18" s="70"/>
      <c r="C18" s="71">
        <v>77</v>
      </c>
      <c r="D18" s="65"/>
      <c r="E18" s="65"/>
      <c r="F18" s="65"/>
      <c r="G18" s="60" t="s">
        <v>245</v>
      </c>
      <c r="H18" s="71">
        <v>2000</v>
      </c>
      <c r="I18" s="65"/>
    </row>
    <row r="19" spans="1:9" x14ac:dyDescent="0.25">
      <c r="A19" s="70" t="s">
        <v>246</v>
      </c>
      <c r="B19" s="70"/>
      <c r="C19" s="71">
        <v>97</v>
      </c>
      <c r="D19" s="65"/>
      <c r="E19" s="65"/>
      <c r="F19" s="65"/>
      <c r="G19" s="60" t="s">
        <v>247</v>
      </c>
      <c r="H19" s="245" t="s">
        <v>248</v>
      </c>
      <c r="I19" s="65"/>
    </row>
    <row r="20" spans="1:9" x14ac:dyDescent="0.25">
      <c r="A20" s="70" t="s">
        <v>249</v>
      </c>
      <c r="B20" s="70"/>
      <c r="C20" s="71">
        <v>117</v>
      </c>
      <c r="D20" s="65"/>
      <c r="E20" s="65"/>
      <c r="F20" s="65"/>
      <c r="I20" s="65"/>
    </row>
    <row r="21" spans="1:9" x14ac:dyDescent="0.25">
      <c r="A21" s="70" t="s">
        <v>250</v>
      </c>
      <c r="B21" s="70"/>
      <c r="C21" s="71">
        <v>137</v>
      </c>
      <c r="D21" s="65"/>
      <c r="E21" s="65"/>
      <c r="F21" s="65"/>
      <c r="G21" s="72" t="s">
        <v>251</v>
      </c>
      <c r="H21" s="246">
        <v>12</v>
      </c>
      <c r="I21" s="65"/>
    </row>
    <row r="22" spans="1:9" x14ac:dyDescent="0.25">
      <c r="A22" s="70" t="s">
        <v>252</v>
      </c>
      <c r="B22" s="70"/>
      <c r="C22" s="71">
        <v>40</v>
      </c>
      <c r="D22" s="65" t="s">
        <v>253</v>
      </c>
      <c r="E22" s="65"/>
      <c r="F22" s="65"/>
      <c r="G22" s="73"/>
      <c r="H22" s="74"/>
      <c r="I22" s="65"/>
    </row>
    <row r="23" spans="1:9" x14ac:dyDescent="0.25">
      <c r="A23" s="70" t="s">
        <v>254</v>
      </c>
      <c r="B23" s="70"/>
      <c r="C23" s="71">
        <v>47</v>
      </c>
      <c r="D23" s="65"/>
      <c r="E23" s="65"/>
      <c r="F23" s="65"/>
      <c r="G23" s="65"/>
      <c r="H23" s="65"/>
      <c r="I23" s="65"/>
    </row>
    <row r="24" spans="1:9" x14ac:dyDescent="0.25">
      <c r="A24" s="70" t="s">
        <v>255</v>
      </c>
      <c r="B24" s="70"/>
      <c r="C24" s="71">
        <v>68</v>
      </c>
      <c r="D24" s="65"/>
      <c r="E24" s="65"/>
      <c r="F24" s="65"/>
      <c r="G24" s="65"/>
      <c r="H24" s="65"/>
      <c r="I24" s="65"/>
    </row>
    <row r="25" spans="1:9" x14ac:dyDescent="0.25">
      <c r="A25" s="70" t="s">
        <v>256</v>
      </c>
      <c r="B25" s="70"/>
      <c r="C25" s="71">
        <v>34</v>
      </c>
      <c r="D25" s="65"/>
      <c r="E25" s="65"/>
      <c r="F25" s="65"/>
      <c r="G25" s="65"/>
      <c r="H25" s="65"/>
      <c r="I25" s="65"/>
    </row>
    <row r="26" spans="1:9" x14ac:dyDescent="0.25">
      <c r="A26" s="70" t="s">
        <v>257</v>
      </c>
      <c r="B26" s="70"/>
      <c r="C26" s="71">
        <v>34</v>
      </c>
      <c r="D26" s="65"/>
      <c r="E26" s="65"/>
      <c r="F26" s="65"/>
      <c r="G26" s="65"/>
      <c r="H26" s="65"/>
      <c r="I26" s="65"/>
    </row>
    <row r="27" spans="1:9" x14ac:dyDescent="0.25">
      <c r="A27" s="67" t="s">
        <v>258</v>
      </c>
      <c r="B27" s="67"/>
      <c r="C27" s="71"/>
      <c r="D27" s="65"/>
      <c r="E27" s="65"/>
      <c r="F27" s="65"/>
      <c r="G27" s="65"/>
      <c r="H27" s="65"/>
      <c r="I27" s="65"/>
    </row>
    <row r="28" spans="1:9" x14ac:dyDescent="0.25">
      <c r="A28" s="70" t="s">
        <v>259</v>
      </c>
      <c r="B28" s="70"/>
      <c r="C28" s="71">
        <v>29</v>
      </c>
      <c r="D28" s="65"/>
      <c r="E28" s="65"/>
      <c r="F28" s="65"/>
      <c r="G28" s="65"/>
      <c r="H28" s="65"/>
      <c r="I28" s="65"/>
    </row>
    <row r="29" spans="1:9" x14ac:dyDescent="0.25">
      <c r="A29" s="70" t="s">
        <v>260</v>
      </c>
      <c r="B29" s="70"/>
      <c r="C29" s="71">
        <v>125</v>
      </c>
      <c r="D29" s="65"/>
      <c r="E29" s="65"/>
      <c r="F29" s="65"/>
      <c r="G29" s="65"/>
      <c r="H29" s="65"/>
      <c r="I29" s="65"/>
    </row>
    <row r="30" spans="1:9" x14ac:dyDescent="0.25">
      <c r="A30" s="70" t="s">
        <v>261</v>
      </c>
      <c r="B30" s="70"/>
      <c r="C30" s="71">
        <v>175</v>
      </c>
      <c r="D30" s="65"/>
      <c r="E30" s="65"/>
      <c r="F30" s="65"/>
      <c r="G30" s="65"/>
      <c r="H30" s="65"/>
      <c r="I30" s="65"/>
    </row>
    <row r="31" spans="1:9" x14ac:dyDescent="0.25">
      <c r="A31" s="70" t="s">
        <v>262</v>
      </c>
      <c r="B31" s="70"/>
      <c r="C31" s="71">
        <v>250</v>
      </c>
      <c r="D31" s="65"/>
      <c r="E31" s="65"/>
      <c r="F31" s="65"/>
      <c r="G31" s="65"/>
      <c r="H31" s="65"/>
      <c r="I31" s="65"/>
    </row>
    <row r="32" spans="1:9" x14ac:dyDescent="0.25">
      <c r="A32" s="70" t="s">
        <v>263</v>
      </c>
      <c r="B32" s="70"/>
      <c r="C32" s="71">
        <v>324</v>
      </c>
      <c r="D32" s="65"/>
      <c r="E32" s="65"/>
      <c r="F32" s="65"/>
      <c r="G32" s="65"/>
      <c r="H32" s="65"/>
      <c r="I32" s="65"/>
    </row>
    <row r="33" spans="1:9" x14ac:dyDescent="0.25">
      <c r="A33" s="70" t="s">
        <v>264</v>
      </c>
      <c r="B33" s="70"/>
      <c r="C33" s="71">
        <v>473</v>
      </c>
      <c r="D33" s="65"/>
      <c r="E33" s="65"/>
      <c r="F33" s="65"/>
      <c r="G33" s="65"/>
      <c r="H33" s="65"/>
      <c r="I33" s="65"/>
    </row>
    <row r="34" spans="1:9" x14ac:dyDescent="0.25">
      <c r="A34" s="70" t="s">
        <v>265</v>
      </c>
      <c r="B34" s="70"/>
      <c r="C34" s="71">
        <v>613</v>
      </c>
      <c r="D34" s="65"/>
      <c r="E34" s="65"/>
      <c r="F34" s="65"/>
      <c r="G34" s="65"/>
      <c r="H34" s="65"/>
      <c r="I34" s="65"/>
    </row>
    <row r="35" spans="1:9" x14ac:dyDescent="0.25">
      <c r="A35" s="70" t="s">
        <v>266</v>
      </c>
      <c r="B35" s="70"/>
      <c r="C35" s="71">
        <v>840</v>
      </c>
      <c r="D35" s="65"/>
      <c r="E35" s="65"/>
      <c r="F35" s="65"/>
      <c r="G35" s="65"/>
      <c r="H35" s="65"/>
      <c r="I35" s="65"/>
    </row>
    <row r="36" spans="1:9" x14ac:dyDescent="0.25">
      <c r="A36" s="70" t="s">
        <v>267</v>
      </c>
      <c r="B36" s="70"/>
      <c r="C36" s="71">
        <v>980</v>
      </c>
      <c r="D36" s="75"/>
      <c r="E36" s="65"/>
      <c r="F36" s="65"/>
      <c r="G36" s="65"/>
      <c r="H36" s="65"/>
      <c r="I36" s="65"/>
    </row>
    <row r="37" spans="1:9" x14ac:dyDescent="0.25">
      <c r="A37" s="76" t="s">
        <v>268</v>
      </c>
      <c r="B37" s="76">
        <v>2.25</v>
      </c>
      <c r="C37" s="71"/>
      <c r="D37" s="75"/>
      <c r="E37" s="65"/>
      <c r="F37" s="65"/>
      <c r="G37" s="65"/>
      <c r="H37" s="65"/>
      <c r="I37" s="65"/>
    </row>
    <row r="38" spans="1:9" x14ac:dyDescent="0.25">
      <c r="A38" s="70" t="s">
        <v>269</v>
      </c>
      <c r="B38" s="70"/>
      <c r="C38" s="71">
        <f>C32*$B$37</f>
        <v>729</v>
      </c>
      <c r="D38" s="65" t="s">
        <v>253</v>
      </c>
      <c r="E38" s="65"/>
      <c r="F38" s="65"/>
      <c r="G38" s="65"/>
      <c r="H38" s="65"/>
      <c r="I38" s="65"/>
    </row>
    <row r="39" spans="1:9" x14ac:dyDescent="0.25">
      <c r="A39" s="70" t="s">
        <v>270</v>
      </c>
      <c r="B39" s="70"/>
      <c r="C39" s="71">
        <f>C34*$B$37</f>
        <v>1379.25</v>
      </c>
      <c r="D39" s="65" t="s">
        <v>253</v>
      </c>
      <c r="E39" s="65"/>
      <c r="F39" s="65"/>
      <c r="G39" s="65"/>
      <c r="H39" s="65"/>
      <c r="I39" s="65"/>
    </row>
    <row r="40" spans="1:9" x14ac:dyDescent="0.25">
      <c r="A40" s="70" t="s">
        <v>271</v>
      </c>
      <c r="B40" s="70"/>
      <c r="C40" s="71">
        <f>C35*$B$37</f>
        <v>1890</v>
      </c>
      <c r="D40" s="65" t="s">
        <v>253</v>
      </c>
      <c r="E40" s="65"/>
      <c r="F40" s="65"/>
      <c r="G40" s="65"/>
      <c r="H40" s="65"/>
      <c r="I40" s="65"/>
    </row>
    <row r="41" spans="1:9" x14ac:dyDescent="0.25">
      <c r="A41" s="76" t="s">
        <v>272</v>
      </c>
      <c r="B41" s="76">
        <v>3</v>
      </c>
      <c r="C41" s="71"/>
      <c r="D41" s="65"/>
      <c r="E41" s="65"/>
      <c r="F41" s="65"/>
      <c r="G41" s="65"/>
      <c r="H41" s="65"/>
      <c r="I41" s="65"/>
    </row>
    <row r="42" spans="1:9" x14ac:dyDescent="0.25">
      <c r="A42" s="70" t="s">
        <v>269</v>
      </c>
      <c r="B42" s="70"/>
      <c r="C42" s="77">
        <f>C32*$B$41</f>
        <v>972</v>
      </c>
      <c r="D42" s="65" t="s">
        <v>253</v>
      </c>
      <c r="E42" s="65"/>
      <c r="F42" s="65"/>
      <c r="G42" s="65"/>
      <c r="H42" s="65"/>
      <c r="I42" s="65"/>
    </row>
    <row r="43" spans="1:9" x14ac:dyDescent="0.25">
      <c r="A43" s="70" t="s">
        <v>273</v>
      </c>
      <c r="B43" s="70"/>
      <c r="C43" s="77">
        <f t="shared" ref="C43:C45" si="0">C33*$B$41</f>
        <v>1419</v>
      </c>
      <c r="D43" s="65" t="s">
        <v>253</v>
      </c>
      <c r="E43" s="65"/>
      <c r="F43" s="65"/>
      <c r="G43" s="65"/>
      <c r="H43" s="65"/>
      <c r="I43" s="65"/>
    </row>
    <row r="44" spans="1:9" x14ac:dyDescent="0.25">
      <c r="A44" s="70" t="s">
        <v>270</v>
      </c>
      <c r="B44" s="70"/>
      <c r="C44" s="77">
        <f t="shared" si="0"/>
        <v>1839</v>
      </c>
      <c r="D44" s="65" t="s">
        <v>253</v>
      </c>
      <c r="E44" s="65"/>
      <c r="F44" s="65"/>
      <c r="G44" s="65"/>
      <c r="H44" s="65"/>
      <c r="I44" s="65"/>
    </row>
    <row r="45" spans="1:9" x14ac:dyDescent="0.25">
      <c r="A45" s="70" t="s">
        <v>271</v>
      </c>
      <c r="B45" s="70"/>
      <c r="C45" s="77">
        <f t="shared" si="0"/>
        <v>2520</v>
      </c>
      <c r="D45" s="65" t="s">
        <v>253</v>
      </c>
      <c r="E45" s="65"/>
      <c r="F45" s="65"/>
      <c r="G45" s="65"/>
      <c r="H45" s="65"/>
      <c r="I45" s="65"/>
    </row>
    <row r="46" spans="1:9" x14ac:dyDescent="0.25">
      <c r="A46" s="76" t="s">
        <v>274</v>
      </c>
      <c r="B46" s="76">
        <v>4</v>
      </c>
      <c r="C46" s="71"/>
      <c r="D46" s="65"/>
      <c r="E46" s="65"/>
      <c r="F46" s="65"/>
      <c r="G46" s="65"/>
      <c r="H46" s="65"/>
      <c r="I46" s="65"/>
    </row>
    <row r="47" spans="1:9" x14ac:dyDescent="0.25">
      <c r="A47" s="70" t="s">
        <v>273</v>
      </c>
      <c r="B47" s="70"/>
      <c r="C47" s="77">
        <f t="shared" ref="C47:C49" si="1">C33*$B$46</f>
        <v>1892</v>
      </c>
      <c r="D47" s="65" t="s">
        <v>253</v>
      </c>
      <c r="E47" s="65"/>
      <c r="F47" s="65"/>
      <c r="G47" s="65"/>
      <c r="H47" s="65"/>
      <c r="I47" s="65"/>
    </row>
    <row r="48" spans="1:9" x14ac:dyDescent="0.25">
      <c r="A48" s="70" t="s">
        <v>270</v>
      </c>
      <c r="B48" s="70"/>
      <c r="C48" s="77">
        <f t="shared" si="1"/>
        <v>2452</v>
      </c>
      <c r="D48" s="65" t="s">
        <v>253</v>
      </c>
      <c r="E48" s="65"/>
      <c r="F48" s="65"/>
      <c r="G48" s="65"/>
      <c r="H48" s="65"/>
      <c r="I48" s="65"/>
    </row>
    <row r="49" spans="1:10" x14ac:dyDescent="0.25">
      <c r="A49" s="70" t="s">
        <v>271</v>
      </c>
      <c r="B49" s="70"/>
      <c r="C49" s="77">
        <f t="shared" si="1"/>
        <v>3360</v>
      </c>
      <c r="D49" s="65" t="s">
        <v>253</v>
      </c>
      <c r="E49" s="65"/>
      <c r="F49" s="65"/>
      <c r="G49" s="65"/>
      <c r="H49" s="65"/>
      <c r="I49" s="65"/>
    </row>
    <row r="50" spans="1:10" x14ac:dyDescent="0.25">
      <c r="A50" s="76" t="s">
        <v>275</v>
      </c>
      <c r="B50" s="76">
        <v>5</v>
      </c>
      <c r="C50" s="71"/>
      <c r="D50" s="65"/>
      <c r="E50" s="65"/>
      <c r="F50" s="65"/>
      <c r="G50" s="65"/>
      <c r="H50" s="65"/>
      <c r="I50" s="65"/>
    </row>
    <row r="51" spans="1:10" x14ac:dyDescent="0.25">
      <c r="A51" s="70" t="s">
        <v>269</v>
      </c>
      <c r="B51" s="76"/>
      <c r="C51" s="71">
        <f>C32*$B$50</f>
        <v>1620</v>
      </c>
      <c r="D51" s="65" t="s">
        <v>253</v>
      </c>
      <c r="E51" s="65"/>
      <c r="F51" s="65"/>
      <c r="G51" s="65"/>
      <c r="H51" s="65"/>
      <c r="I51" s="65"/>
    </row>
    <row r="52" spans="1:10" x14ac:dyDescent="0.25">
      <c r="A52" s="70" t="s">
        <v>270</v>
      </c>
      <c r="B52" s="70"/>
      <c r="C52" s="77">
        <f>C34*$B$50</f>
        <v>3065</v>
      </c>
      <c r="D52" s="65" t="s">
        <v>253</v>
      </c>
      <c r="E52" s="65"/>
      <c r="F52" s="65"/>
      <c r="G52" s="65"/>
      <c r="H52" s="65"/>
      <c r="I52" s="65"/>
    </row>
    <row r="53" spans="1:10" x14ac:dyDescent="0.25">
      <c r="A53" s="70" t="s">
        <v>271</v>
      </c>
      <c r="B53" s="70"/>
      <c r="C53" s="77">
        <f>C35*$B$50</f>
        <v>4200</v>
      </c>
      <c r="D53" s="65" t="s">
        <v>253</v>
      </c>
      <c r="E53" s="65"/>
      <c r="F53" s="65"/>
      <c r="G53" s="65"/>
      <c r="H53" s="65"/>
      <c r="I53" s="65"/>
    </row>
    <row r="54" spans="1:10" x14ac:dyDescent="0.25">
      <c r="C54" s="271" t="s">
        <v>276</v>
      </c>
      <c r="D54" s="271"/>
    </row>
    <row r="55" spans="1:10" x14ac:dyDescent="0.25">
      <c r="C55" s="60" t="s">
        <v>277</v>
      </c>
    </row>
    <row r="57" spans="1:10" x14ac:dyDescent="0.25">
      <c r="A57" s="78" t="s">
        <v>278</v>
      </c>
      <c r="B57" s="78"/>
      <c r="C57" s="79" t="s">
        <v>279</v>
      </c>
      <c r="D57" s="79" t="s">
        <v>280</v>
      </c>
      <c r="G57" s="272" t="s">
        <v>281</v>
      </c>
      <c r="H57" s="272"/>
    </row>
    <row r="58" spans="1:10" x14ac:dyDescent="0.25">
      <c r="A58" s="80" t="s">
        <v>282</v>
      </c>
      <c r="B58" s="80"/>
      <c r="C58" s="262">
        <v>140.82</v>
      </c>
      <c r="D58" s="81">
        <f>C58/$H$18</f>
        <v>7.041E-2</v>
      </c>
      <c r="G58" s="60" t="s">
        <v>283</v>
      </c>
      <c r="H58" s="82">
        <f>0.0175</f>
        <v>1.7500000000000002E-2</v>
      </c>
    </row>
    <row r="59" spans="1:10" x14ac:dyDescent="0.25">
      <c r="A59" s="80" t="s">
        <v>284</v>
      </c>
      <c r="B59" s="80"/>
      <c r="C59" s="263">
        <v>154.02000000000001</v>
      </c>
      <c r="D59" s="81">
        <f>C59/$H$18</f>
        <v>7.7010000000000009E-2</v>
      </c>
      <c r="G59" s="60" t="s">
        <v>285</v>
      </c>
      <c r="H59" s="83">
        <v>5.1000000000000004E-3</v>
      </c>
    </row>
    <row r="60" spans="1:10" x14ac:dyDescent="0.25">
      <c r="A60" s="70" t="s">
        <v>2</v>
      </c>
      <c r="B60" s="70"/>
      <c r="C60" s="84">
        <f>C59-C58</f>
        <v>13.200000000000017</v>
      </c>
      <c r="D60" s="85">
        <f>D59-D58</f>
        <v>6.6000000000000086E-3</v>
      </c>
      <c r="E60" s="86">
        <f>C60/C58</f>
        <v>9.3736685129953257E-2</v>
      </c>
      <c r="G60" s="60" t="s">
        <v>286</v>
      </c>
      <c r="H60" s="87"/>
    </row>
    <row r="61" spans="1:10" x14ac:dyDescent="0.25">
      <c r="D61" s="88"/>
      <c r="G61" s="60" t="s">
        <v>1</v>
      </c>
      <c r="H61" s="89">
        <f>SUM(H58:H60)</f>
        <v>2.2600000000000002E-2</v>
      </c>
      <c r="J61" s="90"/>
    </row>
    <row r="62" spans="1:10" x14ac:dyDescent="0.25">
      <c r="C62" s="79" t="s">
        <v>287</v>
      </c>
    </row>
    <row r="63" spans="1:10" x14ac:dyDescent="0.25">
      <c r="A63" s="60" t="s">
        <v>288</v>
      </c>
      <c r="C63" s="91">
        <f>C60</f>
        <v>13.200000000000017</v>
      </c>
      <c r="G63" s="60" t="s">
        <v>289</v>
      </c>
      <c r="H63" s="92">
        <f>1-H61</f>
        <v>0.97740000000000005</v>
      </c>
    </row>
    <row r="64" spans="1:10" x14ac:dyDescent="0.25">
      <c r="A64" s="60" t="s">
        <v>290</v>
      </c>
      <c r="C64" s="91">
        <f>C63/$H$63</f>
        <v>13.505217925107445</v>
      </c>
      <c r="D64" s="91"/>
    </row>
    <row r="65" spans="1:8" x14ac:dyDescent="0.25">
      <c r="A65" s="60" t="s">
        <v>291</v>
      </c>
      <c r="C65" s="93">
        <f>+'DF Calculation from TG-180955'!D56</f>
        <v>2369.77</v>
      </c>
      <c r="D65" s="91"/>
    </row>
    <row r="66" spans="1:8" x14ac:dyDescent="0.25">
      <c r="A66" s="67" t="s">
        <v>292</v>
      </c>
      <c r="B66" s="67"/>
      <c r="C66" s="94">
        <f>C64*C65</f>
        <v>32004.260282381871</v>
      </c>
      <c r="H66" s="95"/>
    </row>
    <row r="67" spans="1:8" x14ac:dyDescent="0.25">
      <c r="H67" s="96"/>
    </row>
    <row r="68" spans="1:8" x14ac:dyDescent="0.25">
      <c r="H68" s="95"/>
    </row>
    <row r="69" spans="1:8" ht="15.75" thickBot="1" x14ac:dyDescent="0.3">
      <c r="H69" s="95"/>
    </row>
    <row r="70" spans="1:8" x14ac:dyDescent="0.25">
      <c r="A70" s="97" t="s">
        <v>293</v>
      </c>
      <c r="B70" s="98"/>
      <c r="C70" s="99" t="s">
        <v>294</v>
      </c>
      <c r="E70" s="91"/>
      <c r="H70" s="100"/>
    </row>
    <row r="71" spans="1:8" x14ac:dyDescent="0.25">
      <c r="A71" s="101" t="s">
        <v>295</v>
      </c>
      <c r="B71" s="102"/>
      <c r="C71" s="103">
        <f>'DF Calculation'!R40</f>
        <v>32004.260282381856</v>
      </c>
    </row>
    <row r="72" spans="1:8" x14ac:dyDescent="0.25">
      <c r="A72" s="101" t="s">
        <v>296</v>
      </c>
      <c r="B72" s="102"/>
      <c r="C72" s="103">
        <f>C71-C66</f>
        <v>0</v>
      </c>
    </row>
    <row r="73" spans="1:8" x14ac:dyDescent="0.25">
      <c r="A73" s="101"/>
      <c r="B73" s="102"/>
      <c r="C73" s="104"/>
    </row>
    <row r="74" spans="1:8" ht="15.75" thickBot="1" x14ac:dyDescent="0.3">
      <c r="A74" s="105" t="s">
        <v>9</v>
      </c>
      <c r="B74" s="106"/>
      <c r="C74" s="107">
        <f>C72/C66</f>
        <v>0</v>
      </c>
    </row>
  </sheetData>
  <mergeCells count="4">
    <mergeCell ref="A1:I1"/>
    <mergeCell ref="A13:C13"/>
    <mergeCell ref="C54:D54"/>
    <mergeCell ref="G57:H57"/>
  </mergeCells>
  <pageMargins left="0.28000000000000003" right="0.52" top="0.75" bottom="0.75" header="0.3" footer="0.3"/>
  <pageSetup scale="63" orientation="portrait" r:id="rId1"/>
  <headerFooter>
    <oddHeader xml:space="preserve">&amp;C&amp;"-,Bold"&amp;12Murrey's Disposal Co, Inc. 
American Disposal Co.,  Inc.
Dump Fee Increase Reference Page
</oddHead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1"/>
  <sheetViews>
    <sheetView zoomScale="85" zoomScaleNormal="85" zoomScaleSheetLayoutView="80" workbookViewId="0">
      <selection activeCell="M26" sqref="M26"/>
    </sheetView>
  </sheetViews>
  <sheetFormatPr defaultColWidth="8.85546875" defaultRowHeight="15" x14ac:dyDescent="0.25"/>
  <cols>
    <col min="1" max="1" width="4.5703125" style="114" customWidth="1"/>
    <col min="2" max="2" width="11" style="155" bestFit="1" customWidth="1"/>
    <col min="3" max="3" width="35.7109375" style="114" customWidth="1"/>
    <col min="4" max="4" width="13.28515625" style="179" customWidth="1"/>
    <col min="5" max="5" width="11.42578125" style="114" bestFit="1" customWidth="1"/>
    <col min="6" max="6" width="13.28515625" style="114" customWidth="1"/>
    <col min="7" max="7" width="12.42578125" style="114" customWidth="1"/>
    <col min="8" max="8" width="17.28515625" style="114" customWidth="1"/>
    <col min="9" max="9" width="16.28515625" style="157" customWidth="1"/>
    <col min="10" max="10" width="13.42578125" style="114" customWidth="1"/>
    <col min="11" max="11" width="13.5703125" style="114" customWidth="1"/>
    <col min="12" max="12" width="10.7109375" style="114" customWidth="1"/>
    <col min="13" max="13" width="16.5703125" style="114" customWidth="1"/>
    <col min="14" max="14" width="16.42578125" style="114" customWidth="1"/>
    <col min="15" max="15" width="18.140625" style="114" customWidth="1"/>
    <col min="16" max="16" width="19" style="114" customWidth="1"/>
    <col min="17" max="17" width="17.7109375" style="114" customWidth="1"/>
    <col min="18" max="18" width="16" style="118" customWidth="1"/>
    <col min="19" max="19" width="3.7109375" style="115" customWidth="1"/>
    <col min="20" max="20" width="6.140625" style="112" bestFit="1" customWidth="1"/>
    <col min="21" max="21" width="14.28515625" style="112" customWidth="1"/>
    <col min="22" max="22" width="3.28515625" style="112" customWidth="1"/>
    <col min="23" max="23" width="13.28515625" style="112" customWidth="1"/>
    <col min="24" max="24" width="12.5703125" style="112" customWidth="1"/>
    <col min="25" max="25" width="5.28515625" style="112" customWidth="1"/>
    <col min="26" max="26" width="12.5703125" style="127" customWidth="1"/>
    <col min="27" max="27" width="18.7109375" style="112" customWidth="1"/>
    <col min="28" max="28" width="8.85546875" style="112"/>
    <col min="29" max="29" width="14.28515625" style="112" customWidth="1"/>
    <col min="30" max="16384" width="8.85546875" style="112"/>
  </cols>
  <sheetData>
    <row r="1" spans="1:31" ht="45" x14ac:dyDescent="0.25">
      <c r="A1" s="108"/>
      <c r="B1" s="109" t="s">
        <v>297</v>
      </c>
      <c r="C1" s="109" t="s">
        <v>298</v>
      </c>
      <c r="D1" s="109" t="s">
        <v>299</v>
      </c>
      <c r="E1" s="109" t="s">
        <v>300</v>
      </c>
      <c r="F1" s="109" t="s">
        <v>301</v>
      </c>
      <c r="G1" s="109" t="s">
        <v>238</v>
      </c>
      <c r="H1" s="109" t="s">
        <v>302</v>
      </c>
      <c r="I1" s="109" t="s">
        <v>303</v>
      </c>
      <c r="J1" s="109" t="s">
        <v>2</v>
      </c>
      <c r="K1" s="109" t="s">
        <v>3</v>
      </c>
      <c r="L1" s="109" t="s">
        <v>304</v>
      </c>
      <c r="M1" s="109" t="s">
        <v>305</v>
      </c>
      <c r="N1" s="109" t="s">
        <v>306</v>
      </c>
      <c r="O1" s="109" t="s">
        <v>307</v>
      </c>
      <c r="P1" s="109" t="s">
        <v>308</v>
      </c>
      <c r="Q1" s="109" t="s">
        <v>309</v>
      </c>
      <c r="R1" s="109" t="s">
        <v>310</v>
      </c>
      <c r="T1" s="110"/>
      <c r="U1" s="111"/>
      <c r="W1" s="110"/>
      <c r="X1" s="111"/>
      <c r="Z1" s="113"/>
    </row>
    <row r="2" spans="1:31" ht="15" customHeight="1" x14ac:dyDescent="0.25">
      <c r="A2" s="273" t="s">
        <v>311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T2" s="111"/>
      <c r="U2" s="111"/>
      <c r="W2" s="111"/>
      <c r="X2" s="111"/>
      <c r="Z2" s="113"/>
    </row>
    <row r="3" spans="1:31" ht="15" customHeight="1" x14ac:dyDescent="0.25">
      <c r="A3" s="274"/>
      <c r="B3" s="116">
        <v>22</v>
      </c>
      <c r="C3" s="117" t="s">
        <v>73</v>
      </c>
      <c r="D3" s="118">
        <f>+'Vashon Price Out'!AD34</f>
        <v>6168.5863874345559</v>
      </c>
      <c r="E3" s="119">
        <f>References!$C$10</f>
        <v>1</v>
      </c>
      <c r="F3" s="120">
        <f>D3*E3</f>
        <v>6168.5863874345559</v>
      </c>
      <c r="G3" s="120">
        <f>References!$C$16</f>
        <v>34</v>
      </c>
      <c r="H3" s="120">
        <f>F3*G3</f>
        <v>209731.93717277489</v>
      </c>
      <c r="I3" s="121">
        <f t="shared" ref="I3:I13" si="0">$D$63*H3</f>
        <v>143137.70701349532</v>
      </c>
      <c r="J3" s="122">
        <f>I3*References!$D$60</f>
        <v>944.70886628907033</v>
      </c>
      <c r="K3" s="122">
        <f>J3/References!$H$63</f>
        <v>966.55296325871734</v>
      </c>
      <c r="L3" s="122">
        <f>K3/F3*E3</f>
        <v>0.1566895399613096</v>
      </c>
      <c r="M3" s="123">
        <f>'Proposed Rates'!C18</f>
        <v>4.1100000000000003</v>
      </c>
      <c r="N3" s="124">
        <f>L3+M3</f>
        <v>4.2666895399613098</v>
      </c>
      <c r="O3" s="124">
        <f>'Proposed Rates'!E18</f>
        <v>4.2700000000000005</v>
      </c>
      <c r="P3" s="122">
        <f>D3*M3</f>
        <v>25352.890052356026</v>
      </c>
      <c r="Q3" s="125">
        <f>D3*N3</f>
        <v>26319.443015614743</v>
      </c>
      <c r="R3" s="126">
        <f t="shared" ref="R3:R10" si="1">Q3-P3</f>
        <v>966.55296325871677</v>
      </c>
      <c r="T3" s="127"/>
      <c r="U3" s="127"/>
      <c r="V3" s="127"/>
      <c r="W3" s="127"/>
      <c r="X3" s="127"/>
      <c r="Y3" s="127"/>
      <c r="AA3" s="127"/>
      <c r="AC3" s="128"/>
    </row>
    <row r="4" spans="1:31" x14ac:dyDescent="0.25">
      <c r="A4" s="274"/>
      <c r="B4" s="116">
        <v>21</v>
      </c>
      <c r="C4" s="117" t="s">
        <v>28</v>
      </c>
      <c r="D4" s="118">
        <f>+'Vashon Price Out'!AD11</f>
        <v>1328.9607686148918</v>
      </c>
      <c r="E4" s="119">
        <f>References!$C$7</f>
        <v>4.333333333333333</v>
      </c>
      <c r="F4" s="120">
        <f t="shared" ref="F4:F37" si="2">D4*E4</f>
        <v>5758.8299973311969</v>
      </c>
      <c r="G4" s="120">
        <f>References!C15</f>
        <v>20</v>
      </c>
      <c r="H4" s="120">
        <f>F4*G4</f>
        <v>115176.59994662393</v>
      </c>
      <c r="I4" s="121">
        <f t="shared" si="0"/>
        <v>78605.646046120935</v>
      </c>
      <c r="J4" s="122">
        <f>I4*References!$D$60</f>
        <v>518.79726390439885</v>
      </c>
      <c r="K4" s="122">
        <f>J4/References!$H$63</f>
        <v>530.79318999836175</v>
      </c>
      <c r="L4" s="122">
        <f>K4/F4*E4</f>
        <v>0.39940470970529895</v>
      </c>
      <c r="M4" s="122">
        <f>'Proposed Rates'!C11</f>
        <v>13.4</v>
      </c>
      <c r="N4" s="122">
        <f>L4+M4</f>
        <v>13.7994047097053</v>
      </c>
      <c r="O4" s="122">
        <f>'Proposed Rates'!E11</f>
        <v>13.8</v>
      </c>
      <c r="P4" s="122">
        <f>D4*M4</f>
        <v>17808.074299439551</v>
      </c>
      <c r="Q4" s="125">
        <f t="shared" ref="Q4:Q10" si="3">D4*N4</f>
        <v>18338.867489437915</v>
      </c>
      <c r="R4" s="126">
        <f t="shared" si="1"/>
        <v>530.79318999836323</v>
      </c>
      <c r="T4" s="127"/>
      <c r="U4" s="127"/>
      <c r="V4" s="127"/>
      <c r="W4" s="127"/>
      <c r="X4" s="127"/>
      <c r="Y4" s="127"/>
      <c r="AA4" s="127"/>
      <c r="AC4" s="128"/>
    </row>
    <row r="5" spans="1:31" x14ac:dyDescent="0.25">
      <c r="A5" s="274"/>
      <c r="B5" s="116">
        <v>21</v>
      </c>
      <c r="C5" s="117" t="s">
        <v>34</v>
      </c>
      <c r="D5" s="118">
        <f>+'Vashon Price Out'!AD14</f>
        <v>618.37921847246878</v>
      </c>
      <c r="E5" s="119">
        <f>References!$C$9</f>
        <v>1</v>
      </c>
      <c r="F5" s="120">
        <f t="shared" si="2"/>
        <v>618.37921847246878</v>
      </c>
      <c r="G5" s="120">
        <f>References!$C$16</f>
        <v>34</v>
      </c>
      <c r="H5" s="120">
        <f t="shared" ref="H5:H13" si="4">F5*G5</f>
        <v>21024.893428063937</v>
      </c>
      <c r="I5" s="121">
        <f t="shared" si="0"/>
        <v>14349.054684108612</v>
      </c>
      <c r="J5" s="122">
        <f>I5*References!$D$60</f>
        <v>94.703760915116973</v>
      </c>
      <c r="K5" s="122">
        <f>J5/References!$H$63</f>
        <v>96.893555264085293</v>
      </c>
      <c r="L5" s="122">
        <f>K5/F5*E5</f>
        <v>0.1566895399613096</v>
      </c>
      <c r="M5" s="122">
        <f>'Proposed Rates'!C9</f>
        <v>6.03</v>
      </c>
      <c r="N5" s="122">
        <f t="shared" ref="N5:N37" si="5">L5+M5</f>
        <v>6.1866895399613098</v>
      </c>
      <c r="O5" s="122">
        <f>'Proposed Rates'!E9</f>
        <v>6.19</v>
      </c>
      <c r="P5" s="122">
        <f t="shared" ref="P5:P10" si="6">D5*M5</f>
        <v>3728.826687388987</v>
      </c>
      <c r="Q5" s="125">
        <f t="shared" si="3"/>
        <v>3825.7202426530721</v>
      </c>
      <c r="R5" s="126">
        <f t="shared" si="1"/>
        <v>96.89355526408508</v>
      </c>
      <c r="T5" s="127"/>
      <c r="U5" s="127"/>
      <c r="V5" s="127"/>
      <c r="W5" s="127"/>
      <c r="X5" s="127"/>
      <c r="Y5" s="127"/>
      <c r="AA5" s="127"/>
      <c r="AC5" s="128"/>
    </row>
    <row r="6" spans="1:31" x14ac:dyDescent="0.25">
      <c r="A6" s="274"/>
      <c r="B6" s="116">
        <v>21</v>
      </c>
      <c r="C6" s="117" t="s">
        <v>312</v>
      </c>
      <c r="D6" s="118">
        <f>+'Vashon Price Out'!AD13</f>
        <v>2831.7815186246416</v>
      </c>
      <c r="E6" s="119">
        <f>References!$C$8</f>
        <v>2.1666666666666665</v>
      </c>
      <c r="F6" s="120">
        <f t="shared" si="2"/>
        <v>6135.5266236867228</v>
      </c>
      <c r="G6" s="120">
        <f>References!$C$16</f>
        <v>34</v>
      </c>
      <c r="H6" s="120">
        <f t="shared" si="4"/>
        <v>208607.90520534856</v>
      </c>
      <c r="I6" s="121">
        <f t="shared" si="0"/>
        <v>142370.57845598462</v>
      </c>
      <c r="J6" s="122">
        <f>I6*References!$D$60</f>
        <v>939.6458178094997</v>
      </c>
      <c r="K6" s="122">
        <f>J6/References!$H$63</f>
        <v>961.37284408583969</v>
      </c>
      <c r="L6" s="122">
        <f t="shared" ref="L6" si="7">K6/F6*E6</f>
        <v>0.33949400324950413</v>
      </c>
      <c r="M6" s="122">
        <f>'Proposed Rates'!C10</f>
        <v>14.92</v>
      </c>
      <c r="N6" s="122">
        <f t="shared" si="5"/>
        <v>15.259494003249504</v>
      </c>
      <c r="O6" s="122">
        <f>'Proposed Rates'!E10</f>
        <v>15.26</v>
      </c>
      <c r="P6" s="122">
        <f t="shared" si="6"/>
        <v>42250.180257879656</v>
      </c>
      <c r="Q6" s="125">
        <f t="shared" si="3"/>
        <v>43211.553101965495</v>
      </c>
      <c r="R6" s="126">
        <f t="shared" si="1"/>
        <v>961.37284408583946</v>
      </c>
      <c r="T6" s="127"/>
      <c r="U6" s="127"/>
      <c r="V6" s="127"/>
      <c r="W6" s="127"/>
      <c r="X6" s="127"/>
      <c r="Y6" s="127"/>
      <c r="AA6" s="127"/>
      <c r="AC6" s="128"/>
    </row>
    <row r="7" spans="1:31" x14ac:dyDescent="0.25">
      <c r="A7" s="274"/>
      <c r="B7" s="116">
        <v>21</v>
      </c>
      <c r="C7" s="117" t="s">
        <v>38</v>
      </c>
      <c r="D7" s="118">
        <f>+'Vashon Price Out'!AD16</f>
        <v>16304.112244897959</v>
      </c>
      <c r="E7" s="119">
        <f>References!$C$7</f>
        <v>4.333333333333333</v>
      </c>
      <c r="F7" s="120">
        <f>D7*E7</f>
        <v>70651.153061224482</v>
      </c>
      <c r="G7" s="120">
        <f>References!$C$16</f>
        <v>34</v>
      </c>
      <c r="H7" s="120">
        <f t="shared" si="4"/>
        <v>2402139.2040816322</v>
      </c>
      <c r="I7" s="121">
        <f t="shared" si="0"/>
        <v>1639410.2978995447</v>
      </c>
      <c r="J7" s="122">
        <f>I7*References!$D$60</f>
        <v>10820.107966137009</v>
      </c>
      <c r="K7" s="122">
        <f>J7/References!$H$63</f>
        <v>11070.296670899334</v>
      </c>
      <c r="L7" s="122">
        <f>K7/F7*E7</f>
        <v>0.67898800649900815</v>
      </c>
      <c r="M7" s="122">
        <f>'Proposed Rates'!C12</f>
        <v>18.97</v>
      </c>
      <c r="N7" s="122">
        <f t="shared" si="5"/>
        <v>19.648988006499007</v>
      </c>
      <c r="O7" s="122">
        <f>'Proposed Rates'!E12</f>
        <v>19.649999999999999</v>
      </c>
      <c r="P7" s="122">
        <f t="shared" si="6"/>
        <v>309289.00928571424</v>
      </c>
      <c r="Q7" s="125">
        <f t="shared" si="3"/>
        <v>320359.30595661356</v>
      </c>
      <c r="R7" s="126">
        <f t="shared" si="1"/>
        <v>11070.296670899319</v>
      </c>
      <c r="T7" s="127"/>
      <c r="U7" s="127"/>
      <c r="V7" s="127"/>
      <c r="W7" s="127"/>
      <c r="X7" s="127"/>
      <c r="Y7" s="127"/>
      <c r="AA7" s="127"/>
      <c r="AC7" s="128"/>
    </row>
    <row r="8" spans="1:31" x14ac:dyDescent="0.25">
      <c r="A8" s="274"/>
      <c r="B8" s="116">
        <v>21</v>
      </c>
      <c r="C8" s="117" t="s">
        <v>40</v>
      </c>
      <c r="D8" s="118">
        <f>+'Vashon Price Out'!AD17</f>
        <v>2988.5391480730227</v>
      </c>
      <c r="E8" s="119">
        <f>References!$C$7</f>
        <v>4.333333333333333</v>
      </c>
      <c r="F8" s="120">
        <f t="shared" si="2"/>
        <v>12950.336308316431</v>
      </c>
      <c r="G8" s="120">
        <f>References!$C$17</f>
        <v>51</v>
      </c>
      <c r="H8" s="120">
        <f t="shared" si="4"/>
        <v>660467.15172413795</v>
      </c>
      <c r="I8" s="121">
        <f t="shared" si="0"/>
        <v>450755.16361462983</v>
      </c>
      <c r="J8" s="122">
        <f>I8*References!$D$60</f>
        <v>2974.9840798565606</v>
      </c>
      <c r="K8" s="122">
        <f>J8/References!$H$63</f>
        <v>3043.7733577415188</v>
      </c>
      <c r="L8" s="122">
        <f t="shared" ref="L8:L10" si="8">K8/F8*E8</f>
        <v>1.0184820097485121</v>
      </c>
      <c r="M8" s="122">
        <f>'Proposed Rates'!C13</f>
        <v>26.55</v>
      </c>
      <c r="N8" s="122">
        <f t="shared" si="5"/>
        <v>27.568482009748514</v>
      </c>
      <c r="O8" s="122">
        <f>'Proposed Rates'!E13</f>
        <v>27.57</v>
      </c>
      <c r="P8" s="122">
        <f t="shared" si="6"/>
        <v>79345.714381338752</v>
      </c>
      <c r="Q8" s="125">
        <f t="shared" si="3"/>
        <v>82389.487739080272</v>
      </c>
      <c r="R8" s="126">
        <f t="shared" si="1"/>
        <v>3043.7733577415202</v>
      </c>
      <c r="T8" s="127"/>
      <c r="U8" s="127"/>
      <c r="V8" s="127"/>
      <c r="W8" s="127"/>
      <c r="X8" s="127"/>
      <c r="Y8" s="127"/>
      <c r="AA8" s="127"/>
      <c r="AC8" s="128"/>
    </row>
    <row r="9" spans="1:31" x14ac:dyDescent="0.25">
      <c r="A9" s="274"/>
      <c r="B9" s="116">
        <v>21</v>
      </c>
      <c r="C9" s="117" t="s">
        <v>42</v>
      </c>
      <c r="D9" s="118">
        <f>+'Vashon Price Out'!AD18</f>
        <v>166.25067709900694</v>
      </c>
      <c r="E9" s="119">
        <f>References!$C$7</f>
        <v>4.333333333333333</v>
      </c>
      <c r="F9" s="120">
        <f t="shared" si="2"/>
        <v>720.4196007623633</v>
      </c>
      <c r="G9" s="120">
        <f>References!$C$18</f>
        <v>77</v>
      </c>
      <c r="H9" s="120">
        <f t="shared" si="4"/>
        <v>55472.309258701971</v>
      </c>
      <c r="I9" s="121">
        <f t="shared" si="0"/>
        <v>37858.703147785513</v>
      </c>
      <c r="J9" s="122">
        <f>I9*References!$D$60</f>
        <v>249.86744077538472</v>
      </c>
      <c r="K9" s="122">
        <f>J9/References!$H$63</f>
        <v>255.64501818639729</v>
      </c>
      <c r="L9" s="122">
        <f t="shared" si="8"/>
        <v>1.5377081323654009</v>
      </c>
      <c r="M9" s="122">
        <f>'Proposed Rates'!C14</f>
        <v>35.86</v>
      </c>
      <c r="N9" s="122">
        <f t="shared" si="5"/>
        <v>37.397708132365402</v>
      </c>
      <c r="O9" s="122">
        <f>'Proposed Rates'!E14</f>
        <v>37.4</v>
      </c>
      <c r="P9" s="122">
        <f t="shared" si="6"/>
        <v>5961.7492807703884</v>
      </c>
      <c r="Q9" s="125">
        <f t="shared" si="3"/>
        <v>6217.3942989567859</v>
      </c>
      <c r="R9" s="126">
        <f t="shared" si="1"/>
        <v>255.64501818639746</v>
      </c>
      <c r="T9" s="127"/>
      <c r="U9" s="127"/>
      <c r="V9" s="127"/>
      <c r="W9" s="127"/>
      <c r="X9" s="127"/>
      <c r="Y9" s="127"/>
      <c r="AA9" s="127"/>
      <c r="AC9" s="128"/>
    </row>
    <row r="10" spans="1:31" x14ac:dyDescent="0.25">
      <c r="A10" s="274"/>
      <c r="B10" s="116">
        <v>21</v>
      </c>
      <c r="C10" s="117" t="s">
        <v>44</v>
      </c>
      <c r="D10" s="118">
        <f>+'Vashon Price Out'!AD19</f>
        <v>24.250060110603513</v>
      </c>
      <c r="E10" s="119">
        <f>References!$C$7</f>
        <v>4.333333333333333</v>
      </c>
      <c r="F10" s="120">
        <f t="shared" si="2"/>
        <v>105.08359381261522</v>
      </c>
      <c r="G10" s="120">
        <f>References!$C$19</f>
        <v>97</v>
      </c>
      <c r="H10" s="120">
        <f t="shared" si="4"/>
        <v>10193.108599823676</v>
      </c>
      <c r="I10" s="121">
        <f t="shared" si="0"/>
        <v>6956.5856873594666</v>
      </c>
      <c r="J10" s="122">
        <f>I10*References!$D$60</f>
        <v>45.913465536572538</v>
      </c>
      <c r="K10" s="122">
        <f>J10/References!$H$63</f>
        <v>46.975102861236479</v>
      </c>
      <c r="L10" s="122">
        <f t="shared" si="8"/>
        <v>1.9371128420706998</v>
      </c>
      <c r="M10" s="122">
        <f>'Proposed Rates'!C15</f>
        <v>44.89</v>
      </c>
      <c r="N10" s="122">
        <f t="shared" si="5"/>
        <v>46.827112842070697</v>
      </c>
      <c r="O10" s="122">
        <f>'Proposed Rates'!E15</f>
        <v>46.83</v>
      </c>
      <c r="P10" s="122">
        <f t="shared" si="6"/>
        <v>1088.5851983649918</v>
      </c>
      <c r="Q10" s="125">
        <f t="shared" si="3"/>
        <v>1135.5603012262281</v>
      </c>
      <c r="R10" s="126">
        <f t="shared" si="1"/>
        <v>46.975102861236337</v>
      </c>
      <c r="T10" s="127"/>
      <c r="U10" s="127"/>
      <c r="V10" s="127"/>
      <c r="W10" s="127"/>
      <c r="X10" s="127"/>
      <c r="Y10" s="127"/>
      <c r="AA10" s="127"/>
      <c r="AC10" s="128"/>
    </row>
    <row r="11" spans="1:31" x14ac:dyDescent="0.25">
      <c r="A11" s="274"/>
      <c r="B11" s="116">
        <v>22</v>
      </c>
      <c r="C11" s="148" t="s">
        <v>36</v>
      </c>
      <c r="D11" s="127">
        <f>+'Vashon Price Out'!AD15</f>
        <v>10</v>
      </c>
      <c r="E11" s="119">
        <f>References!$C$10</f>
        <v>1</v>
      </c>
      <c r="F11" s="120">
        <f t="shared" si="2"/>
        <v>10</v>
      </c>
      <c r="G11" s="120">
        <f>References!$C$16</f>
        <v>34</v>
      </c>
      <c r="H11" s="120">
        <f t="shared" si="4"/>
        <v>340</v>
      </c>
      <c r="I11" s="121">
        <f t="shared" si="0"/>
        <v>232.04296417906639</v>
      </c>
      <c r="J11" s="122">
        <f>I11*References!$D$60</f>
        <v>1.5314835635818402</v>
      </c>
      <c r="K11" s="122">
        <f>J11/References!$H$63</f>
        <v>1.5668953996130961</v>
      </c>
      <c r="L11" s="122">
        <f t="shared" ref="L11:L13" si="9">K11/F11*E11</f>
        <v>0.1566895399613096</v>
      </c>
      <c r="M11" s="122">
        <f>+'Proposed Rates'!C19</f>
        <v>6.13</v>
      </c>
      <c r="N11" s="122">
        <f t="shared" ref="N11:N13" si="10">L11+M11</f>
        <v>6.2866895399613094</v>
      </c>
      <c r="O11" s="122">
        <f>+'Proposed Rates'!E19</f>
        <v>6.29</v>
      </c>
      <c r="P11" s="122">
        <f t="shared" ref="P11:P13" si="11">D11*M11</f>
        <v>61.3</v>
      </c>
      <c r="Q11" s="125">
        <f t="shared" ref="Q11" si="12">D11*N11</f>
        <v>62.866895399613092</v>
      </c>
      <c r="R11" s="126">
        <f t="shared" ref="R11" si="13">Q11-P11</f>
        <v>1.5668953996130952</v>
      </c>
      <c r="T11" s="127"/>
      <c r="U11" s="127"/>
      <c r="V11" s="127"/>
      <c r="W11" s="127"/>
      <c r="X11" s="127"/>
      <c r="Y11" s="127"/>
      <c r="AA11" s="127"/>
      <c r="AC11" s="128"/>
    </row>
    <row r="12" spans="1:31" x14ac:dyDescent="0.25">
      <c r="A12" s="274"/>
      <c r="B12" s="116">
        <v>16</v>
      </c>
      <c r="C12" s="36" t="s">
        <v>64</v>
      </c>
      <c r="D12" s="127">
        <f>+'Vashon Price Out'!AD29</f>
        <v>1536.015625</v>
      </c>
      <c r="E12" s="119">
        <f>References!$C$10</f>
        <v>1</v>
      </c>
      <c r="F12" s="120">
        <f t="shared" si="2"/>
        <v>1536.015625</v>
      </c>
      <c r="G12" s="120">
        <f>References!$C$16</f>
        <v>34</v>
      </c>
      <c r="H12" s="120">
        <f t="shared" si="4"/>
        <v>52224.53125</v>
      </c>
      <c r="I12" s="121">
        <f t="shared" si="0"/>
        <v>35642.161865036127</v>
      </c>
      <c r="J12" s="122">
        <f>I12*References!$D$60</f>
        <v>235.23826830923875</v>
      </c>
      <c r="K12" s="122">
        <f>J12/References!$H$63</f>
        <v>240.67758165463346</v>
      </c>
      <c r="L12" s="122">
        <f t="shared" si="9"/>
        <v>0.1566895399613096</v>
      </c>
      <c r="M12" s="122">
        <f>+'Proposed Rates'!C6</f>
        <v>2.78</v>
      </c>
      <c r="N12" s="122">
        <f t="shared" si="10"/>
        <v>2.9366895399613093</v>
      </c>
      <c r="O12" s="122">
        <f>+'Proposed Rates'!E6</f>
        <v>2.94</v>
      </c>
      <c r="P12" s="122">
        <f t="shared" si="11"/>
        <v>4270.1234374999995</v>
      </c>
      <c r="Q12" s="125">
        <f t="shared" ref="Q12:Q13" si="14">D12*N12</f>
        <v>4510.8010191546327</v>
      </c>
      <c r="R12" s="126">
        <f t="shared" ref="R12:R13" si="15">Q12-P12</f>
        <v>240.67758165463329</v>
      </c>
      <c r="T12" s="127"/>
      <c r="U12" s="127"/>
      <c r="V12" s="127"/>
      <c r="W12" s="127"/>
      <c r="X12" s="127"/>
      <c r="Y12" s="127"/>
      <c r="AA12" s="127"/>
      <c r="AC12" s="128"/>
    </row>
    <row r="13" spans="1:31" x14ac:dyDescent="0.25">
      <c r="A13" s="275"/>
      <c r="B13" s="116">
        <v>16</v>
      </c>
      <c r="C13" s="36" t="s">
        <v>68</v>
      </c>
      <c r="D13" s="127">
        <f>+'Vashon Price Out'!AD31</f>
        <v>876.4921875</v>
      </c>
      <c r="E13" s="119">
        <f>References!$C$10</f>
        <v>1</v>
      </c>
      <c r="F13" s="120">
        <f t="shared" si="2"/>
        <v>876.4921875</v>
      </c>
      <c r="G13" s="120">
        <f>References!$C$16</f>
        <v>34</v>
      </c>
      <c r="H13" s="120">
        <f t="shared" si="4"/>
        <v>29800.734375</v>
      </c>
      <c r="I13" s="121">
        <f t="shared" si="0"/>
        <v>20338.384526729402</v>
      </c>
      <c r="J13" s="122">
        <f>I13*References!$D$60</f>
        <v>134.23333787641423</v>
      </c>
      <c r="K13" s="122">
        <f>J13/References!$H$63</f>
        <v>137.3371576390569</v>
      </c>
      <c r="L13" s="122">
        <f t="shared" si="9"/>
        <v>0.15668953996130958</v>
      </c>
      <c r="M13" s="122">
        <f>+'Proposed Rates'!C6</f>
        <v>2.78</v>
      </c>
      <c r="N13" s="122">
        <f t="shared" si="10"/>
        <v>2.9366895399613093</v>
      </c>
      <c r="O13" s="122">
        <f>+'Proposed Rates'!E6</f>
        <v>2.94</v>
      </c>
      <c r="P13" s="122">
        <f t="shared" si="11"/>
        <v>2436.6482812499999</v>
      </c>
      <c r="Q13" s="125">
        <f t="shared" si="14"/>
        <v>2573.9854388890567</v>
      </c>
      <c r="R13" s="126">
        <f t="shared" si="15"/>
        <v>137.33715763905684</v>
      </c>
      <c r="T13" s="127"/>
      <c r="U13" s="127"/>
      <c r="V13" s="127"/>
      <c r="W13" s="127"/>
      <c r="X13" s="127"/>
      <c r="Y13" s="127"/>
      <c r="AA13" s="127"/>
      <c r="AC13" s="128"/>
    </row>
    <row r="14" spans="1:31" x14ac:dyDescent="0.25">
      <c r="A14" s="129"/>
      <c r="B14" s="129"/>
      <c r="C14" s="130" t="s">
        <v>313</v>
      </c>
      <c r="D14" s="131">
        <f>SUM(D3:D13)</f>
        <v>32853.36783582715</v>
      </c>
      <c r="E14" s="132"/>
      <c r="F14" s="131">
        <f>SUM(F3:F13)</f>
        <v>105530.82260354084</v>
      </c>
      <c r="G14" s="133"/>
      <c r="H14" s="131">
        <f>SUM(H3:H13)</f>
        <v>3765178.375042107</v>
      </c>
      <c r="I14" s="131">
        <f>SUM(I3:I13)</f>
        <v>2569656.3259049738</v>
      </c>
      <c r="J14" s="224">
        <f>SUM(J3:J13)</f>
        <v>16959.731750972853</v>
      </c>
      <c r="K14" s="224">
        <f>SUM(K3:K13)</f>
        <v>17351.884336988795</v>
      </c>
      <c r="L14" s="135"/>
      <c r="M14" s="135"/>
      <c r="N14" s="135"/>
      <c r="O14" s="135"/>
      <c r="P14" s="224">
        <f t="shared" ref="P14:R14" si="16">SUM(P3:P13)</f>
        <v>491593.10116200248</v>
      </c>
      <c r="Q14" s="224">
        <f t="shared" si="16"/>
        <v>508944.98549899139</v>
      </c>
      <c r="R14" s="224">
        <f t="shared" si="16"/>
        <v>17351.88433698878</v>
      </c>
      <c r="S14" s="136"/>
      <c r="T14" s="248">
        <f>R14/P14</f>
        <v>3.5297249485343241E-2</v>
      </c>
      <c r="V14" s="137"/>
      <c r="W14" s="137"/>
      <c r="X14" s="137"/>
      <c r="Y14" s="127"/>
      <c r="Z14" s="137"/>
      <c r="AA14" s="127"/>
      <c r="AC14" s="138"/>
      <c r="AE14" s="138"/>
    </row>
    <row r="15" spans="1:31" x14ac:dyDescent="0.25">
      <c r="A15" s="273" t="s">
        <v>314</v>
      </c>
      <c r="B15" s="116"/>
      <c r="C15" s="139"/>
      <c r="D15" s="140"/>
      <c r="E15" s="141"/>
      <c r="F15" s="142"/>
      <c r="G15" s="143"/>
      <c r="H15" s="137"/>
      <c r="I15" s="144"/>
      <c r="J15" s="144"/>
      <c r="K15" s="144"/>
      <c r="L15" s="122"/>
      <c r="M15" s="122"/>
      <c r="N15" s="122"/>
      <c r="O15" s="122"/>
      <c r="P15" s="145"/>
      <c r="Q15" s="145"/>
      <c r="R15" s="146"/>
      <c r="S15" s="136"/>
      <c r="T15" s="147"/>
      <c r="U15" s="147"/>
      <c r="V15" s="137"/>
      <c r="W15" s="137"/>
      <c r="X15" s="137"/>
      <c r="Y15" s="127"/>
      <c r="Z15" s="137"/>
      <c r="AA15" s="127"/>
      <c r="AC15" s="138"/>
      <c r="AE15" s="138"/>
    </row>
    <row r="16" spans="1:31" ht="15" customHeight="1" x14ac:dyDescent="0.25">
      <c r="A16" s="274"/>
      <c r="B16" s="116">
        <v>36</v>
      </c>
      <c r="C16" s="148" t="s">
        <v>315</v>
      </c>
      <c r="D16" s="149">
        <f>+'Vashon Price Out'!AD69</f>
        <v>1624.2015706806283</v>
      </c>
      <c r="E16" s="119">
        <f>References!$C$10</f>
        <v>1</v>
      </c>
      <c r="F16" s="120">
        <f t="shared" si="2"/>
        <v>1624.2015706806283</v>
      </c>
      <c r="G16" s="120">
        <f>References!$C$28</f>
        <v>29</v>
      </c>
      <c r="H16" s="120">
        <f>F16*G16</f>
        <v>47101.845549738217</v>
      </c>
      <c r="I16" s="121">
        <f t="shared" ref="I16:I37" si="17">$D$63*H16</f>
        <v>32146.034881370066</v>
      </c>
      <c r="J16" s="122">
        <f>I16*References!$D$60</f>
        <v>212.16383021704272</v>
      </c>
      <c r="K16" s="122">
        <f>J16/References!$H$63</f>
        <v>217.06960325050409</v>
      </c>
      <c r="L16" s="122">
        <f t="shared" ref="L16:L37" si="18">K16/F16</f>
        <v>0.13364696055523465</v>
      </c>
      <c r="M16" s="122">
        <f>+'Proposed Rates'!C50</f>
        <v>4.08</v>
      </c>
      <c r="N16" s="122">
        <f t="shared" si="5"/>
        <v>4.2136469605552351</v>
      </c>
      <c r="O16" s="122">
        <f>'Proposed Rates'!E50</f>
        <v>4.21</v>
      </c>
      <c r="P16" s="122">
        <f>F16*M16</f>
        <v>6626.7424083769638</v>
      </c>
      <c r="Q16" s="125">
        <f t="shared" ref="Q16:Q37" si="19">F16*N16</f>
        <v>6843.8120116274686</v>
      </c>
      <c r="R16" s="126">
        <f t="shared" ref="R16:R37" si="20">Q16-P16</f>
        <v>217.06960325050477</v>
      </c>
      <c r="T16" s="115"/>
      <c r="U16" s="127"/>
      <c r="V16" s="127"/>
      <c r="W16" s="127"/>
      <c r="X16" s="127"/>
      <c r="Y16" s="127"/>
      <c r="AA16" s="127"/>
      <c r="AB16" s="127"/>
      <c r="AC16" s="128"/>
    </row>
    <row r="17" spans="1:29" x14ac:dyDescent="0.25">
      <c r="A17" s="274"/>
      <c r="B17" s="116">
        <v>28</v>
      </c>
      <c r="C17" s="148" t="s">
        <v>316</v>
      </c>
      <c r="D17" s="149">
        <f>+'Vashon Price Out'!AD70</f>
        <v>19.500304692260816</v>
      </c>
      <c r="E17" s="119">
        <f>References!$C$10</f>
        <v>1</v>
      </c>
      <c r="F17" s="120">
        <f t="shared" si="2"/>
        <v>19.500304692260816</v>
      </c>
      <c r="G17" s="120">
        <f>References!C29</f>
        <v>125</v>
      </c>
      <c r="H17" s="120">
        <f t="shared" ref="H17:H37" si="21">F17*G17</f>
        <v>2437.5380865326019</v>
      </c>
      <c r="I17" s="121">
        <f t="shared" si="17"/>
        <v>1663.5693026423369</v>
      </c>
      <c r="J17" s="122">
        <f>I17*References!$D$60</f>
        <v>10.979557397439438</v>
      </c>
      <c r="K17" s="122">
        <f>J17/References!$H$63</f>
        <v>11.233432982851889</v>
      </c>
      <c r="L17" s="122">
        <f t="shared" si="18"/>
        <v>0.57606448515187347</v>
      </c>
      <c r="M17" s="122">
        <f>'Proposed Rates'!C26</f>
        <v>17.62</v>
      </c>
      <c r="N17" s="122">
        <f t="shared" si="5"/>
        <v>18.196064485151876</v>
      </c>
      <c r="O17" s="122">
        <f>'Proposed Rates'!E26</f>
        <v>18.2</v>
      </c>
      <c r="P17" s="122">
        <f t="shared" ref="P17:P37" si="22">F17*M17</f>
        <v>343.59536867763558</v>
      </c>
      <c r="Q17" s="125">
        <f t="shared" si="19"/>
        <v>354.8288016604875</v>
      </c>
      <c r="R17" s="126">
        <f t="shared" si="20"/>
        <v>11.233432982851923</v>
      </c>
      <c r="T17" s="115"/>
      <c r="U17" s="127"/>
      <c r="V17" s="127"/>
      <c r="W17" s="127"/>
      <c r="X17" s="127"/>
      <c r="Y17" s="127"/>
      <c r="AA17" s="127"/>
      <c r="AB17" s="127"/>
      <c r="AC17" s="128"/>
    </row>
    <row r="18" spans="1:29" x14ac:dyDescent="0.25">
      <c r="A18" s="274"/>
      <c r="B18" s="225">
        <v>36</v>
      </c>
      <c r="C18" s="36" t="s">
        <v>82</v>
      </c>
      <c r="D18" s="127">
        <f>+'Vashon Price Out'!AD42</f>
        <v>36</v>
      </c>
      <c r="E18" s="119">
        <f>References!$C$8</f>
        <v>2.1666666666666665</v>
      </c>
      <c r="F18" s="120">
        <f t="shared" si="2"/>
        <v>78</v>
      </c>
      <c r="G18" s="120">
        <f>References!$C$28</f>
        <v>29</v>
      </c>
      <c r="H18" s="120">
        <f t="shared" si="21"/>
        <v>2262</v>
      </c>
      <c r="I18" s="121">
        <f t="shared" si="17"/>
        <v>1543.7681910972005</v>
      </c>
      <c r="J18" s="122">
        <f>I18*References!$D$60</f>
        <v>10.188870061241538</v>
      </c>
      <c r="K18" s="122">
        <f>J18/References!$H$63</f>
        <v>10.424462923308305</v>
      </c>
      <c r="L18" s="122">
        <f>K18/F18</f>
        <v>0.13364696055523467</v>
      </c>
      <c r="M18" s="122">
        <f>+'Proposed Rates'!C$47</f>
        <v>3.6</v>
      </c>
      <c r="N18" s="122">
        <f t="shared" ref="N18" si="23">L18+M18</f>
        <v>3.7336469605552347</v>
      </c>
      <c r="O18" s="122">
        <f>+'Proposed Rates'!E$47</f>
        <v>3.73</v>
      </c>
      <c r="P18" s="122">
        <f t="shared" si="22"/>
        <v>280.8</v>
      </c>
      <c r="Q18" s="125">
        <f t="shared" si="19"/>
        <v>291.22446292330829</v>
      </c>
      <c r="R18" s="126">
        <f t="shared" ref="R18" si="24">Q18-P18</f>
        <v>10.424462923308283</v>
      </c>
      <c r="T18" s="115"/>
      <c r="U18" s="127"/>
      <c r="V18" s="127"/>
      <c r="W18" s="127"/>
      <c r="X18" s="127"/>
      <c r="Y18" s="127"/>
      <c r="AA18" s="127"/>
      <c r="AB18" s="127"/>
      <c r="AC18" s="128"/>
    </row>
    <row r="19" spans="1:29" x14ac:dyDescent="0.25">
      <c r="A19" s="274"/>
      <c r="B19" s="116">
        <v>36</v>
      </c>
      <c r="C19" s="148" t="s">
        <v>38</v>
      </c>
      <c r="D19" s="127">
        <f>+'Vashon Price Out'!AD43</f>
        <v>125.24983027834352</v>
      </c>
      <c r="E19" s="119">
        <f>References!$C$7</f>
        <v>4.333333333333333</v>
      </c>
      <c r="F19" s="120">
        <f t="shared" si="2"/>
        <v>542.74926453948854</v>
      </c>
      <c r="G19" s="120">
        <f>References!$C$28</f>
        <v>29</v>
      </c>
      <c r="H19" s="120">
        <f t="shared" si="21"/>
        <v>15739.728671645167</v>
      </c>
      <c r="I19" s="121">
        <f t="shared" si="17"/>
        <v>10742.039106890539</v>
      </c>
      <c r="J19" s="122">
        <f>I19*References!$D$60</f>
        <v>70.897458105477654</v>
      </c>
      <c r="K19" s="122">
        <f>J19/References!$H$63</f>
        <v>72.53678954929164</v>
      </c>
      <c r="L19" s="122">
        <f>K19/F19</f>
        <v>0.13364696055523465</v>
      </c>
      <c r="M19" s="122">
        <f>+'Proposed Rates'!C$47</f>
        <v>3.6</v>
      </c>
      <c r="N19" s="122">
        <f t="shared" si="5"/>
        <v>3.7336469605552347</v>
      </c>
      <c r="O19" s="122">
        <f>+'Proposed Rates'!E$47</f>
        <v>3.73</v>
      </c>
      <c r="P19" s="122">
        <f t="shared" si="22"/>
        <v>1953.8973523421587</v>
      </c>
      <c r="Q19" s="125">
        <f t="shared" si="19"/>
        <v>2026.4341418914505</v>
      </c>
      <c r="R19" s="126">
        <f t="shared" si="20"/>
        <v>72.536789549291825</v>
      </c>
      <c r="T19" s="115"/>
      <c r="U19" s="127"/>
      <c r="V19" s="127"/>
      <c r="W19" s="127"/>
      <c r="X19" s="127"/>
      <c r="Y19" s="127"/>
      <c r="AA19" s="127"/>
      <c r="AB19" s="127"/>
      <c r="AC19" s="128"/>
    </row>
    <row r="20" spans="1:29" x14ac:dyDescent="0.25">
      <c r="A20" s="274"/>
      <c r="B20" s="116">
        <v>36</v>
      </c>
      <c r="C20" s="148" t="s">
        <v>85</v>
      </c>
      <c r="D20" s="127">
        <f>+'Vashon Price Out'!AD44</f>
        <v>55.499827764381678</v>
      </c>
      <c r="E20" s="119">
        <f>References!$C$6</f>
        <v>8.6666666666666661</v>
      </c>
      <c r="F20" s="120">
        <f t="shared" si="2"/>
        <v>480.99850729130782</v>
      </c>
      <c r="G20" s="120">
        <f>References!$C$28</f>
        <v>29</v>
      </c>
      <c r="H20" s="120">
        <f t="shared" si="21"/>
        <v>13948.956711447927</v>
      </c>
      <c r="I20" s="121">
        <f t="shared" si="17"/>
        <v>9519.8743015584078</v>
      </c>
      <c r="J20" s="122">
        <f>I20*References!$D$60</f>
        <v>62.831170390285571</v>
      </c>
      <c r="K20" s="122">
        <f>J20/References!$H$63</f>
        <v>64.283988531088156</v>
      </c>
      <c r="L20" s="122">
        <f t="shared" si="18"/>
        <v>0.13364696055523465</v>
      </c>
      <c r="M20" s="122">
        <f>+'Proposed Rates'!C$47</f>
        <v>3.6</v>
      </c>
      <c r="N20" s="122">
        <f t="shared" si="5"/>
        <v>3.7336469605552347</v>
      </c>
      <c r="O20" s="122">
        <f>+'Proposed Rates'!E$47</f>
        <v>3.73</v>
      </c>
      <c r="P20" s="122">
        <f t="shared" si="22"/>
        <v>1731.5946262487082</v>
      </c>
      <c r="Q20" s="125">
        <f t="shared" si="19"/>
        <v>1795.8786147797964</v>
      </c>
      <c r="R20" s="126">
        <f t="shared" si="20"/>
        <v>64.283988531088198</v>
      </c>
      <c r="T20" s="115"/>
      <c r="U20" s="127"/>
      <c r="V20" s="127"/>
      <c r="W20" s="127"/>
      <c r="X20" s="127"/>
      <c r="Y20" s="127"/>
      <c r="AA20" s="127"/>
      <c r="AB20" s="127"/>
      <c r="AC20" s="128"/>
    </row>
    <row r="21" spans="1:29" x14ac:dyDescent="0.25">
      <c r="A21" s="274"/>
      <c r="B21" s="116">
        <v>36</v>
      </c>
      <c r="C21" s="148" t="s">
        <v>87</v>
      </c>
      <c r="D21" s="127">
        <f>+'Vashon Price Out'!AD45</f>
        <v>36.000000000000007</v>
      </c>
      <c r="E21" s="119">
        <f>References!$C$5</f>
        <v>13</v>
      </c>
      <c r="F21" s="120">
        <f t="shared" si="2"/>
        <v>468.00000000000011</v>
      </c>
      <c r="G21" s="120">
        <f>References!$C$28</f>
        <v>29</v>
      </c>
      <c r="H21" s="120">
        <f t="shared" si="21"/>
        <v>13572.000000000004</v>
      </c>
      <c r="I21" s="121">
        <f t="shared" si="17"/>
        <v>9262.6091465832051</v>
      </c>
      <c r="J21" s="122">
        <f>I21*References!$D$60</f>
        <v>61.133220367449233</v>
      </c>
      <c r="K21" s="122">
        <f>J21/References!$H$63</f>
        <v>62.546777539849835</v>
      </c>
      <c r="L21" s="122">
        <f t="shared" si="18"/>
        <v>0.13364696055523465</v>
      </c>
      <c r="M21" s="122">
        <f>+'Proposed Rates'!C$47</f>
        <v>3.6</v>
      </c>
      <c r="N21" s="122">
        <f t="shared" si="5"/>
        <v>3.7336469605552347</v>
      </c>
      <c r="O21" s="122">
        <f>+'Proposed Rates'!E$47</f>
        <v>3.73</v>
      </c>
      <c r="P21" s="122">
        <f t="shared" si="22"/>
        <v>1684.8000000000004</v>
      </c>
      <c r="Q21" s="125">
        <f t="shared" si="19"/>
        <v>1747.3467775398503</v>
      </c>
      <c r="R21" s="126">
        <f t="shared" si="20"/>
        <v>62.546777539849927</v>
      </c>
      <c r="T21" s="115"/>
      <c r="U21" s="127"/>
      <c r="V21" s="127"/>
      <c r="W21" s="127"/>
      <c r="X21" s="127"/>
      <c r="Y21" s="127"/>
      <c r="AA21" s="127"/>
      <c r="AB21" s="127"/>
      <c r="AC21" s="128"/>
    </row>
    <row r="22" spans="1:29" x14ac:dyDescent="0.25">
      <c r="A22" s="274"/>
      <c r="B22" s="116">
        <v>36</v>
      </c>
      <c r="C22" s="148" t="s">
        <v>89</v>
      </c>
      <c r="D22" s="127">
        <f>+'Vashon Price Out'!AD46</f>
        <v>12</v>
      </c>
      <c r="E22" s="119">
        <f>References!$C$4</f>
        <v>17.333333333333332</v>
      </c>
      <c r="F22" s="120">
        <f t="shared" si="2"/>
        <v>208</v>
      </c>
      <c r="G22" s="120">
        <f>References!$C$28</f>
        <v>29</v>
      </c>
      <c r="H22" s="120">
        <f t="shared" si="21"/>
        <v>6032</v>
      </c>
      <c r="I22" s="121">
        <f t="shared" si="17"/>
        <v>4116.7151762592011</v>
      </c>
      <c r="J22" s="122">
        <f>I22*References!$D$60</f>
        <v>27.170320163310762</v>
      </c>
      <c r="K22" s="122">
        <f>J22/References!$H$63</f>
        <v>27.798567795488808</v>
      </c>
      <c r="L22" s="122">
        <f t="shared" si="18"/>
        <v>0.13364696055523465</v>
      </c>
      <c r="M22" s="122">
        <f>+'Proposed Rates'!C$47</f>
        <v>3.6</v>
      </c>
      <c r="N22" s="122">
        <f t="shared" si="5"/>
        <v>3.7336469605552347</v>
      </c>
      <c r="O22" s="122">
        <f>+'Proposed Rates'!E$47</f>
        <v>3.73</v>
      </c>
      <c r="P22" s="122">
        <f t="shared" si="22"/>
        <v>748.80000000000007</v>
      </c>
      <c r="Q22" s="125">
        <f t="shared" si="19"/>
        <v>776.59856779548886</v>
      </c>
      <c r="R22" s="126">
        <f t="shared" si="20"/>
        <v>27.798567795488793</v>
      </c>
      <c r="T22" s="115"/>
      <c r="U22" s="127"/>
      <c r="V22" s="127"/>
      <c r="W22" s="127"/>
      <c r="X22" s="127"/>
      <c r="Y22" s="127"/>
      <c r="AA22" s="127"/>
      <c r="AB22" s="127"/>
      <c r="AC22" s="128"/>
    </row>
    <row r="23" spans="1:29" x14ac:dyDescent="0.25">
      <c r="A23" s="274"/>
      <c r="B23" s="116">
        <v>35</v>
      </c>
      <c r="C23" s="117" t="s">
        <v>318</v>
      </c>
      <c r="D23" s="150">
        <f>+'Vashon Price Out'!AD54</f>
        <v>616.50031908104665</v>
      </c>
      <c r="E23" s="119">
        <f>References!$C$7</f>
        <v>4.333333333333333</v>
      </c>
      <c r="F23" s="120">
        <f t="shared" si="2"/>
        <v>2671.5013826845352</v>
      </c>
      <c r="G23" s="120">
        <f>References!$C$30</f>
        <v>175</v>
      </c>
      <c r="H23" s="120">
        <f t="shared" si="21"/>
        <v>467512.74196979369</v>
      </c>
      <c r="I23" s="121">
        <f t="shared" si="17"/>
        <v>319067.77187692333</v>
      </c>
      <c r="J23" s="122">
        <f>I23*References!$D$60</f>
        <v>2105.8472943876968</v>
      </c>
      <c r="K23" s="122">
        <f>J23/References!$H$63</f>
        <v>2154.539896038159</v>
      </c>
      <c r="L23" s="122">
        <f t="shared" si="18"/>
        <v>0.80649027921262295</v>
      </c>
      <c r="M23" s="122">
        <f>+'Proposed Rates'!C$37</f>
        <v>19.489999999999998</v>
      </c>
      <c r="N23" s="122">
        <f t="shared" si="5"/>
        <v>20.29649027921262</v>
      </c>
      <c r="O23" s="122">
        <f>+'Proposed Rates'!E$37</f>
        <v>20.299999999999997</v>
      </c>
      <c r="P23" s="122">
        <f t="shared" si="22"/>
        <v>52067.561948521587</v>
      </c>
      <c r="Q23" s="125">
        <f t="shared" si="19"/>
        <v>54222.101844559744</v>
      </c>
      <c r="R23" s="126">
        <f t="shared" si="20"/>
        <v>2154.5398960381572</v>
      </c>
      <c r="T23" s="115"/>
      <c r="U23" s="127"/>
      <c r="V23" s="127"/>
      <c r="W23" s="127"/>
      <c r="X23" s="127"/>
      <c r="Y23" s="127"/>
      <c r="AA23" s="127"/>
      <c r="AB23" s="127"/>
      <c r="AC23" s="128"/>
    </row>
    <row r="24" spans="1:29" x14ac:dyDescent="0.25">
      <c r="A24" s="274"/>
      <c r="B24" s="116">
        <v>35</v>
      </c>
      <c r="C24" s="117" t="s">
        <v>319</v>
      </c>
      <c r="D24" s="150">
        <f>+'Vashon Price Out'!AD48</f>
        <v>186.00040342914775</v>
      </c>
      <c r="E24" s="119">
        <f>References!$C$7</f>
        <v>4.333333333333333</v>
      </c>
      <c r="F24" s="120">
        <f t="shared" si="2"/>
        <v>806.00174819297354</v>
      </c>
      <c r="G24" s="120">
        <f>References!$C$31</f>
        <v>250</v>
      </c>
      <c r="H24" s="120">
        <f t="shared" si="21"/>
        <v>201500.43704824339</v>
      </c>
      <c r="I24" s="121">
        <f t="shared" si="17"/>
        <v>137519.87851779928</v>
      </c>
      <c r="J24" s="122">
        <f>I24*References!$D$60</f>
        <v>907.63119821747648</v>
      </c>
      <c r="K24" s="122">
        <f>J24/References!$H$63</f>
        <v>928.61796420859059</v>
      </c>
      <c r="L24" s="122">
        <f t="shared" si="18"/>
        <v>1.1521289703037469</v>
      </c>
      <c r="M24" s="122">
        <f>'Proposed Rates'!C$38</f>
        <v>24.74</v>
      </c>
      <c r="N24" s="122">
        <f t="shared" si="5"/>
        <v>25.892128970303744</v>
      </c>
      <c r="O24" s="122">
        <f>'Proposed Rates'!E$38</f>
        <v>25.889999999999997</v>
      </c>
      <c r="P24" s="122">
        <f t="shared" si="22"/>
        <v>19940.483250294164</v>
      </c>
      <c r="Q24" s="125">
        <f t="shared" si="19"/>
        <v>20869.101214502753</v>
      </c>
      <c r="R24" s="126">
        <f t="shared" si="20"/>
        <v>928.61796420858809</v>
      </c>
      <c r="T24" s="115"/>
      <c r="U24" s="127"/>
      <c r="V24" s="127"/>
      <c r="W24" s="127"/>
      <c r="X24" s="127"/>
      <c r="Y24" s="127"/>
      <c r="AA24" s="127"/>
      <c r="AB24" s="127"/>
      <c r="AC24" s="128"/>
    </row>
    <row r="25" spans="1:29" x14ac:dyDescent="0.25">
      <c r="A25" s="274"/>
      <c r="B25" s="116">
        <v>35</v>
      </c>
      <c r="C25" s="117" t="s">
        <v>320</v>
      </c>
      <c r="D25" s="150">
        <f>+'Vashon Price Out'!AD49</f>
        <v>33.875031519491657</v>
      </c>
      <c r="E25" s="119">
        <f>References!$C$6</f>
        <v>8.6666666666666661</v>
      </c>
      <c r="F25" s="120">
        <f t="shared" si="2"/>
        <v>293.58360650226098</v>
      </c>
      <c r="G25" s="120">
        <f>References!$C$31</f>
        <v>250</v>
      </c>
      <c r="H25" s="120">
        <f t="shared" si="21"/>
        <v>73395.901625565239</v>
      </c>
      <c r="I25" s="121">
        <f t="shared" si="17"/>
        <v>50091.184034680336</v>
      </c>
      <c r="J25" s="122">
        <f>I25*References!$D$60</f>
        <v>330.60181462889068</v>
      </c>
      <c r="K25" s="122">
        <f>J25/References!$H$63</f>
        <v>338.24617825751039</v>
      </c>
      <c r="L25" s="122">
        <f t="shared" si="18"/>
        <v>1.1521289703037469</v>
      </c>
      <c r="M25" s="122">
        <f>'Proposed Rates'!C$38</f>
        <v>24.74</v>
      </c>
      <c r="N25" s="122">
        <f t="shared" si="5"/>
        <v>25.892128970303744</v>
      </c>
      <c r="O25" s="122">
        <f>'Proposed Rates'!E$38</f>
        <v>25.889999999999997</v>
      </c>
      <c r="P25" s="122">
        <f t="shared" si="22"/>
        <v>7263.2584248659359</v>
      </c>
      <c r="Q25" s="125">
        <f t="shared" si="19"/>
        <v>7601.504603123446</v>
      </c>
      <c r="R25" s="126">
        <f t="shared" si="20"/>
        <v>338.24617825751011</v>
      </c>
      <c r="T25" s="115"/>
      <c r="U25" s="127"/>
      <c r="V25" s="127"/>
      <c r="W25" s="127"/>
      <c r="X25" s="127"/>
      <c r="Y25" s="127"/>
      <c r="AA25" s="127"/>
      <c r="AB25" s="127"/>
      <c r="AC25" s="128"/>
    </row>
    <row r="26" spans="1:29" x14ac:dyDescent="0.25">
      <c r="A26" s="274"/>
      <c r="B26" s="116">
        <v>35</v>
      </c>
      <c r="C26" s="117" t="s">
        <v>321</v>
      </c>
      <c r="D26" s="150">
        <f>+'Vashon Price Out'!AD60</f>
        <v>638.50025382551303</v>
      </c>
      <c r="E26" s="119">
        <f>References!$C$7</f>
        <v>4.333333333333333</v>
      </c>
      <c r="F26" s="120">
        <f t="shared" si="2"/>
        <v>2766.8344332438896</v>
      </c>
      <c r="G26" s="120">
        <f>References!$C$32</f>
        <v>324</v>
      </c>
      <c r="H26" s="120">
        <f t="shared" si="21"/>
        <v>896454.3563710202</v>
      </c>
      <c r="I26" s="121">
        <f t="shared" si="17"/>
        <v>611811.54736343725</v>
      </c>
      <c r="J26" s="122">
        <f>I26*References!$D$60</f>
        <v>4037.9562125986913</v>
      </c>
      <c r="K26" s="122">
        <f>J26/References!$H$63</f>
        <v>4131.3241381202079</v>
      </c>
      <c r="L26" s="122">
        <f t="shared" si="18"/>
        <v>1.4931591455136564</v>
      </c>
      <c r="M26" s="122">
        <f>'Proposed Rates'!C$39</f>
        <v>34.35</v>
      </c>
      <c r="N26" s="122">
        <f t="shared" si="5"/>
        <v>35.84315914551366</v>
      </c>
      <c r="O26" s="122">
        <f>'Proposed Rates'!E$39</f>
        <v>35.840000000000003</v>
      </c>
      <c r="P26" s="122">
        <f t="shared" si="22"/>
        <v>95040.762781927609</v>
      </c>
      <c r="Q26" s="125">
        <f t="shared" si="19"/>
        <v>99172.086920047819</v>
      </c>
      <c r="R26" s="126">
        <f t="shared" si="20"/>
        <v>4131.3241381202097</v>
      </c>
      <c r="T26" s="115"/>
      <c r="U26" s="127"/>
      <c r="V26" s="127"/>
      <c r="W26" s="127"/>
      <c r="X26" s="127"/>
      <c r="Y26" s="127"/>
      <c r="AA26" s="127"/>
      <c r="AB26" s="127"/>
      <c r="AC26" s="128"/>
    </row>
    <row r="27" spans="1:29" x14ac:dyDescent="0.25">
      <c r="A27" s="274"/>
      <c r="B27" s="116">
        <v>35</v>
      </c>
      <c r="C27" s="148" t="s">
        <v>90</v>
      </c>
      <c r="D27" s="150">
        <f>+'Vashon Price Out'!AD61</f>
        <v>267.8750407948653</v>
      </c>
      <c r="E27" s="119">
        <f>References!$C$6</f>
        <v>8.6666666666666661</v>
      </c>
      <c r="F27" s="120">
        <f t="shared" si="2"/>
        <v>2321.5836868888323</v>
      </c>
      <c r="G27" s="120">
        <f>References!$C$32</f>
        <v>324</v>
      </c>
      <c r="H27" s="120">
        <f t="shared" si="21"/>
        <v>752193.11455198168</v>
      </c>
      <c r="I27" s="121">
        <f t="shared" si="17"/>
        <v>513356.23510507605</v>
      </c>
      <c r="J27" s="122">
        <f>I27*References!$D$60</f>
        <v>3388.1511516935066</v>
      </c>
      <c r="K27" s="122">
        <f>J27/References!$H$63</f>
        <v>3466.4939141533728</v>
      </c>
      <c r="L27" s="122">
        <f t="shared" si="18"/>
        <v>1.4931591455136564</v>
      </c>
      <c r="M27" s="122">
        <f>'Proposed Rates'!C$39</f>
        <v>34.35</v>
      </c>
      <c r="N27" s="122">
        <f t="shared" si="5"/>
        <v>35.84315914551366</v>
      </c>
      <c r="O27" s="122">
        <f>'Proposed Rates'!$E$39</f>
        <v>35.840000000000003</v>
      </c>
      <c r="P27" s="122">
        <f t="shared" si="22"/>
        <v>79746.399644631398</v>
      </c>
      <c r="Q27" s="125">
        <f t="shared" si="19"/>
        <v>83212.893558784766</v>
      </c>
      <c r="R27" s="126">
        <f t="shared" si="20"/>
        <v>3466.4939141533687</v>
      </c>
      <c r="T27" s="115"/>
      <c r="U27" s="127"/>
      <c r="V27" s="127"/>
      <c r="W27" s="127"/>
      <c r="X27" s="127"/>
      <c r="Y27" s="127"/>
      <c r="AA27" s="127"/>
      <c r="AB27" s="127"/>
      <c r="AC27" s="128"/>
    </row>
    <row r="28" spans="1:29" x14ac:dyDescent="0.25">
      <c r="A28" s="274"/>
      <c r="B28" s="116">
        <v>35</v>
      </c>
      <c r="C28" s="117" t="s">
        <v>91</v>
      </c>
      <c r="D28" s="150">
        <f>+'Vashon Price Out'!AD62</f>
        <v>74</v>
      </c>
      <c r="E28" s="119">
        <f>References!$C$5</f>
        <v>13</v>
      </c>
      <c r="F28" s="120">
        <f t="shared" si="2"/>
        <v>962</v>
      </c>
      <c r="G28" s="120">
        <f>References!$C$32</f>
        <v>324</v>
      </c>
      <c r="H28" s="120">
        <f t="shared" si="21"/>
        <v>311688</v>
      </c>
      <c r="I28" s="121">
        <f t="shared" si="17"/>
        <v>212720.61005601424</v>
      </c>
      <c r="J28" s="122">
        <f>I28*References!$D$60</f>
        <v>1403.9560263696958</v>
      </c>
      <c r="K28" s="122">
        <f>J28/References!$H$63</f>
        <v>1436.4190979841371</v>
      </c>
      <c r="L28" s="122">
        <f t="shared" si="18"/>
        <v>1.4931591455136561</v>
      </c>
      <c r="M28" s="122">
        <f>'Proposed Rates'!C39</f>
        <v>34.35</v>
      </c>
      <c r="N28" s="122">
        <f t="shared" si="5"/>
        <v>35.84315914551366</v>
      </c>
      <c r="O28" s="122">
        <f>'Proposed Rates'!$E$39</f>
        <v>35.840000000000003</v>
      </c>
      <c r="P28" s="122">
        <f t="shared" si="22"/>
        <v>33044.700000000004</v>
      </c>
      <c r="Q28" s="125">
        <f t="shared" si="19"/>
        <v>34481.119097984141</v>
      </c>
      <c r="R28" s="126">
        <f t="shared" si="20"/>
        <v>1436.4190979841369</v>
      </c>
      <c r="T28" s="115"/>
      <c r="U28" s="127"/>
      <c r="V28" s="127"/>
      <c r="W28" s="127"/>
      <c r="X28" s="127"/>
      <c r="Y28" s="127"/>
      <c r="AA28" s="127"/>
      <c r="AB28" s="127"/>
      <c r="AC28" s="128"/>
    </row>
    <row r="29" spans="1:29" x14ac:dyDescent="0.25">
      <c r="A29" s="274"/>
      <c r="B29" s="116">
        <v>35</v>
      </c>
      <c r="C29" s="117" t="s">
        <v>322</v>
      </c>
      <c r="D29" s="150">
        <f>+'Vashon Price Out'!AD63</f>
        <v>15.749995467319373</v>
      </c>
      <c r="E29" s="119">
        <f>References!$C$4</f>
        <v>17.333333333333332</v>
      </c>
      <c r="F29" s="120">
        <f t="shared" si="2"/>
        <v>272.9999214335358</v>
      </c>
      <c r="G29" s="120">
        <f>References!$C$32</f>
        <v>324</v>
      </c>
      <c r="H29" s="120">
        <f t="shared" si="21"/>
        <v>88451.9745444656</v>
      </c>
      <c r="I29" s="121">
        <f t="shared" si="17"/>
        <v>60366.642237615066</v>
      </c>
      <c r="J29" s="122">
        <f>I29*References!$D$60</f>
        <v>398.41983876825998</v>
      </c>
      <c r="K29" s="122">
        <f>J29/References!$H$63</f>
        <v>407.63232941299361</v>
      </c>
      <c r="L29" s="122">
        <f t="shared" si="18"/>
        <v>1.4931591455136564</v>
      </c>
      <c r="M29" s="122">
        <f>'Proposed Rates'!C39</f>
        <v>34.35</v>
      </c>
      <c r="N29" s="122">
        <f t="shared" si="5"/>
        <v>35.84315914551366</v>
      </c>
      <c r="O29" s="122">
        <f>'Proposed Rates'!$E$39</f>
        <v>35.840000000000003</v>
      </c>
      <c r="P29" s="122">
        <f t="shared" si="22"/>
        <v>9377.5473012419552</v>
      </c>
      <c r="Q29" s="125">
        <f t="shared" si="19"/>
        <v>9785.1796306549495</v>
      </c>
      <c r="R29" s="126">
        <f t="shared" si="20"/>
        <v>407.6323294129943</v>
      </c>
      <c r="T29" s="115"/>
      <c r="U29" s="127"/>
      <c r="V29" s="127"/>
      <c r="W29" s="127"/>
      <c r="X29" s="127"/>
      <c r="Y29" s="127"/>
      <c r="AA29" s="127"/>
      <c r="AB29" s="127"/>
      <c r="AC29" s="128"/>
    </row>
    <row r="30" spans="1:29" x14ac:dyDescent="0.25">
      <c r="A30" s="274"/>
      <c r="B30" s="116">
        <v>35</v>
      </c>
      <c r="C30" s="117" t="s">
        <v>323</v>
      </c>
      <c r="D30" s="150">
        <f>+'Vashon Price Out'!AD59</f>
        <v>3</v>
      </c>
      <c r="E30" s="119">
        <f>References!C11</f>
        <v>4</v>
      </c>
      <c r="F30" s="120">
        <f t="shared" si="2"/>
        <v>12</v>
      </c>
      <c r="G30" s="120">
        <f>References!$C$30</f>
        <v>175</v>
      </c>
      <c r="H30" s="120">
        <f t="shared" si="21"/>
        <v>2100</v>
      </c>
      <c r="I30" s="121">
        <f t="shared" si="17"/>
        <v>1433.2065434589394</v>
      </c>
      <c r="J30" s="122">
        <f>I30*References!$D$60</f>
        <v>9.4591631868290129</v>
      </c>
      <c r="K30" s="122">
        <f>J30/References!$H$63</f>
        <v>9.6778833505514754</v>
      </c>
      <c r="L30" s="122">
        <f t="shared" si="18"/>
        <v>0.80649027921262295</v>
      </c>
      <c r="M30" s="122">
        <f>'Proposed Rates'!C42</f>
        <v>21.61</v>
      </c>
      <c r="N30" s="122">
        <f t="shared" si="5"/>
        <v>22.416490279212624</v>
      </c>
      <c r="O30" s="122">
        <f>'Proposed Rates'!E42</f>
        <v>22.419999999999998</v>
      </c>
      <c r="P30" s="122">
        <f t="shared" si="22"/>
        <v>259.32</v>
      </c>
      <c r="Q30" s="125">
        <f t="shared" si="19"/>
        <v>268.99788335055149</v>
      </c>
      <c r="R30" s="126">
        <f t="shared" si="20"/>
        <v>9.6778833505514967</v>
      </c>
      <c r="T30" s="115"/>
      <c r="U30" s="127"/>
      <c r="V30" s="127"/>
      <c r="W30" s="127"/>
      <c r="X30" s="127"/>
      <c r="Y30" s="127"/>
      <c r="AA30" s="127"/>
      <c r="AB30" s="127"/>
      <c r="AC30" s="128"/>
    </row>
    <row r="31" spans="1:29" x14ac:dyDescent="0.25">
      <c r="A31" s="274"/>
      <c r="B31" s="116">
        <v>35</v>
      </c>
      <c r="C31" s="117" t="s">
        <v>324</v>
      </c>
      <c r="D31" s="150">
        <f>+'Vashon Price Out'!AD67</f>
        <v>7.75</v>
      </c>
      <c r="E31" s="119">
        <f>References!C11</f>
        <v>4</v>
      </c>
      <c r="F31" s="120">
        <f t="shared" si="2"/>
        <v>31</v>
      </c>
      <c r="G31" s="120">
        <f>References!$C$32</f>
        <v>324</v>
      </c>
      <c r="H31" s="120">
        <f t="shared" si="21"/>
        <v>10044</v>
      </c>
      <c r="I31" s="121">
        <f t="shared" si="17"/>
        <v>6854.8221535721841</v>
      </c>
      <c r="J31" s="122">
        <f>I31*References!$D$60</f>
        <v>45.241826213576473</v>
      </c>
      <c r="K31" s="122">
        <f>J31/References!$H$63</f>
        <v>46.287933510923338</v>
      </c>
      <c r="L31" s="122">
        <f t="shared" si="18"/>
        <v>1.4931591455136561</v>
      </c>
      <c r="M31" s="122">
        <f>'Proposed Rates'!C44</f>
        <v>36.46</v>
      </c>
      <c r="N31" s="122">
        <f t="shared" si="5"/>
        <v>37.953159145513659</v>
      </c>
      <c r="O31" s="122">
        <f>'Proposed Rates'!E44</f>
        <v>37.950000000000003</v>
      </c>
      <c r="P31" s="122">
        <f t="shared" si="22"/>
        <v>1130.26</v>
      </c>
      <c r="Q31" s="125">
        <f t="shared" si="19"/>
        <v>1176.5479335109235</v>
      </c>
      <c r="R31" s="126">
        <f t="shared" si="20"/>
        <v>46.287933510923494</v>
      </c>
      <c r="T31" s="115"/>
      <c r="U31" s="127"/>
      <c r="V31" s="127"/>
      <c r="W31" s="127"/>
      <c r="X31" s="127"/>
      <c r="Y31" s="127"/>
      <c r="AA31" s="127"/>
      <c r="AB31" s="127"/>
      <c r="AC31" s="128"/>
    </row>
    <row r="32" spans="1:29" x14ac:dyDescent="0.25">
      <c r="A32" s="274"/>
      <c r="B32" s="116">
        <v>35</v>
      </c>
      <c r="C32" s="117" t="s">
        <v>325</v>
      </c>
      <c r="D32" s="150">
        <f>+'Vashon Price Out'!AD58</f>
        <v>8.2488938053097343</v>
      </c>
      <c r="E32" s="119">
        <f>References!$C$10</f>
        <v>1</v>
      </c>
      <c r="F32" s="120">
        <f t="shared" si="2"/>
        <v>8.2488938053097343</v>
      </c>
      <c r="G32" s="120">
        <f>References!$C$30</f>
        <v>175</v>
      </c>
      <c r="H32" s="120">
        <f t="shared" si="21"/>
        <v>1443.5564159292035</v>
      </c>
      <c r="I32" s="121">
        <f t="shared" si="17"/>
        <v>985.19738150565183</v>
      </c>
      <c r="J32" s="122">
        <f>I32*References!$D$60</f>
        <v>6.5023027179373107</v>
      </c>
      <c r="K32" s="122">
        <f>J32/References!$H$63</f>
        <v>6.6526526682395239</v>
      </c>
      <c r="L32" s="122">
        <f t="shared" si="18"/>
        <v>0.80649027921262306</v>
      </c>
      <c r="M32" s="122">
        <f>'Proposed Rates'!C37</f>
        <v>19.489999999999998</v>
      </c>
      <c r="N32" s="122">
        <f t="shared" si="5"/>
        <v>20.296490279212623</v>
      </c>
      <c r="O32" s="122">
        <f>'Proposed Rates'!E37</f>
        <v>20.299999999999997</v>
      </c>
      <c r="P32" s="122">
        <f t="shared" si="22"/>
        <v>160.7709402654867</v>
      </c>
      <c r="Q32" s="125">
        <f t="shared" si="19"/>
        <v>167.42359293372624</v>
      </c>
      <c r="R32" s="126">
        <f t="shared" si="20"/>
        <v>6.6526526682395399</v>
      </c>
      <c r="T32" s="115"/>
      <c r="U32" s="127"/>
      <c r="V32" s="127"/>
      <c r="W32" s="127"/>
      <c r="X32" s="127"/>
      <c r="Y32" s="127"/>
      <c r="AA32" s="127"/>
      <c r="AB32" s="127"/>
      <c r="AC32" s="128"/>
    </row>
    <row r="33" spans="1:29" x14ac:dyDescent="0.25">
      <c r="A33" s="274"/>
      <c r="B33" s="116">
        <v>35</v>
      </c>
      <c r="C33" s="117" t="s">
        <v>326</v>
      </c>
      <c r="D33" s="150">
        <f>+'Vashon Price Out'!AD52</f>
        <v>3</v>
      </c>
      <c r="E33" s="119">
        <f>References!$C$10</f>
        <v>1</v>
      </c>
      <c r="F33" s="120">
        <f t="shared" si="2"/>
        <v>3</v>
      </c>
      <c r="G33" s="120">
        <f>References!$C$31</f>
        <v>250</v>
      </c>
      <c r="H33" s="120">
        <f t="shared" si="21"/>
        <v>750</v>
      </c>
      <c r="I33" s="121">
        <f t="shared" si="17"/>
        <v>511.85947980676406</v>
      </c>
      <c r="J33" s="122">
        <f>I33*References!$D$60</f>
        <v>3.3782725667246472</v>
      </c>
      <c r="K33" s="122">
        <f>J33/References!$H$63</f>
        <v>3.4563869109112408</v>
      </c>
      <c r="L33" s="122">
        <f t="shared" si="18"/>
        <v>1.1521289703037469</v>
      </c>
      <c r="M33" s="122">
        <f>'Proposed Rates'!C38</f>
        <v>24.74</v>
      </c>
      <c r="N33" s="122">
        <f t="shared" si="5"/>
        <v>25.892128970303744</v>
      </c>
      <c r="O33" s="122">
        <f>'Proposed Rates'!E38</f>
        <v>25.889999999999997</v>
      </c>
      <c r="P33" s="122">
        <f t="shared" si="22"/>
        <v>74.22</v>
      </c>
      <c r="Q33" s="125">
        <f t="shared" si="19"/>
        <v>77.676386910911233</v>
      </c>
      <c r="R33" s="126">
        <f t="shared" si="20"/>
        <v>3.4563869109112346</v>
      </c>
      <c r="T33" s="115"/>
      <c r="U33" s="127"/>
      <c r="V33" s="127"/>
      <c r="W33" s="127"/>
      <c r="X33" s="127"/>
      <c r="Y33" s="127"/>
      <c r="AA33" s="127"/>
      <c r="AB33" s="127"/>
      <c r="AC33" s="128"/>
    </row>
    <row r="34" spans="1:29" x14ac:dyDescent="0.25">
      <c r="A34" s="274"/>
      <c r="B34" s="116">
        <v>35</v>
      </c>
      <c r="C34" s="117" t="s">
        <v>327</v>
      </c>
      <c r="D34" s="150">
        <f>+'Vashon Price Out'!AD66</f>
        <v>3.9484600879949721</v>
      </c>
      <c r="E34" s="119">
        <f>References!$C$10</f>
        <v>1</v>
      </c>
      <c r="F34" s="120">
        <f t="shared" si="2"/>
        <v>3.9484600879949721</v>
      </c>
      <c r="G34" s="120">
        <f>References!$C$32</f>
        <v>324</v>
      </c>
      <c r="H34" s="120">
        <f t="shared" si="21"/>
        <v>1279.3010685103709</v>
      </c>
      <c r="I34" s="121">
        <f t="shared" si="17"/>
        <v>873.09650592527453</v>
      </c>
      <c r="J34" s="122">
        <f>I34*References!$D$60</f>
        <v>5.7624369391068191</v>
      </c>
      <c r="K34" s="122">
        <f>J34/References!$H$63</f>
        <v>5.8956792910853473</v>
      </c>
      <c r="L34" s="122">
        <f t="shared" si="18"/>
        <v>1.4931591455136559</v>
      </c>
      <c r="M34" s="122">
        <f>'Proposed Rates'!C39</f>
        <v>34.35</v>
      </c>
      <c r="N34" s="122">
        <f t="shared" si="5"/>
        <v>35.84315914551366</v>
      </c>
      <c r="O34" s="122">
        <f>'Proposed Rates'!E39</f>
        <v>35.840000000000003</v>
      </c>
      <c r="P34" s="122">
        <f t="shared" si="22"/>
        <v>135.62960402262729</v>
      </c>
      <c r="Q34" s="125">
        <f t="shared" si="19"/>
        <v>141.52528331371266</v>
      </c>
      <c r="R34" s="126">
        <f t="shared" si="20"/>
        <v>5.8956792910853721</v>
      </c>
      <c r="T34" s="115"/>
      <c r="U34" s="127"/>
      <c r="V34" s="127"/>
      <c r="W34" s="127"/>
      <c r="X34" s="127"/>
      <c r="Y34" s="127"/>
      <c r="AA34" s="127"/>
      <c r="AB34" s="127"/>
      <c r="AC34" s="128"/>
    </row>
    <row r="35" spans="1:29" x14ac:dyDescent="0.25">
      <c r="A35" s="274"/>
      <c r="B35" s="225">
        <v>35</v>
      </c>
      <c r="C35" s="117" t="s">
        <v>113</v>
      </c>
      <c r="D35" s="150">
        <f>+'Vashon Price Out'!AD57</f>
        <v>489.75038245792962</v>
      </c>
      <c r="E35" s="119">
        <f>References!$C$8</f>
        <v>2.1666666666666665</v>
      </c>
      <c r="F35" s="120">
        <f t="shared" si="2"/>
        <v>1061.1258286588475</v>
      </c>
      <c r="G35" s="120">
        <f>References!$C$30</f>
        <v>175</v>
      </c>
      <c r="H35" s="120">
        <f t="shared" si="21"/>
        <v>185697.0200152983</v>
      </c>
      <c r="I35" s="121">
        <f t="shared" si="17"/>
        <v>126734.37342226246</v>
      </c>
      <c r="J35" s="122">
        <f>I35*References!$D$60</f>
        <v>836.44686458693332</v>
      </c>
      <c r="K35" s="122">
        <f>J35/References!$H$63</f>
        <v>855.78766583479978</v>
      </c>
      <c r="L35" s="122">
        <f t="shared" si="18"/>
        <v>0.80649027921262295</v>
      </c>
      <c r="M35" s="122">
        <f>+'Proposed Rates'!C$37</f>
        <v>19.489999999999998</v>
      </c>
      <c r="N35" s="122">
        <f t="shared" si="5"/>
        <v>20.29649027921262</v>
      </c>
      <c r="O35" s="122">
        <f>+'Proposed Rates'!E$37</f>
        <v>20.299999999999997</v>
      </c>
      <c r="P35" s="122">
        <f t="shared" si="22"/>
        <v>20681.342400560934</v>
      </c>
      <c r="Q35" s="125">
        <f t="shared" si="19"/>
        <v>21537.130066395734</v>
      </c>
      <c r="R35" s="126">
        <f t="shared" si="20"/>
        <v>855.78766583479955</v>
      </c>
      <c r="T35" s="115"/>
      <c r="U35" s="127"/>
      <c r="V35" s="127"/>
      <c r="W35" s="127"/>
      <c r="X35" s="127"/>
      <c r="Y35" s="127"/>
      <c r="AA35" s="127"/>
      <c r="AB35" s="127"/>
      <c r="AC35" s="128"/>
    </row>
    <row r="36" spans="1:29" x14ac:dyDescent="0.25">
      <c r="A36" s="274"/>
      <c r="B36" s="225">
        <v>35</v>
      </c>
      <c r="C36" s="117" t="s">
        <v>101</v>
      </c>
      <c r="D36" s="150">
        <f>+'Vashon Price Out'!AD51</f>
        <v>34</v>
      </c>
      <c r="E36" s="119">
        <f>References!$C$8</f>
        <v>2.1666666666666665</v>
      </c>
      <c r="F36" s="120">
        <f t="shared" si="2"/>
        <v>73.666666666666657</v>
      </c>
      <c r="G36" s="120">
        <f>References!$C$31</f>
        <v>250</v>
      </c>
      <c r="H36" s="120">
        <f t="shared" si="21"/>
        <v>18416.666666666664</v>
      </c>
      <c r="I36" s="121">
        <f t="shared" si="17"/>
        <v>12568.993893032761</v>
      </c>
      <c r="J36" s="122">
        <f>I36*References!$D$60</f>
        <v>82.955359694016323</v>
      </c>
      <c r="K36" s="122">
        <f>J36/References!$H$63</f>
        <v>84.873500812376022</v>
      </c>
      <c r="L36" s="122">
        <f t="shared" si="18"/>
        <v>1.1521289703037472</v>
      </c>
      <c r="M36" s="122">
        <f>'Proposed Rates'!C$38</f>
        <v>24.74</v>
      </c>
      <c r="N36" s="122">
        <f t="shared" si="5"/>
        <v>25.892128970303744</v>
      </c>
      <c r="O36" s="122">
        <f>'Proposed Rates'!E$38</f>
        <v>25.889999999999997</v>
      </c>
      <c r="P36" s="122">
        <f t="shared" si="22"/>
        <v>1822.5133333333331</v>
      </c>
      <c r="Q36" s="125">
        <f t="shared" si="19"/>
        <v>1907.3868341457089</v>
      </c>
      <c r="R36" s="126">
        <f t="shared" si="20"/>
        <v>84.873500812375823</v>
      </c>
      <c r="T36" s="115"/>
      <c r="U36" s="127"/>
      <c r="V36" s="127"/>
      <c r="W36" s="127"/>
      <c r="X36" s="127"/>
      <c r="Y36" s="127"/>
      <c r="AA36" s="127"/>
      <c r="AB36" s="127"/>
      <c r="AC36" s="128"/>
    </row>
    <row r="37" spans="1:29" x14ac:dyDescent="0.25">
      <c r="A37" s="275"/>
      <c r="B37" s="225">
        <v>35</v>
      </c>
      <c r="C37" s="117" t="s">
        <v>129</v>
      </c>
      <c r="D37" s="150">
        <f>+'Vashon Price Out'!AD65</f>
        <v>96</v>
      </c>
      <c r="E37" s="119">
        <f>References!$C$8</f>
        <v>2.1666666666666665</v>
      </c>
      <c r="F37" s="120">
        <f t="shared" si="2"/>
        <v>208</v>
      </c>
      <c r="G37" s="120">
        <f>[20]References!$C$30</f>
        <v>324</v>
      </c>
      <c r="H37" s="120">
        <f t="shared" si="21"/>
        <v>67392</v>
      </c>
      <c r="I37" s="121">
        <f t="shared" si="17"/>
        <v>45993.645417516593</v>
      </c>
      <c r="J37" s="122">
        <f>I37*References!$D$60</f>
        <v>303.55805975560992</v>
      </c>
      <c r="K37" s="122">
        <f>J37/References!$H$63</f>
        <v>310.57710226684048</v>
      </c>
      <c r="L37" s="122">
        <f t="shared" si="18"/>
        <v>1.4931591455136561</v>
      </c>
      <c r="M37" s="122">
        <f>'Proposed Rates'!C$39</f>
        <v>34.35</v>
      </c>
      <c r="N37" s="122">
        <f t="shared" si="5"/>
        <v>35.84315914551366</v>
      </c>
      <c r="O37" s="122">
        <f>'Proposed Rates'!E$39</f>
        <v>35.840000000000003</v>
      </c>
      <c r="P37" s="122">
        <f t="shared" si="22"/>
        <v>7144.8</v>
      </c>
      <c r="Q37" s="125">
        <f t="shared" si="19"/>
        <v>7455.3771022668416</v>
      </c>
      <c r="R37" s="126">
        <f t="shared" si="20"/>
        <v>310.57710226684139</v>
      </c>
      <c r="T37" s="115"/>
      <c r="U37" s="127"/>
      <c r="V37" s="127"/>
      <c r="W37" s="127"/>
      <c r="X37" s="127"/>
      <c r="Y37" s="127"/>
      <c r="AA37" s="127"/>
      <c r="AB37" s="127"/>
      <c r="AC37" s="128"/>
    </row>
    <row r="38" spans="1:29" x14ac:dyDescent="0.25">
      <c r="A38" s="151"/>
      <c r="B38" s="152"/>
      <c r="C38" s="130" t="s">
        <v>328</v>
      </c>
      <c r="D38" s="153">
        <f>SUM(D16:D37)</f>
        <v>4386.6503138842327</v>
      </c>
      <c r="E38" s="154"/>
      <c r="F38" s="153">
        <f>SUM(F16:F37)</f>
        <v>14916.944275368533</v>
      </c>
      <c r="G38" s="154"/>
      <c r="H38" s="153">
        <f>SUM(H16:H37)</f>
        <v>3179413.1392968376</v>
      </c>
      <c r="I38" s="153">
        <f>SUM(I16:I37)</f>
        <v>2169883.6740950276</v>
      </c>
      <c r="J38" s="134">
        <f>SUM(J16:J37)</f>
        <v>14321.232249027196</v>
      </c>
      <c r="K38" s="134">
        <f>SUM(K16:K37)</f>
        <v>14652.375945393083</v>
      </c>
      <c r="L38" s="135"/>
      <c r="M38" s="135"/>
      <c r="N38" s="135"/>
      <c r="O38" s="135"/>
      <c r="P38" s="134">
        <f>SUM(P16:P37)</f>
        <v>341259.79938531044</v>
      </c>
      <c r="Q38" s="134">
        <f>SUM(Q16:Q37)</f>
        <v>355912.17533070355</v>
      </c>
      <c r="R38" s="134">
        <f>SUM(R16:R37)</f>
        <v>14652.375945393076</v>
      </c>
      <c r="T38" s="247">
        <f>R38/P38</f>
        <v>4.2936132447435847E-2</v>
      </c>
      <c r="U38" s="226"/>
      <c r="V38" s="137"/>
      <c r="W38" s="137"/>
      <c r="X38" s="137"/>
      <c r="Y38" s="137"/>
      <c r="Z38" s="137"/>
      <c r="AA38" s="137"/>
      <c r="AC38" s="128"/>
    </row>
    <row r="39" spans="1:29" x14ac:dyDescent="0.25">
      <c r="D39" s="156"/>
      <c r="E39" s="118"/>
      <c r="H39" s="118"/>
      <c r="J39" s="158"/>
      <c r="K39" s="159"/>
      <c r="M39" s="159"/>
      <c r="T39" s="127"/>
      <c r="U39" s="127"/>
      <c r="V39" s="127"/>
      <c r="W39" s="127"/>
      <c r="X39" s="127"/>
      <c r="Y39" s="127"/>
      <c r="AC39" s="138"/>
    </row>
    <row r="40" spans="1:29" x14ac:dyDescent="0.25">
      <c r="A40" s="151"/>
      <c r="B40" s="152"/>
      <c r="C40" s="130" t="s">
        <v>329</v>
      </c>
      <c r="D40" s="153">
        <f>D14+D38</f>
        <v>37240.018149711381</v>
      </c>
      <c r="E40" s="154"/>
      <c r="F40" s="153">
        <f>F14+F38</f>
        <v>120447.76687890937</v>
      </c>
      <c r="G40" s="154"/>
      <c r="H40" s="153">
        <f>H14+H38</f>
        <v>6944591.5143389441</v>
      </c>
      <c r="I40" s="153">
        <f>I14+I38</f>
        <v>4739540.0000000019</v>
      </c>
      <c r="J40" s="134">
        <f>J14+J38</f>
        <v>31280.964000000051</v>
      </c>
      <c r="K40" s="134">
        <f>K14+K38</f>
        <v>32004.260282381878</v>
      </c>
      <c r="L40" s="135"/>
      <c r="M40" s="135"/>
      <c r="N40" s="135"/>
      <c r="O40" s="135"/>
      <c r="P40" s="134">
        <f>P14+P38</f>
        <v>832852.90054731292</v>
      </c>
      <c r="Q40" s="134">
        <f>Q14+Q38</f>
        <v>864857.16082969494</v>
      </c>
      <c r="R40" s="134">
        <f>R14+R38</f>
        <v>32004.260282381856</v>
      </c>
      <c r="T40" s="160"/>
      <c r="U40" s="127"/>
      <c r="V40" s="127"/>
      <c r="W40" s="127"/>
      <c r="X40" s="127"/>
      <c r="Y40" s="127"/>
      <c r="AC40" s="128"/>
    </row>
    <row r="41" spans="1:29" x14ac:dyDescent="0.25">
      <c r="C41" s="161"/>
      <c r="D41" s="156"/>
      <c r="F41" s="162"/>
      <c r="H41" s="162"/>
      <c r="I41" s="162"/>
      <c r="J41" s="162"/>
      <c r="K41" s="162"/>
      <c r="P41" s="162"/>
      <c r="Q41" s="162"/>
      <c r="R41" s="162"/>
      <c r="T41" s="127"/>
      <c r="U41" s="127"/>
      <c r="V41" s="127"/>
      <c r="W41" s="127"/>
      <c r="X41" s="127"/>
      <c r="Y41" s="127"/>
      <c r="AC41" s="128"/>
    </row>
    <row r="42" spans="1:29" x14ac:dyDescent="0.25">
      <c r="C42" s="161"/>
      <c r="D42" s="156"/>
      <c r="F42" s="162"/>
      <c r="H42" s="162"/>
      <c r="I42" s="162"/>
      <c r="J42" s="162"/>
      <c r="K42" s="162"/>
      <c r="P42" s="162"/>
      <c r="Q42" s="162"/>
      <c r="R42" s="162"/>
      <c r="T42" s="127"/>
      <c r="U42" s="127"/>
      <c r="V42" s="127"/>
      <c r="W42" s="127"/>
      <c r="X42" s="127"/>
      <c r="Y42" s="127"/>
      <c r="AC42" s="128"/>
    </row>
    <row r="43" spans="1:29" x14ac:dyDescent="0.25">
      <c r="A43" s="163"/>
      <c r="B43" s="164"/>
      <c r="C43" s="165" t="s">
        <v>330</v>
      </c>
      <c r="D43" s="166"/>
      <c r="E43" s="163"/>
      <c r="F43" s="163"/>
      <c r="G43" s="163"/>
      <c r="H43" s="163"/>
      <c r="I43" s="167"/>
      <c r="J43" s="168"/>
      <c r="K43" s="163"/>
      <c r="L43" s="163"/>
      <c r="M43" s="163"/>
      <c r="N43" s="163"/>
      <c r="O43" s="163"/>
      <c r="P43" s="169"/>
      <c r="Q43" s="241" t="s">
        <v>398</v>
      </c>
      <c r="R43" s="267">
        <f>'[21]Sch 13 Garbage Disposal Fees'!$I$10</f>
        <v>333.29044169862237</v>
      </c>
      <c r="T43" s="170"/>
      <c r="U43" s="127"/>
      <c r="V43" s="138"/>
      <c r="W43" s="127"/>
      <c r="X43" s="127"/>
      <c r="Y43" s="127"/>
      <c r="Z43" s="138"/>
      <c r="AA43" s="138"/>
      <c r="AC43" s="128"/>
    </row>
    <row r="44" spans="1:29" x14ac:dyDescent="0.25">
      <c r="A44" s="274"/>
      <c r="B44" s="116">
        <v>28</v>
      </c>
      <c r="C44" s="117" t="s">
        <v>331</v>
      </c>
      <c r="D44" s="149">
        <v>0</v>
      </c>
      <c r="E44" s="119">
        <v>1</v>
      </c>
      <c r="F44" s="120">
        <v>12</v>
      </c>
      <c r="G44" s="120">
        <f>References!$C$29</f>
        <v>125</v>
      </c>
      <c r="H44" s="120">
        <f t="shared" ref="H44:H52" si="25">F44*G44</f>
        <v>1500</v>
      </c>
      <c r="I44" s="121">
        <f t="shared" ref="I44:I50" si="26">$D$63*H44</f>
        <v>1023.7189596135281</v>
      </c>
      <c r="J44" s="122">
        <f>I44*References!$D$60</f>
        <v>6.7565451334492943</v>
      </c>
      <c r="K44" s="122">
        <f>J44/References!$H$63</f>
        <v>6.9127738218224817</v>
      </c>
      <c r="L44" s="122">
        <f t="shared" ref="L44:L52" si="27">K44/F44</f>
        <v>0.57606448515187347</v>
      </c>
      <c r="M44" s="122">
        <f>'Proposed Rates'!C22</f>
        <v>15.67</v>
      </c>
      <c r="N44" s="122">
        <f t="shared" ref="N44:N52" si="28">L44+M44</f>
        <v>16.246064485151873</v>
      </c>
      <c r="O44" s="122">
        <f>'Proposed Rates'!E22</f>
        <v>16.25</v>
      </c>
      <c r="P44" s="171"/>
      <c r="Q44" s="265" t="s">
        <v>399</v>
      </c>
      <c r="R44" s="266">
        <f>References!C60</f>
        <v>13.200000000000017</v>
      </c>
      <c r="T44" s="115"/>
      <c r="U44" s="127"/>
      <c r="V44" s="127"/>
      <c r="W44" s="127"/>
      <c r="X44" s="127"/>
      <c r="Y44" s="127"/>
      <c r="AC44" s="128"/>
    </row>
    <row r="45" spans="1:29" x14ac:dyDescent="0.25">
      <c r="A45" s="274"/>
      <c r="B45" s="116">
        <v>28</v>
      </c>
      <c r="C45" s="117" t="s">
        <v>381</v>
      </c>
      <c r="D45" s="149">
        <v>0</v>
      </c>
      <c r="E45" s="119">
        <v>1</v>
      </c>
      <c r="F45" s="120">
        <v>12</v>
      </c>
      <c r="G45" s="120">
        <f>References!$C$29</f>
        <v>125</v>
      </c>
      <c r="H45" s="120">
        <f t="shared" ref="H45" si="29">F45*G45</f>
        <v>1500</v>
      </c>
      <c r="I45" s="121">
        <f t="shared" si="26"/>
        <v>1023.7189596135281</v>
      </c>
      <c r="J45" s="122">
        <f>I45*References!$D$60</f>
        <v>6.7565451334492943</v>
      </c>
      <c r="K45" s="122">
        <f>J45/References!$H$63</f>
        <v>6.9127738218224817</v>
      </c>
      <c r="L45" s="122">
        <f t="shared" ref="L45" si="30">K45/F45</f>
        <v>0.57606448515187347</v>
      </c>
      <c r="M45" s="122">
        <f>+'Proposed Rates'!C26</f>
        <v>17.62</v>
      </c>
      <c r="N45" s="122">
        <f t="shared" ref="N45" si="31">L45+M45</f>
        <v>18.196064485151876</v>
      </c>
      <c r="O45" s="122">
        <f>+'Proposed Rates'!E26</f>
        <v>18.2</v>
      </c>
      <c r="P45" s="171"/>
      <c r="Q45" s="264" t="s">
        <v>400</v>
      </c>
      <c r="R45" s="268">
        <f>R43*R44</f>
        <v>4399.4338304218209</v>
      </c>
      <c r="T45" s="115"/>
      <c r="U45" s="127"/>
      <c r="V45" s="127"/>
      <c r="W45" s="127"/>
      <c r="X45" s="127"/>
      <c r="Y45" s="127"/>
      <c r="AC45" s="128"/>
    </row>
    <row r="46" spans="1:29" x14ac:dyDescent="0.25">
      <c r="A46" s="274"/>
      <c r="B46" s="116">
        <v>28</v>
      </c>
      <c r="C46" s="117" t="s">
        <v>382</v>
      </c>
      <c r="D46" s="149">
        <v>0</v>
      </c>
      <c r="E46" s="119">
        <v>1</v>
      </c>
      <c r="F46" s="120">
        <v>12</v>
      </c>
      <c r="G46" s="120">
        <f>References!$C$29</f>
        <v>125</v>
      </c>
      <c r="H46" s="120">
        <f t="shared" ref="H46" si="32">F46*G46</f>
        <v>1500</v>
      </c>
      <c r="I46" s="121">
        <f t="shared" si="26"/>
        <v>1023.7189596135281</v>
      </c>
      <c r="J46" s="122">
        <f>I46*References!$D$60</f>
        <v>6.7565451334492943</v>
      </c>
      <c r="K46" s="122">
        <f>J46/References!$H$63</f>
        <v>6.9127738218224817</v>
      </c>
      <c r="L46" s="122">
        <f t="shared" ref="L46" si="33">K46/F46</f>
        <v>0.57606448515187347</v>
      </c>
      <c r="M46" s="122">
        <f>+'Proposed Rates'!C24</f>
        <v>15.67</v>
      </c>
      <c r="N46" s="122">
        <f t="shared" ref="N46" si="34">L46+M46</f>
        <v>16.246064485151873</v>
      </c>
      <c r="O46" s="122">
        <f>+'Proposed Rates'!E24</f>
        <v>16.25</v>
      </c>
      <c r="P46" s="171"/>
      <c r="Q46" s="174"/>
      <c r="R46" s="173"/>
      <c r="T46" s="115"/>
      <c r="U46" s="127"/>
      <c r="V46" s="127"/>
      <c r="W46" s="127"/>
      <c r="X46" s="127"/>
      <c r="Y46" s="127"/>
      <c r="AC46" s="128"/>
    </row>
    <row r="47" spans="1:29" x14ac:dyDescent="0.25">
      <c r="A47" s="274"/>
      <c r="B47" s="116">
        <v>32</v>
      </c>
      <c r="C47" s="117" t="s">
        <v>383</v>
      </c>
      <c r="D47" s="149">
        <v>0</v>
      </c>
      <c r="E47" s="119">
        <v>1</v>
      </c>
      <c r="F47" s="120">
        <v>12</v>
      </c>
      <c r="G47" s="120">
        <f>References!$C$29</f>
        <v>125</v>
      </c>
      <c r="H47" s="120">
        <f t="shared" ref="H47" si="35">F47*G47</f>
        <v>1500</v>
      </c>
      <c r="I47" s="121">
        <f t="shared" si="26"/>
        <v>1023.7189596135281</v>
      </c>
      <c r="J47" s="122">
        <f>I47*References!$D$60</f>
        <v>6.7565451334492943</v>
      </c>
      <c r="K47" s="122">
        <f>J47/References!$H$63</f>
        <v>6.9127738218224817</v>
      </c>
      <c r="L47" s="122">
        <f t="shared" ref="L47" si="36">K47/F47</f>
        <v>0.57606448515187347</v>
      </c>
      <c r="M47" s="122">
        <f>+'Proposed Rates'!C30</f>
        <v>19.13</v>
      </c>
      <c r="N47" s="122">
        <f t="shared" ref="N47" si="37">L47+M47</f>
        <v>19.706064485151874</v>
      </c>
      <c r="O47" s="122">
        <f>+'Proposed Rates'!E30</f>
        <v>19.709999999999997</v>
      </c>
      <c r="P47" s="171"/>
      <c r="Q47" s="174"/>
      <c r="R47" s="173"/>
      <c r="T47" s="115"/>
      <c r="U47" s="127"/>
      <c r="V47" s="127"/>
      <c r="W47" s="127"/>
      <c r="X47" s="127"/>
      <c r="Y47" s="127"/>
      <c r="AC47" s="128"/>
    </row>
    <row r="48" spans="1:29" x14ac:dyDescent="0.25">
      <c r="A48" s="274"/>
      <c r="B48" s="116">
        <v>35</v>
      </c>
      <c r="C48" s="148" t="s">
        <v>105</v>
      </c>
      <c r="D48" s="150">
        <v>0</v>
      </c>
      <c r="E48" s="119">
        <f>References!$C$11</f>
        <v>4</v>
      </c>
      <c r="F48" s="120">
        <v>12</v>
      </c>
      <c r="G48" s="120">
        <f>References!$C$31</f>
        <v>250</v>
      </c>
      <c r="H48" s="120">
        <f t="shared" si="25"/>
        <v>3000</v>
      </c>
      <c r="I48" s="121">
        <f t="shared" si="26"/>
        <v>2047.4379192270562</v>
      </c>
      <c r="J48" s="122">
        <f>I48*References!$D$60</f>
        <v>13.513090266898589</v>
      </c>
      <c r="K48" s="122">
        <f>J48/References!$H$63</f>
        <v>13.825547643644963</v>
      </c>
      <c r="L48" s="122">
        <f t="shared" si="27"/>
        <v>1.1521289703037469</v>
      </c>
      <c r="M48" s="122">
        <f>'Proposed Rates'!C43</f>
        <v>26.85</v>
      </c>
      <c r="N48" s="122">
        <f t="shared" si="28"/>
        <v>28.002128970303747</v>
      </c>
      <c r="O48" s="122">
        <f>'Proposed Rates'!E43</f>
        <v>28</v>
      </c>
      <c r="P48" s="171"/>
      <c r="Q48" s="173"/>
      <c r="R48" s="173"/>
      <c r="T48" s="127"/>
      <c r="U48" s="127"/>
      <c r="V48" s="127"/>
      <c r="W48" s="127"/>
      <c r="X48" s="127"/>
      <c r="Y48" s="127"/>
      <c r="AC48" s="128"/>
    </row>
    <row r="49" spans="1:29" x14ac:dyDescent="0.25">
      <c r="A49" s="274"/>
      <c r="B49" s="116">
        <v>36</v>
      </c>
      <c r="C49" s="148" t="s">
        <v>317</v>
      </c>
      <c r="D49" s="127">
        <v>0</v>
      </c>
      <c r="E49" s="119">
        <f>References!$C$7</f>
        <v>4.333333333333333</v>
      </c>
      <c r="F49" s="120">
        <v>12</v>
      </c>
      <c r="G49" s="120">
        <f>References!$C$28</f>
        <v>29</v>
      </c>
      <c r="H49" s="120">
        <f>F49*G49</f>
        <v>348</v>
      </c>
      <c r="I49" s="121">
        <f t="shared" si="26"/>
        <v>237.50279863033853</v>
      </c>
      <c r="J49" s="122">
        <f>I49*References!$D$60</f>
        <v>1.5675184709602363</v>
      </c>
      <c r="K49" s="122">
        <f>J49/References!$H$63</f>
        <v>1.6037635266628159</v>
      </c>
      <c r="L49" s="122">
        <f>K49/F49*E49</f>
        <v>0.57913682907268338</v>
      </c>
      <c r="M49" s="122">
        <f>'Proposed Rates'!C49</f>
        <v>15.59</v>
      </c>
      <c r="N49" s="122">
        <f>L49+M49</f>
        <v>16.169136829072684</v>
      </c>
      <c r="O49" s="122">
        <f>'Proposed Rates'!E49</f>
        <v>16.169999999999998</v>
      </c>
      <c r="P49" s="171"/>
      <c r="Q49" s="173"/>
      <c r="R49" s="173"/>
      <c r="T49" s="127"/>
      <c r="U49" s="127"/>
      <c r="V49" s="127"/>
      <c r="W49" s="127"/>
      <c r="X49" s="127"/>
      <c r="Y49" s="127"/>
      <c r="AC49" s="128"/>
    </row>
    <row r="50" spans="1:29" x14ac:dyDescent="0.25">
      <c r="A50" s="274"/>
      <c r="B50" s="116">
        <v>36</v>
      </c>
      <c r="C50" s="148" t="s">
        <v>384</v>
      </c>
      <c r="D50" s="127">
        <v>0</v>
      </c>
      <c r="E50" s="119">
        <f>References!$C$10</f>
        <v>1</v>
      </c>
      <c r="F50" s="120">
        <v>12</v>
      </c>
      <c r="G50" s="120">
        <f>References!$C$28</f>
        <v>29</v>
      </c>
      <c r="H50" s="120">
        <f>F50*G50</f>
        <v>348</v>
      </c>
      <c r="I50" s="121">
        <f t="shared" si="26"/>
        <v>237.50279863033853</v>
      </c>
      <c r="J50" s="122">
        <f>I50*References!$D$60</f>
        <v>1.5675184709602363</v>
      </c>
      <c r="K50" s="122">
        <f>J50/References!$H$63</f>
        <v>1.6037635266628159</v>
      </c>
      <c r="L50" s="122">
        <f>K50/F50*E50</f>
        <v>0.13364696055523465</v>
      </c>
      <c r="M50" s="122">
        <f>+'Proposed Rates'!C48</f>
        <v>6.47</v>
      </c>
      <c r="N50" s="122">
        <f>L50+M50</f>
        <v>6.6036469605552348</v>
      </c>
      <c r="O50" s="122">
        <f>+'Proposed Rates'!E48</f>
        <v>6.6</v>
      </c>
      <c r="P50" s="171"/>
      <c r="Q50" s="173"/>
      <c r="R50" s="173"/>
      <c r="T50" s="127"/>
      <c r="U50" s="127"/>
      <c r="V50" s="127"/>
      <c r="W50" s="127"/>
      <c r="X50" s="127"/>
      <c r="Y50" s="127"/>
      <c r="AC50" s="128"/>
    </row>
    <row r="51" spans="1:29" x14ac:dyDescent="0.25">
      <c r="A51" s="274"/>
      <c r="B51" s="116">
        <v>38</v>
      </c>
      <c r="C51" s="148" t="s">
        <v>332</v>
      </c>
      <c r="D51" s="150">
        <v>0</v>
      </c>
      <c r="E51" s="119">
        <f>References!$C$10</f>
        <v>1</v>
      </c>
      <c r="F51" s="120">
        <v>12</v>
      </c>
      <c r="G51" s="120">
        <f>References!$C$42</f>
        <v>972</v>
      </c>
      <c r="H51" s="120">
        <f t="shared" si="25"/>
        <v>11664</v>
      </c>
      <c r="I51" s="121">
        <f t="shared" ref="I51" si="38">$D$63*H51</f>
        <v>7960.438629954795</v>
      </c>
      <c r="J51" s="122">
        <f>I51*References!$D$60</f>
        <v>52.538894957701714</v>
      </c>
      <c r="K51" s="122">
        <f>J51/References!$H$63</f>
        <v>53.753729238491623</v>
      </c>
      <c r="L51" s="122">
        <f t="shared" si="27"/>
        <v>4.4794774365409689</v>
      </c>
      <c r="M51" s="122">
        <f>'Proposed Rates'!C53</f>
        <v>90.21</v>
      </c>
      <c r="N51" s="122">
        <f t="shared" si="28"/>
        <v>94.689477436540969</v>
      </c>
      <c r="O51" s="122">
        <f>'Proposed Rates'!E53</f>
        <v>94.69</v>
      </c>
      <c r="P51" s="171"/>
      <c r="Q51" s="174"/>
      <c r="R51" s="175"/>
      <c r="T51" s="115"/>
      <c r="U51" s="127"/>
      <c r="V51" s="127"/>
      <c r="W51" s="127"/>
      <c r="X51" s="127"/>
      <c r="Y51" s="127"/>
      <c r="AC51" s="128"/>
    </row>
    <row r="52" spans="1:29" x14ac:dyDescent="0.25">
      <c r="A52" s="274"/>
      <c r="B52" s="116">
        <v>38</v>
      </c>
      <c r="C52" s="148" t="s">
        <v>334</v>
      </c>
      <c r="D52" s="150">
        <v>0</v>
      </c>
      <c r="E52" s="119">
        <f>References!$C$10</f>
        <v>1</v>
      </c>
      <c r="F52" s="120">
        <v>12</v>
      </c>
      <c r="G52" s="120">
        <f>References!$C$51</f>
        <v>1620</v>
      </c>
      <c r="H52" s="120">
        <f t="shared" si="25"/>
        <v>19440</v>
      </c>
      <c r="I52" s="121">
        <f>$D$63*H52</f>
        <v>13267.397716591326</v>
      </c>
      <c r="J52" s="122">
        <f>I52*References!$D$60</f>
        <v>87.564824929502862</v>
      </c>
      <c r="K52" s="122">
        <f>J52/References!$H$63</f>
        <v>89.589548730819374</v>
      </c>
      <c r="L52" s="122">
        <f t="shared" si="27"/>
        <v>7.4657957275682811</v>
      </c>
      <c r="M52" s="122">
        <f>'Proposed Rates'!C56</f>
        <v>139.13</v>
      </c>
      <c r="N52" s="122">
        <f t="shared" si="28"/>
        <v>146.59579572756829</v>
      </c>
      <c r="O52" s="122">
        <f>'Proposed Rates'!E56</f>
        <v>146.6</v>
      </c>
      <c r="P52" s="171"/>
      <c r="Q52" s="122"/>
      <c r="R52" s="173"/>
      <c r="T52" s="127"/>
      <c r="U52" s="127"/>
      <c r="V52" s="127"/>
      <c r="W52" s="127"/>
      <c r="X52" s="127"/>
      <c r="Y52" s="127"/>
      <c r="AC52" s="128"/>
    </row>
    <row r="53" spans="1:29" x14ac:dyDescent="0.25">
      <c r="A53" s="176"/>
      <c r="B53" s="116"/>
      <c r="C53" s="148"/>
      <c r="D53" s="150"/>
      <c r="E53" s="119"/>
      <c r="F53" s="120"/>
      <c r="G53" s="120"/>
      <c r="H53" s="120"/>
      <c r="I53" s="121"/>
      <c r="J53" s="122"/>
      <c r="K53" s="122"/>
      <c r="L53" s="122"/>
      <c r="M53" s="122"/>
      <c r="N53" s="122"/>
      <c r="O53" s="122"/>
      <c r="P53" s="171"/>
      <c r="Q53" s="173"/>
      <c r="R53" s="173"/>
      <c r="T53" s="115"/>
      <c r="U53" s="127"/>
      <c r="V53" s="127"/>
      <c r="W53" s="127"/>
      <c r="X53" s="127"/>
      <c r="Y53" s="127"/>
      <c r="AC53" s="128"/>
    </row>
    <row r="54" spans="1:29" x14ac:dyDescent="0.25">
      <c r="A54" s="176"/>
      <c r="B54" s="116"/>
      <c r="C54" s="117"/>
      <c r="D54" s="149"/>
      <c r="E54" s="119"/>
      <c r="F54" s="120"/>
      <c r="G54" s="120"/>
      <c r="H54" s="120"/>
      <c r="I54" s="121"/>
      <c r="J54" s="122"/>
      <c r="K54" s="122"/>
      <c r="L54" s="122"/>
      <c r="M54" s="122"/>
      <c r="N54" s="122"/>
      <c r="O54" s="122"/>
      <c r="P54" s="171"/>
      <c r="Q54" s="252"/>
      <c r="R54" s="173"/>
      <c r="T54" s="127"/>
      <c r="U54" s="127"/>
      <c r="V54" s="127"/>
      <c r="W54" s="127"/>
      <c r="X54" s="127"/>
      <c r="Y54" s="127"/>
      <c r="AC54" s="128"/>
    </row>
    <row r="55" spans="1:29" x14ac:dyDescent="0.25">
      <c r="A55" s="176"/>
      <c r="C55" s="177"/>
      <c r="D55" s="178"/>
      <c r="E55" s="141"/>
      <c r="F55" s="157"/>
      <c r="G55" s="120"/>
      <c r="H55" s="157"/>
      <c r="J55" s="122"/>
      <c r="K55" s="123"/>
      <c r="L55" s="123"/>
      <c r="M55" s="123"/>
      <c r="N55" s="123"/>
      <c r="O55" s="122"/>
      <c r="P55" s="179"/>
      <c r="T55" s="127"/>
      <c r="U55" s="127"/>
      <c r="V55" s="127"/>
      <c r="W55" s="127"/>
      <c r="X55" s="127"/>
      <c r="Y55" s="127"/>
      <c r="AC55" s="128"/>
    </row>
    <row r="56" spans="1:29" x14ac:dyDescent="0.25">
      <c r="A56" s="176"/>
      <c r="C56" s="180"/>
      <c r="P56" s="179"/>
      <c r="T56" s="127"/>
      <c r="U56" s="127"/>
      <c r="V56" s="127"/>
      <c r="W56" s="127"/>
      <c r="X56" s="127"/>
      <c r="Y56" s="127"/>
      <c r="AC56" s="128"/>
    </row>
    <row r="57" spans="1:29" x14ac:dyDescent="0.25">
      <c r="A57" s="176"/>
      <c r="C57" s="180"/>
      <c r="P57" s="261" t="s">
        <v>397</v>
      </c>
      <c r="T57" s="127"/>
      <c r="U57" s="127"/>
      <c r="V57" s="127"/>
      <c r="W57" s="127"/>
      <c r="X57" s="127"/>
      <c r="Y57" s="127"/>
      <c r="AC57" s="128"/>
    </row>
    <row r="58" spans="1:29" x14ac:dyDescent="0.25">
      <c r="A58" s="176"/>
      <c r="C58" s="276" t="s">
        <v>335</v>
      </c>
      <c r="D58" s="276"/>
      <c r="E58" s="181"/>
      <c r="F58" s="181"/>
      <c r="H58" s="182"/>
      <c r="I58" s="120"/>
      <c r="J58" s="112"/>
      <c r="O58" s="249" t="s">
        <v>394</v>
      </c>
      <c r="P58" s="250">
        <f>'[22]Vashon Price Out'!$AF$37</f>
        <v>2307.1639196198721</v>
      </c>
      <c r="T58" s="127"/>
      <c r="U58" s="127"/>
      <c r="V58" s="127"/>
      <c r="W58" s="127"/>
      <c r="X58" s="127"/>
      <c r="Y58" s="127"/>
      <c r="AC58" s="128"/>
    </row>
    <row r="59" spans="1:29" x14ac:dyDescent="0.25">
      <c r="A59" s="176"/>
      <c r="D59" s="183" t="s">
        <v>1</v>
      </c>
      <c r="E59" s="184"/>
      <c r="F59" s="184"/>
      <c r="H59" s="182"/>
      <c r="I59" s="120"/>
      <c r="J59" s="143"/>
      <c r="O59" s="249" t="s">
        <v>395</v>
      </c>
      <c r="P59" s="251">
        <f>'[22]Vashon Price Out'!$AF$95</f>
        <v>230.31998552325217</v>
      </c>
      <c r="T59" s="127"/>
      <c r="U59" s="127"/>
      <c r="V59" s="127"/>
      <c r="W59" s="127"/>
      <c r="X59" s="127"/>
      <c r="Y59" s="127"/>
      <c r="AC59" s="128"/>
    </row>
    <row r="60" spans="1:29" x14ac:dyDescent="0.25">
      <c r="A60" s="176"/>
      <c r="C60" s="114" t="s">
        <v>336</v>
      </c>
      <c r="D60" s="185">
        <f>+'DF Calculation from TG-180955'!D56</f>
        <v>2369.77</v>
      </c>
      <c r="E60" s="157"/>
      <c r="F60" s="157"/>
      <c r="G60" s="186"/>
      <c r="H60" s="187"/>
      <c r="I60" s="120"/>
      <c r="J60" s="143"/>
      <c r="O60" s="249" t="s">
        <v>396</v>
      </c>
      <c r="P60" s="251">
        <f>SUM('[22]Vashon Price Out'!$AF$113:$AF$118)</f>
        <v>7.5940262759564163</v>
      </c>
      <c r="T60" s="127"/>
      <c r="U60" s="127"/>
      <c r="V60" s="127"/>
      <c r="W60" s="127"/>
      <c r="X60" s="127"/>
      <c r="Y60" s="127"/>
      <c r="AC60" s="128"/>
    </row>
    <row r="61" spans="1:29" x14ac:dyDescent="0.25">
      <c r="A61" s="176"/>
      <c r="C61" s="114" t="s">
        <v>337</v>
      </c>
      <c r="D61" s="188">
        <f>D60*References!H18</f>
        <v>4739540</v>
      </c>
      <c r="E61" s="188"/>
      <c r="F61" s="188"/>
      <c r="G61" s="188"/>
      <c r="H61" s="189"/>
      <c r="I61" s="120"/>
      <c r="J61" s="143"/>
      <c r="T61" s="127"/>
      <c r="U61" s="127"/>
      <c r="V61" s="127"/>
      <c r="W61" s="127"/>
      <c r="X61" s="127"/>
      <c r="Y61" s="127"/>
      <c r="AC61" s="128"/>
    </row>
    <row r="62" spans="1:29" x14ac:dyDescent="0.25">
      <c r="C62" s="114" t="s">
        <v>338</v>
      </c>
      <c r="D62" s="188">
        <f>F40</f>
        <v>120447.76687890937</v>
      </c>
      <c r="E62" s="157"/>
      <c r="F62" s="157"/>
      <c r="G62" s="157"/>
      <c r="H62" s="190"/>
      <c r="I62" s="120"/>
      <c r="J62" s="143"/>
      <c r="P62" s="179"/>
      <c r="T62" s="127"/>
      <c r="U62" s="127"/>
      <c r="V62" s="127"/>
      <c r="W62" s="127"/>
      <c r="X62" s="127"/>
      <c r="Y62" s="127"/>
      <c r="AC62" s="128"/>
    </row>
    <row r="63" spans="1:29" x14ac:dyDescent="0.25">
      <c r="C63" s="191" t="s">
        <v>339</v>
      </c>
      <c r="D63" s="192">
        <f>D61/$H$40</f>
        <v>0.68247930640901877</v>
      </c>
      <c r="E63" s="192"/>
      <c r="F63" s="192"/>
      <c r="G63" s="192"/>
      <c r="H63" s="193"/>
      <c r="I63" s="120"/>
      <c r="J63" s="143"/>
      <c r="M63" s="194"/>
      <c r="N63" s="194"/>
      <c r="O63" s="194"/>
      <c r="P63" s="195"/>
      <c r="T63" s="127"/>
      <c r="U63" s="127"/>
      <c r="V63" s="127"/>
      <c r="W63" s="127"/>
      <c r="X63" s="127"/>
      <c r="Y63" s="127"/>
      <c r="AC63" s="128"/>
    </row>
    <row r="64" spans="1:29" x14ac:dyDescent="0.25">
      <c r="G64" s="196"/>
      <c r="H64" s="141"/>
      <c r="I64" s="120"/>
      <c r="J64" s="143"/>
      <c r="M64" s="159"/>
      <c r="N64" s="197"/>
      <c r="O64" s="197"/>
      <c r="P64" s="198"/>
      <c r="T64" s="127"/>
      <c r="U64" s="127"/>
      <c r="V64" s="127"/>
      <c r="W64" s="127"/>
      <c r="X64" s="127"/>
      <c r="Y64" s="127"/>
      <c r="AC64" s="128"/>
    </row>
    <row r="65" spans="4:29" x14ac:dyDescent="0.25">
      <c r="D65" s="199"/>
      <c r="E65" s="200"/>
      <c r="G65" s="196"/>
      <c r="H65" s="141"/>
      <c r="I65" s="120"/>
      <c r="J65" s="143"/>
      <c r="M65" s="159"/>
      <c r="N65" s="197"/>
      <c r="O65" s="197"/>
      <c r="P65" s="198"/>
      <c r="T65" s="127"/>
      <c r="U65" s="127"/>
      <c r="V65" s="127"/>
      <c r="W65" s="127"/>
      <c r="X65" s="127"/>
      <c r="Y65" s="127"/>
      <c r="AC65" s="128"/>
    </row>
    <row r="66" spans="4:29" x14ac:dyDescent="0.25">
      <c r="D66" s="199"/>
      <c r="E66" s="200"/>
      <c r="G66" s="196"/>
      <c r="H66" s="201"/>
      <c r="J66" s="202"/>
      <c r="M66" s="159"/>
      <c r="N66" s="197"/>
      <c r="O66" s="197"/>
      <c r="P66" s="198"/>
      <c r="T66" s="127"/>
      <c r="U66" s="127"/>
      <c r="V66" s="127"/>
      <c r="W66" s="127"/>
      <c r="X66" s="127"/>
      <c r="Y66" s="127"/>
    </row>
    <row r="67" spans="4:29" x14ac:dyDescent="0.25">
      <c r="D67" s="114"/>
      <c r="I67" s="114"/>
      <c r="T67" s="127"/>
      <c r="U67" s="127"/>
      <c r="V67" s="127"/>
      <c r="W67" s="127"/>
      <c r="X67" s="127"/>
      <c r="Y67" s="127"/>
    </row>
    <row r="68" spans="4:29" x14ac:dyDescent="0.25">
      <c r="D68" s="114"/>
      <c r="E68" s="202"/>
      <c r="I68" s="114"/>
      <c r="T68" s="127"/>
      <c r="U68" s="127"/>
      <c r="V68" s="127"/>
      <c r="W68" s="127"/>
      <c r="X68" s="127"/>
      <c r="Y68" s="127"/>
    </row>
    <row r="69" spans="4:29" x14ac:dyDescent="0.25">
      <c r="D69" s="114"/>
      <c r="I69" s="114"/>
      <c r="T69" s="127"/>
      <c r="U69" s="127"/>
      <c r="V69" s="127"/>
      <c r="W69" s="127"/>
      <c r="X69" s="127"/>
      <c r="Y69" s="127"/>
    </row>
    <row r="70" spans="4:29" x14ac:dyDescent="0.25">
      <c r="D70" s="114"/>
      <c r="I70" s="114"/>
      <c r="T70" s="127"/>
      <c r="U70" s="127"/>
      <c r="V70" s="127"/>
      <c r="W70" s="127"/>
      <c r="X70" s="127"/>
      <c r="Y70" s="127"/>
    </row>
    <row r="71" spans="4:29" x14ac:dyDescent="0.25">
      <c r="D71" s="114"/>
    </row>
  </sheetData>
  <mergeCells count="4">
    <mergeCell ref="A15:A37"/>
    <mergeCell ref="A44:A52"/>
    <mergeCell ref="C58:D58"/>
    <mergeCell ref="A2:A13"/>
  </mergeCells>
  <pageMargins left="0.45" right="0.45" top="0.75" bottom="0.75" header="0.3" footer="0.3"/>
  <pageSetup scale="55" fitToHeight="2" pageOrder="overThenDown" orientation="landscape" r:id="rId1"/>
  <headerFooter>
    <oddHeader>&amp;C&amp;"-,Bold"&amp;12Vashon Disposal&amp;"-,Regular"
&amp;"-,Bold"Dump Fee Calculation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view="pageBreakPreview" zoomScale="80" zoomScaleNormal="85" zoomScaleSheetLayoutView="80" workbookViewId="0">
      <selection activeCell="I36" sqref="I36"/>
    </sheetView>
  </sheetViews>
  <sheetFormatPr defaultRowHeight="15" x14ac:dyDescent="0.25"/>
  <cols>
    <col min="1" max="1" width="28.28515625" style="207" customWidth="1"/>
    <col min="2" max="2" width="8.140625" style="207" bestFit="1" customWidth="1"/>
    <col min="3" max="3" width="10.140625" style="221" customWidth="1"/>
    <col min="4" max="4" width="12" style="207" customWidth="1"/>
    <col min="5" max="5" width="11.28515625" style="207" customWidth="1"/>
    <col min="6" max="6" width="18" style="207" customWidth="1"/>
    <col min="7" max="7" width="9.140625" style="207"/>
    <col min="8" max="8" width="9.140625" style="222"/>
    <col min="9" max="16384" width="9.140625" style="207"/>
  </cols>
  <sheetData>
    <row r="1" spans="1:9" x14ac:dyDescent="0.25">
      <c r="A1" s="203" t="s">
        <v>340</v>
      </c>
      <c r="B1" s="203"/>
      <c r="C1" s="204"/>
      <c r="D1" s="205"/>
      <c r="E1" s="205"/>
      <c r="F1" s="205"/>
      <c r="G1" s="205"/>
      <c r="H1" s="206"/>
      <c r="I1" s="205"/>
    </row>
    <row r="2" spans="1:9" x14ac:dyDescent="0.25">
      <c r="A2" s="203" t="s">
        <v>341</v>
      </c>
      <c r="B2" s="203"/>
      <c r="C2" s="204"/>
      <c r="D2" s="205"/>
      <c r="E2" s="205"/>
      <c r="F2" s="205"/>
      <c r="G2" s="205"/>
      <c r="H2" s="206"/>
      <c r="I2" s="205"/>
    </row>
    <row r="3" spans="1:9" x14ac:dyDescent="0.25">
      <c r="A3" s="208" t="s">
        <v>393</v>
      </c>
      <c r="B3" s="205"/>
      <c r="C3" s="209"/>
      <c r="D3" s="205"/>
      <c r="E3" s="205"/>
      <c r="F3" s="205"/>
      <c r="G3" s="210"/>
      <c r="H3" s="206"/>
      <c r="I3" s="205"/>
    </row>
    <row r="4" spans="1:9" ht="45" x14ac:dyDescent="0.25">
      <c r="A4" s="205"/>
      <c r="B4" s="205"/>
      <c r="C4" s="211" t="s">
        <v>342</v>
      </c>
      <c r="D4" s="212" t="s">
        <v>343</v>
      </c>
      <c r="E4" s="212" t="s">
        <v>392</v>
      </c>
      <c r="F4" s="210"/>
      <c r="G4" s="210"/>
      <c r="H4" s="206"/>
      <c r="I4" s="205"/>
    </row>
    <row r="5" spans="1:9" x14ac:dyDescent="0.25">
      <c r="A5" s="208" t="s">
        <v>344</v>
      </c>
      <c r="B5" s="208"/>
      <c r="C5" s="209"/>
      <c r="D5" s="205"/>
      <c r="E5" s="205"/>
      <c r="F5" s="205"/>
      <c r="G5" s="205"/>
      <c r="H5" s="206"/>
      <c r="I5" s="205"/>
    </row>
    <row r="6" spans="1:9" x14ac:dyDescent="0.25">
      <c r="A6" s="205" t="s">
        <v>345</v>
      </c>
      <c r="B6" s="205" t="s">
        <v>346</v>
      </c>
      <c r="C6" s="209">
        <v>2.78</v>
      </c>
      <c r="D6" s="213">
        <f>ROUND(+'DF Calculation'!L12,2)</f>
        <v>0.16</v>
      </c>
      <c r="E6" s="213">
        <f>SUM(C6:D6)</f>
        <v>2.94</v>
      </c>
      <c r="F6" s="214"/>
      <c r="G6" s="214"/>
      <c r="H6" s="215"/>
      <c r="I6" s="205"/>
    </row>
    <row r="7" spans="1:9" x14ac:dyDescent="0.25">
      <c r="A7" s="205"/>
      <c r="B7" s="205"/>
      <c r="C7" s="209"/>
      <c r="D7" s="218"/>
      <c r="E7" s="218"/>
      <c r="F7" s="205"/>
      <c r="G7" s="205"/>
      <c r="H7" s="206"/>
      <c r="I7" s="205"/>
    </row>
    <row r="8" spans="1:9" x14ac:dyDescent="0.25">
      <c r="A8" s="208" t="s">
        <v>347</v>
      </c>
      <c r="B8" s="208"/>
      <c r="C8" s="209"/>
      <c r="D8" s="218"/>
      <c r="E8" s="218"/>
      <c r="F8" s="205"/>
      <c r="G8" s="205"/>
      <c r="H8" s="206"/>
      <c r="I8" s="205"/>
    </row>
    <row r="9" spans="1:9" x14ac:dyDescent="0.25">
      <c r="A9" s="205" t="s">
        <v>348</v>
      </c>
      <c r="B9" s="205" t="s">
        <v>349</v>
      </c>
      <c r="C9" s="209">
        <v>6.03</v>
      </c>
      <c r="D9" s="213">
        <f>ROUND('DF Calculation'!L5,2)</f>
        <v>0.16</v>
      </c>
      <c r="E9" s="213">
        <f>SUM(C9:D9)</f>
        <v>6.19</v>
      </c>
      <c r="F9" s="205"/>
      <c r="G9" s="205"/>
      <c r="H9" s="215"/>
      <c r="I9" s="205"/>
    </row>
    <row r="10" spans="1:9" x14ac:dyDescent="0.25">
      <c r="A10" s="205" t="s">
        <v>348</v>
      </c>
      <c r="B10" s="205" t="s">
        <v>350</v>
      </c>
      <c r="C10" s="209">
        <v>14.92</v>
      </c>
      <c r="D10" s="213">
        <f>ROUND('DF Calculation'!L6,2)</f>
        <v>0.34</v>
      </c>
      <c r="E10" s="213">
        <f t="shared" ref="E10:E15" si="0">SUM(C10:D10)</f>
        <v>15.26</v>
      </c>
      <c r="F10" s="205"/>
      <c r="G10" s="205"/>
      <c r="H10" s="215"/>
      <c r="I10" s="205"/>
    </row>
    <row r="11" spans="1:9" x14ac:dyDescent="0.25">
      <c r="A11" s="205" t="s">
        <v>351</v>
      </c>
      <c r="B11" s="205" t="s">
        <v>346</v>
      </c>
      <c r="C11" s="209">
        <v>13.4</v>
      </c>
      <c r="D11" s="213">
        <f>ROUND('DF Calculation'!L4,2)</f>
        <v>0.4</v>
      </c>
      <c r="E11" s="213">
        <f t="shared" si="0"/>
        <v>13.8</v>
      </c>
      <c r="F11" s="205"/>
      <c r="G11" s="214"/>
      <c r="H11" s="215"/>
      <c r="I11" s="205"/>
    </row>
    <row r="12" spans="1:9" x14ac:dyDescent="0.25">
      <c r="A12" s="205" t="s">
        <v>348</v>
      </c>
      <c r="B12" s="205" t="s">
        <v>346</v>
      </c>
      <c r="C12" s="209">
        <v>18.97</v>
      </c>
      <c r="D12" s="213">
        <f>ROUND('DF Calculation'!L7,2)</f>
        <v>0.68</v>
      </c>
      <c r="E12" s="213">
        <f t="shared" si="0"/>
        <v>19.649999999999999</v>
      </c>
      <c r="F12" s="205"/>
      <c r="G12" s="214"/>
      <c r="H12" s="215"/>
      <c r="I12" s="205"/>
    </row>
    <row r="13" spans="1:9" x14ac:dyDescent="0.25">
      <c r="A13" s="205" t="s">
        <v>352</v>
      </c>
      <c r="B13" s="205" t="s">
        <v>346</v>
      </c>
      <c r="C13" s="209">
        <v>26.55</v>
      </c>
      <c r="D13" s="213">
        <f>ROUND('DF Calculation'!L8,2)</f>
        <v>1.02</v>
      </c>
      <c r="E13" s="213">
        <f t="shared" si="0"/>
        <v>27.57</v>
      </c>
      <c r="F13" s="205"/>
      <c r="G13" s="214"/>
      <c r="H13" s="215"/>
      <c r="I13" s="205"/>
    </row>
    <row r="14" spans="1:9" x14ac:dyDescent="0.25">
      <c r="A14" s="205" t="s">
        <v>353</v>
      </c>
      <c r="B14" s="205" t="s">
        <v>346</v>
      </c>
      <c r="C14" s="209">
        <v>35.86</v>
      </c>
      <c r="D14" s="213">
        <f>ROUND('DF Calculation'!L9,2)</f>
        <v>1.54</v>
      </c>
      <c r="E14" s="213">
        <f t="shared" si="0"/>
        <v>37.4</v>
      </c>
      <c r="F14" s="205"/>
      <c r="G14" s="214"/>
      <c r="H14" s="215"/>
      <c r="I14" s="205"/>
    </row>
    <row r="15" spans="1:9" x14ac:dyDescent="0.25">
      <c r="A15" s="205" t="s">
        <v>354</v>
      </c>
      <c r="B15" s="205" t="s">
        <v>346</v>
      </c>
      <c r="C15" s="209">
        <v>44.89</v>
      </c>
      <c r="D15" s="213">
        <f>ROUND('DF Calculation'!L10,2)</f>
        <v>1.94</v>
      </c>
      <c r="E15" s="213">
        <f t="shared" si="0"/>
        <v>46.83</v>
      </c>
      <c r="F15" s="205"/>
      <c r="G15" s="214"/>
      <c r="H15" s="215"/>
      <c r="I15" s="205"/>
    </row>
    <row r="16" spans="1:9" x14ac:dyDescent="0.25">
      <c r="A16" s="205"/>
      <c r="B16" s="205"/>
      <c r="C16" s="209"/>
      <c r="D16" s="218"/>
      <c r="E16" s="218"/>
      <c r="F16" s="205"/>
      <c r="G16" s="214"/>
      <c r="H16" s="206"/>
      <c r="I16" s="205"/>
    </row>
    <row r="17" spans="1:9" x14ac:dyDescent="0.25">
      <c r="A17" s="208" t="s">
        <v>355</v>
      </c>
      <c r="B17" s="205"/>
      <c r="C17" s="209"/>
      <c r="D17" s="218"/>
      <c r="E17" s="218"/>
      <c r="F17" s="205"/>
      <c r="G17" s="214"/>
      <c r="H17" s="206"/>
      <c r="I17" s="205"/>
    </row>
    <row r="18" spans="1:9" x14ac:dyDescent="0.25">
      <c r="A18" s="205" t="s">
        <v>236</v>
      </c>
      <c r="B18" s="205" t="s">
        <v>356</v>
      </c>
      <c r="C18" s="209">
        <v>4.1100000000000003</v>
      </c>
      <c r="D18" s="213">
        <f>ROUND('DF Calculation'!L3,2)</f>
        <v>0.16</v>
      </c>
      <c r="E18" s="213">
        <f t="shared" ref="E18:E19" si="1">SUM(C18:D18)</f>
        <v>4.2700000000000005</v>
      </c>
      <c r="F18" s="205"/>
      <c r="G18" s="214"/>
      <c r="H18" s="215"/>
      <c r="I18" s="205"/>
    </row>
    <row r="19" spans="1:9" x14ac:dyDescent="0.25">
      <c r="A19" s="205" t="s">
        <v>357</v>
      </c>
      <c r="B19" s="205" t="s">
        <v>356</v>
      </c>
      <c r="C19" s="209">
        <v>6.13</v>
      </c>
      <c r="D19" s="213">
        <f>ROUND('DF Calculation'!L11,2)</f>
        <v>0.16</v>
      </c>
      <c r="E19" s="213">
        <f t="shared" si="1"/>
        <v>6.29</v>
      </c>
      <c r="F19" s="205" t="s">
        <v>358</v>
      </c>
      <c r="G19" s="214"/>
      <c r="H19" s="215"/>
      <c r="I19" s="205"/>
    </row>
    <row r="20" spans="1:9" x14ac:dyDescent="0.25">
      <c r="A20" s="205"/>
      <c r="B20" s="205"/>
      <c r="C20" s="209"/>
      <c r="D20" s="218"/>
      <c r="E20" s="218"/>
      <c r="F20" s="205"/>
      <c r="G20" s="214"/>
      <c r="H20" s="206"/>
      <c r="I20" s="205"/>
    </row>
    <row r="21" spans="1:9" x14ac:dyDescent="0.25">
      <c r="A21" s="208" t="s">
        <v>359</v>
      </c>
      <c r="B21" s="205"/>
      <c r="C21" s="209"/>
      <c r="D21" s="218"/>
      <c r="E21" s="218"/>
      <c r="F21" s="205"/>
      <c r="G21" s="214"/>
      <c r="H21" s="206"/>
      <c r="I21" s="205"/>
    </row>
    <row r="22" spans="1:9" x14ac:dyDescent="0.25">
      <c r="A22" s="205" t="s">
        <v>331</v>
      </c>
      <c r="B22" s="205" t="s">
        <v>356</v>
      </c>
      <c r="C22" s="209">
        <v>15.67</v>
      </c>
      <c r="D22" s="213">
        <f>ROUND('DF Calculation'!$L$44,2)</f>
        <v>0.57999999999999996</v>
      </c>
      <c r="E22" s="213">
        <f t="shared" ref="E22:E27" si="2">SUM(C22:D22)</f>
        <v>16.25</v>
      </c>
      <c r="F22" s="205" t="s">
        <v>358</v>
      </c>
      <c r="G22" s="214"/>
      <c r="H22" s="215"/>
      <c r="I22" s="205"/>
    </row>
    <row r="23" spans="1:9" x14ac:dyDescent="0.25">
      <c r="A23" s="205" t="s">
        <v>360</v>
      </c>
      <c r="B23" s="205" t="s">
        <v>356</v>
      </c>
      <c r="C23" s="209">
        <v>15.67</v>
      </c>
      <c r="D23" s="213">
        <f>ROUND('DF Calculation'!$L$17,2)</f>
        <v>0.57999999999999996</v>
      </c>
      <c r="E23" s="213">
        <f t="shared" si="2"/>
        <v>16.25</v>
      </c>
      <c r="F23" s="205" t="s">
        <v>358</v>
      </c>
      <c r="G23" s="214"/>
      <c r="H23" s="215"/>
      <c r="I23" s="205"/>
    </row>
    <row r="24" spans="1:9" x14ac:dyDescent="0.25">
      <c r="A24" s="205" t="s">
        <v>361</v>
      </c>
      <c r="B24" s="205" t="s">
        <v>356</v>
      </c>
      <c r="C24" s="209">
        <v>15.67</v>
      </c>
      <c r="D24" s="213">
        <f>ROUND('DF Calculation'!$L$46,2)</f>
        <v>0.57999999999999996</v>
      </c>
      <c r="E24" s="213">
        <f t="shared" si="2"/>
        <v>16.25</v>
      </c>
      <c r="F24" s="205" t="s">
        <v>358</v>
      </c>
      <c r="G24" s="214"/>
      <c r="H24" s="215"/>
      <c r="I24" s="205"/>
    </row>
    <row r="25" spans="1:9" x14ac:dyDescent="0.25">
      <c r="A25" s="205" t="s">
        <v>361</v>
      </c>
      <c r="B25" s="205" t="s">
        <v>356</v>
      </c>
      <c r="C25" s="209">
        <v>15.67</v>
      </c>
      <c r="D25" s="213">
        <f>ROUND('DF Calculation'!$L$46,2)</f>
        <v>0.57999999999999996</v>
      </c>
      <c r="E25" s="213">
        <f t="shared" si="2"/>
        <v>16.25</v>
      </c>
      <c r="F25" s="205" t="s">
        <v>358</v>
      </c>
      <c r="G25" s="214"/>
      <c r="H25" s="215"/>
      <c r="I25" s="205"/>
    </row>
    <row r="26" spans="1:9" x14ac:dyDescent="0.25">
      <c r="A26" s="205" t="s">
        <v>362</v>
      </c>
      <c r="B26" s="205" t="s">
        <v>356</v>
      </c>
      <c r="C26" s="209">
        <v>17.62</v>
      </c>
      <c r="D26" s="213">
        <f>ROUND('DF Calculation'!$L$45,2)</f>
        <v>0.57999999999999996</v>
      </c>
      <c r="E26" s="213">
        <f t="shared" si="2"/>
        <v>18.2</v>
      </c>
      <c r="F26" s="205"/>
      <c r="G26" s="214"/>
      <c r="H26" s="215"/>
      <c r="I26" s="205"/>
    </row>
    <row r="27" spans="1:9" x14ac:dyDescent="0.25">
      <c r="A27" s="205" t="s">
        <v>362</v>
      </c>
      <c r="B27" s="205" t="s">
        <v>356</v>
      </c>
      <c r="C27" s="209">
        <v>17.62</v>
      </c>
      <c r="D27" s="213">
        <f>ROUND('DF Calculation'!$L$45,2)</f>
        <v>0.57999999999999996</v>
      </c>
      <c r="E27" s="213">
        <f t="shared" si="2"/>
        <v>18.2</v>
      </c>
      <c r="F27" s="205" t="s">
        <v>358</v>
      </c>
      <c r="G27" s="214"/>
      <c r="H27" s="215"/>
      <c r="I27" s="205"/>
    </row>
    <row r="28" spans="1:9" x14ac:dyDescent="0.25">
      <c r="A28" s="205"/>
      <c r="B28" s="205"/>
      <c r="C28" s="209"/>
      <c r="D28" s="218"/>
      <c r="E28" s="218"/>
      <c r="F28" s="205"/>
      <c r="G28" s="214"/>
      <c r="H28" s="206"/>
      <c r="I28" s="205"/>
    </row>
    <row r="29" spans="1:9" x14ac:dyDescent="0.25">
      <c r="A29" s="208" t="s">
        <v>363</v>
      </c>
      <c r="B29" s="205"/>
      <c r="C29" s="209"/>
      <c r="D29" s="218"/>
      <c r="E29" s="218"/>
      <c r="F29" s="205"/>
      <c r="G29" s="214"/>
      <c r="H29" s="206"/>
      <c r="I29" s="205"/>
    </row>
    <row r="30" spans="1:9" x14ac:dyDescent="0.25">
      <c r="A30" s="205" t="s">
        <v>364</v>
      </c>
      <c r="B30" s="205" t="s">
        <v>356</v>
      </c>
      <c r="C30" s="209">
        <v>19.13</v>
      </c>
      <c r="D30" s="213">
        <f>ROUND('DF Calculation'!L47,2)</f>
        <v>0.57999999999999996</v>
      </c>
      <c r="E30" s="213">
        <f t="shared" ref="E30" si="3">SUM(C30:D30)</f>
        <v>19.709999999999997</v>
      </c>
      <c r="F30" s="205" t="s">
        <v>358</v>
      </c>
      <c r="G30" s="214"/>
      <c r="H30" s="215"/>
      <c r="I30" s="205"/>
    </row>
    <row r="31" spans="1:9" x14ac:dyDescent="0.25">
      <c r="A31" s="205"/>
      <c r="B31" s="205"/>
      <c r="C31" s="209"/>
      <c r="D31" s="218"/>
      <c r="E31" s="218"/>
      <c r="F31" s="205"/>
      <c r="G31" s="214"/>
      <c r="H31" s="206"/>
      <c r="I31" s="205"/>
    </row>
    <row r="32" spans="1:9" x14ac:dyDescent="0.25">
      <c r="A32" s="208" t="s">
        <v>365</v>
      </c>
      <c r="B32" s="205"/>
      <c r="C32" s="209"/>
      <c r="D32" s="218"/>
      <c r="E32" s="218"/>
      <c r="F32" s="205"/>
      <c r="G32" s="214"/>
      <c r="H32" s="206"/>
      <c r="I32" s="205"/>
    </row>
    <row r="33" spans="1:9" x14ac:dyDescent="0.25">
      <c r="A33" s="205" t="s">
        <v>10</v>
      </c>
      <c r="B33" s="205" t="s">
        <v>366</v>
      </c>
      <c r="C33" s="209">
        <v>140.82</v>
      </c>
      <c r="D33" s="269">
        <f>References!C60</f>
        <v>13.200000000000017</v>
      </c>
      <c r="E33" s="213">
        <f t="shared" ref="E33" si="4">SUM(C33:D33)</f>
        <v>154.02000000000001</v>
      </c>
      <c r="F33" s="205"/>
      <c r="G33" s="214"/>
      <c r="H33" s="215"/>
      <c r="I33" s="205"/>
    </row>
    <row r="34" spans="1:9" x14ac:dyDescent="0.25">
      <c r="A34" s="205"/>
      <c r="B34" s="205"/>
      <c r="C34" s="209"/>
      <c r="D34" s="218"/>
      <c r="E34" s="218"/>
      <c r="F34" s="205"/>
      <c r="G34" s="214"/>
      <c r="H34" s="206"/>
      <c r="I34" s="205"/>
    </row>
    <row r="35" spans="1:9" x14ac:dyDescent="0.25">
      <c r="A35" s="208" t="s">
        <v>367</v>
      </c>
      <c r="B35" s="205"/>
      <c r="C35" s="209"/>
      <c r="D35" s="218"/>
      <c r="E35" s="218"/>
      <c r="F35" s="205"/>
      <c r="G35" s="214"/>
      <c r="H35" s="206"/>
      <c r="I35" s="205"/>
    </row>
    <row r="36" spans="1:9" x14ac:dyDescent="0.25">
      <c r="A36" s="205" t="s">
        <v>368</v>
      </c>
      <c r="B36" s="205"/>
      <c r="C36" s="209"/>
      <c r="D36" s="218"/>
      <c r="E36" s="218"/>
      <c r="F36" s="205"/>
      <c r="G36" s="214"/>
      <c r="H36" s="206"/>
      <c r="I36" s="205"/>
    </row>
    <row r="37" spans="1:9" x14ac:dyDescent="0.25">
      <c r="A37" s="205" t="s">
        <v>369</v>
      </c>
      <c r="B37" s="205" t="s">
        <v>356</v>
      </c>
      <c r="C37" s="209">
        <v>19.489999999999998</v>
      </c>
      <c r="D37" s="213">
        <f>ROUND('DF Calculation'!L32,2)</f>
        <v>0.81</v>
      </c>
      <c r="E37" s="213">
        <f t="shared" ref="E37:E39" si="5">SUM(C37:D37)</f>
        <v>20.299999999999997</v>
      </c>
      <c r="F37" s="205"/>
      <c r="G37" s="214"/>
      <c r="H37" s="215"/>
      <c r="I37" s="205"/>
    </row>
    <row r="38" spans="1:9" x14ac:dyDescent="0.25">
      <c r="A38" s="205" t="s">
        <v>370</v>
      </c>
      <c r="B38" s="205" t="s">
        <v>356</v>
      </c>
      <c r="C38" s="209">
        <v>24.74</v>
      </c>
      <c r="D38" s="213">
        <f>ROUND('DF Calculation'!L33,2)</f>
        <v>1.1499999999999999</v>
      </c>
      <c r="E38" s="213">
        <f t="shared" si="5"/>
        <v>25.889999999999997</v>
      </c>
      <c r="F38" s="205"/>
      <c r="G38" s="214"/>
      <c r="H38" s="215"/>
      <c r="I38" s="205"/>
    </row>
    <row r="39" spans="1:9" x14ac:dyDescent="0.25">
      <c r="A39" s="205" t="s">
        <v>371</v>
      </c>
      <c r="B39" s="205" t="s">
        <v>356</v>
      </c>
      <c r="C39" s="209">
        <v>34.35</v>
      </c>
      <c r="D39" s="213">
        <f>ROUND('DF Calculation'!L34,2)</f>
        <v>1.49</v>
      </c>
      <c r="E39" s="213">
        <f t="shared" si="5"/>
        <v>35.840000000000003</v>
      </c>
      <c r="F39" s="214"/>
      <c r="G39" s="214"/>
      <c r="H39" s="215"/>
      <c r="I39" s="205"/>
    </row>
    <row r="40" spans="1:9" x14ac:dyDescent="0.25">
      <c r="A40" s="205"/>
      <c r="B40" s="205"/>
      <c r="C40" s="209"/>
      <c r="D40" s="218"/>
      <c r="E40" s="218"/>
      <c r="F40" s="205"/>
      <c r="G40" s="214"/>
      <c r="H40" s="206"/>
      <c r="I40" s="205"/>
    </row>
    <row r="41" spans="1:9" x14ac:dyDescent="0.25">
      <c r="A41" s="205" t="s">
        <v>373</v>
      </c>
      <c r="B41" s="205"/>
      <c r="C41" s="209"/>
      <c r="D41" s="218"/>
      <c r="E41" s="218"/>
      <c r="F41" s="205"/>
      <c r="G41" s="214"/>
      <c r="H41" s="206"/>
      <c r="I41" s="205"/>
    </row>
    <row r="42" spans="1:9" x14ac:dyDescent="0.25">
      <c r="A42" s="205" t="s">
        <v>369</v>
      </c>
      <c r="B42" s="205" t="s">
        <v>356</v>
      </c>
      <c r="C42" s="209">
        <v>21.61</v>
      </c>
      <c r="D42" s="213">
        <f>ROUND('DF Calculation'!L30,2)</f>
        <v>0.81</v>
      </c>
      <c r="E42" s="213">
        <f t="shared" ref="E42:E44" si="6">SUM(C42:D42)</f>
        <v>22.419999999999998</v>
      </c>
      <c r="F42" s="205"/>
      <c r="G42" s="214"/>
      <c r="H42" s="215"/>
      <c r="I42" s="205"/>
    </row>
    <row r="43" spans="1:9" x14ac:dyDescent="0.25">
      <c r="A43" s="205" t="s">
        <v>370</v>
      </c>
      <c r="B43" s="205" t="s">
        <v>356</v>
      </c>
      <c r="C43" s="209">
        <v>26.85</v>
      </c>
      <c r="D43" s="213">
        <f>ROUND('DF Calculation'!L48,2)</f>
        <v>1.1499999999999999</v>
      </c>
      <c r="E43" s="213">
        <f t="shared" si="6"/>
        <v>28</v>
      </c>
      <c r="F43" s="205" t="s">
        <v>358</v>
      </c>
      <c r="G43" s="214"/>
      <c r="H43" s="215"/>
      <c r="I43" s="205"/>
    </row>
    <row r="44" spans="1:9" x14ac:dyDescent="0.25">
      <c r="A44" s="205" t="s">
        <v>371</v>
      </c>
      <c r="B44" s="205" t="s">
        <v>356</v>
      </c>
      <c r="C44" s="209">
        <v>36.46</v>
      </c>
      <c r="D44" s="213">
        <f>ROUND('DF Calculation'!L31,2)</f>
        <v>1.49</v>
      </c>
      <c r="E44" s="213">
        <f t="shared" si="6"/>
        <v>37.950000000000003</v>
      </c>
      <c r="F44" s="205"/>
      <c r="G44" s="214"/>
      <c r="H44" s="215"/>
      <c r="I44" s="205"/>
    </row>
    <row r="45" spans="1:9" x14ac:dyDescent="0.25">
      <c r="A45" s="205"/>
      <c r="B45" s="205"/>
      <c r="C45" s="209"/>
      <c r="D45" s="218"/>
      <c r="E45" s="218"/>
      <c r="F45" s="205"/>
      <c r="G45" s="214"/>
      <c r="H45" s="206"/>
      <c r="I45" s="205"/>
    </row>
    <row r="46" spans="1:9" x14ac:dyDescent="0.25">
      <c r="A46" s="208" t="s">
        <v>374</v>
      </c>
      <c r="B46" s="205"/>
      <c r="C46" s="209"/>
      <c r="D46" s="218"/>
      <c r="E46" s="218"/>
      <c r="F46" s="205"/>
      <c r="G46" s="214"/>
      <c r="H46" s="206"/>
      <c r="I46" s="205"/>
    </row>
    <row r="47" spans="1:9" x14ac:dyDescent="0.25">
      <c r="A47" s="205" t="s">
        <v>375</v>
      </c>
      <c r="B47" s="205" t="s">
        <v>356</v>
      </c>
      <c r="C47" s="209">
        <v>3.6</v>
      </c>
      <c r="D47" s="213">
        <f>ROUND('DF Calculation'!L19,2)</f>
        <v>0.13</v>
      </c>
      <c r="E47" s="213">
        <f t="shared" ref="E47:E50" si="7">SUM(C47:D47)</f>
        <v>3.73</v>
      </c>
      <c r="F47" s="205"/>
      <c r="G47" s="214"/>
      <c r="H47" s="215"/>
      <c r="I47" s="205"/>
    </row>
    <row r="48" spans="1:9" x14ac:dyDescent="0.25">
      <c r="A48" s="205" t="s">
        <v>376</v>
      </c>
      <c r="B48" s="205" t="s">
        <v>356</v>
      </c>
      <c r="C48" s="209">
        <v>6.47</v>
      </c>
      <c r="D48" s="213">
        <f>ROUND('DF Calculation'!L50,2)</f>
        <v>0.13</v>
      </c>
      <c r="E48" s="213">
        <f t="shared" si="7"/>
        <v>6.6</v>
      </c>
      <c r="F48" s="205" t="s">
        <v>358</v>
      </c>
      <c r="G48" s="214"/>
      <c r="H48" s="215"/>
      <c r="I48" s="205"/>
    </row>
    <row r="49" spans="1:9" x14ac:dyDescent="0.25">
      <c r="A49" s="205" t="s">
        <v>377</v>
      </c>
      <c r="B49" s="205" t="s">
        <v>372</v>
      </c>
      <c r="C49" s="209">
        <v>15.59</v>
      </c>
      <c r="D49" s="213">
        <f>ROUND('DF Calculation'!L49,2)</f>
        <v>0.57999999999999996</v>
      </c>
      <c r="E49" s="213">
        <f t="shared" si="7"/>
        <v>16.169999999999998</v>
      </c>
      <c r="F49" s="205" t="s">
        <v>358</v>
      </c>
      <c r="G49" s="214"/>
      <c r="H49" s="215"/>
      <c r="I49" s="205"/>
    </row>
    <row r="50" spans="1:9" x14ac:dyDescent="0.25">
      <c r="A50" s="205" t="s">
        <v>378</v>
      </c>
      <c r="B50" s="205" t="s">
        <v>356</v>
      </c>
      <c r="C50" s="209">
        <v>4.08</v>
      </c>
      <c r="D50" s="213">
        <f>ROUND('DF Calculation'!L16,2)</f>
        <v>0.13</v>
      </c>
      <c r="E50" s="213">
        <f t="shared" si="7"/>
        <v>4.21</v>
      </c>
      <c r="F50" s="205"/>
      <c r="G50" s="214"/>
      <c r="H50" s="215"/>
      <c r="I50" s="205"/>
    </row>
    <row r="51" spans="1:9" x14ac:dyDescent="0.25">
      <c r="A51" s="205"/>
      <c r="B51" s="205"/>
      <c r="C51" s="209"/>
      <c r="D51" s="213"/>
      <c r="E51" s="213"/>
      <c r="F51" s="205"/>
      <c r="G51" s="214"/>
      <c r="H51" s="206"/>
      <c r="I51" s="205"/>
    </row>
    <row r="52" spans="1:9" x14ac:dyDescent="0.25">
      <c r="A52" s="208" t="s">
        <v>379</v>
      </c>
      <c r="B52" s="205"/>
      <c r="C52" s="209"/>
      <c r="D52" s="218"/>
      <c r="E52" s="218"/>
      <c r="F52" s="205"/>
      <c r="G52" s="214"/>
      <c r="H52" s="206"/>
      <c r="I52" s="205"/>
    </row>
    <row r="53" spans="1:9" x14ac:dyDescent="0.25">
      <c r="A53" s="205" t="s">
        <v>371</v>
      </c>
      <c r="B53" s="210">
        <v>3</v>
      </c>
      <c r="C53" s="209">
        <v>90.21</v>
      </c>
      <c r="D53" s="213">
        <f>ROUND('DF Calculation'!L51,2)</f>
        <v>4.4800000000000004</v>
      </c>
      <c r="E53" s="213">
        <f t="shared" ref="E53:E56" si="8">SUM(C53:D53)</f>
        <v>94.69</v>
      </c>
      <c r="F53" s="205" t="s">
        <v>358</v>
      </c>
      <c r="G53" s="214"/>
      <c r="H53" s="215"/>
      <c r="I53" s="205"/>
    </row>
    <row r="54" spans="1:9" x14ac:dyDescent="0.25">
      <c r="A54" s="205"/>
      <c r="B54" s="210"/>
      <c r="C54" s="209"/>
      <c r="D54" s="213"/>
      <c r="E54" s="213"/>
      <c r="F54" s="205"/>
      <c r="G54" s="214"/>
      <c r="H54" s="217"/>
      <c r="I54" s="205"/>
    </row>
    <row r="55" spans="1:9" x14ac:dyDescent="0.25">
      <c r="A55" s="208" t="s">
        <v>380</v>
      </c>
      <c r="B55" s="210"/>
      <c r="C55" s="209"/>
      <c r="D55" s="213"/>
      <c r="E55" s="213"/>
      <c r="F55" s="218"/>
      <c r="G55" s="214"/>
      <c r="H55" s="217"/>
      <c r="I55" s="205"/>
    </row>
    <row r="56" spans="1:9" x14ac:dyDescent="0.25">
      <c r="A56" s="205" t="s">
        <v>371</v>
      </c>
      <c r="B56" s="210">
        <v>5</v>
      </c>
      <c r="C56" s="209">
        <v>139.13</v>
      </c>
      <c r="D56" s="213">
        <f>ROUND('DF Calculation'!L52,2)</f>
        <v>7.47</v>
      </c>
      <c r="E56" s="213">
        <f t="shared" si="8"/>
        <v>146.6</v>
      </c>
      <c r="F56" s="205" t="s">
        <v>358</v>
      </c>
      <c r="G56" s="214"/>
      <c r="H56" s="215"/>
      <c r="I56" s="205"/>
    </row>
    <row r="57" spans="1:9" x14ac:dyDescent="0.25">
      <c r="A57" s="205"/>
      <c r="B57" s="205"/>
      <c r="C57" s="216"/>
      <c r="D57" s="218"/>
      <c r="E57" s="219"/>
      <c r="F57" s="218"/>
      <c r="G57" s="214"/>
      <c r="H57" s="206"/>
      <c r="I57" s="205"/>
    </row>
    <row r="58" spans="1:9" x14ac:dyDescent="0.25">
      <c r="A58" s="205"/>
      <c r="B58" s="205"/>
      <c r="C58" s="209"/>
      <c r="D58" s="205"/>
      <c r="E58" s="219"/>
      <c r="F58" s="218"/>
      <c r="G58" s="214"/>
      <c r="H58" s="206"/>
      <c r="I58" s="205"/>
    </row>
    <row r="59" spans="1:9" x14ac:dyDescent="0.25">
      <c r="A59" s="205"/>
      <c r="B59" s="210"/>
      <c r="C59" s="209"/>
      <c r="D59" s="213"/>
      <c r="E59" s="220"/>
      <c r="F59" s="218"/>
      <c r="G59" s="214"/>
      <c r="H59" s="217"/>
      <c r="I59" s="205"/>
    </row>
    <row r="60" spans="1:9" x14ac:dyDescent="0.25">
      <c r="A60" s="205"/>
      <c r="B60" s="210"/>
      <c r="C60" s="209"/>
      <c r="D60" s="213"/>
      <c r="E60" s="220"/>
      <c r="F60" s="218"/>
      <c r="G60" s="214"/>
      <c r="H60" s="217"/>
      <c r="I60" s="205"/>
    </row>
    <row r="61" spans="1:9" x14ac:dyDescent="0.25">
      <c r="A61" s="205"/>
      <c r="B61" s="210"/>
      <c r="C61" s="209"/>
      <c r="D61" s="213"/>
      <c r="E61" s="220"/>
      <c r="F61" s="218"/>
      <c r="G61" s="214"/>
      <c r="H61" s="217"/>
      <c r="I61" s="205"/>
    </row>
    <row r="62" spans="1:9" x14ac:dyDescent="0.25">
      <c r="A62" s="205"/>
      <c r="B62" s="210"/>
      <c r="C62" s="209"/>
      <c r="D62" s="213"/>
      <c r="E62" s="214"/>
      <c r="F62" s="218"/>
      <c r="G62" s="214"/>
      <c r="H62" s="217"/>
      <c r="I62" s="205"/>
    </row>
    <row r="63" spans="1:9" x14ac:dyDescent="0.25">
      <c r="A63" s="208"/>
      <c r="B63" s="210"/>
      <c r="C63" s="209"/>
      <c r="D63" s="214"/>
      <c r="E63" s="218"/>
      <c r="F63" s="218"/>
      <c r="G63" s="214"/>
      <c r="H63" s="217"/>
      <c r="I63" s="205"/>
    </row>
    <row r="64" spans="1:9" x14ac:dyDescent="0.25">
      <c r="A64" s="205"/>
      <c r="B64" s="210"/>
      <c r="C64" s="209"/>
      <c r="D64" s="214"/>
      <c r="E64" s="214"/>
      <c r="F64" s="218"/>
      <c r="G64" s="214"/>
      <c r="H64" s="217"/>
      <c r="I64" s="205"/>
    </row>
    <row r="65" spans="1:9" x14ac:dyDescent="0.25">
      <c r="A65" s="205"/>
      <c r="B65" s="210"/>
      <c r="C65" s="209"/>
      <c r="D65" s="214"/>
      <c r="E65" s="214"/>
      <c r="F65" s="218"/>
      <c r="G65" s="214"/>
      <c r="H65" s="217"/>
      <c r="I65" s="205"/>
    </row>
    <row r="66" spans="1:9" x14ac:dyDescent="0.25">
      <c r="A66" s="205"/>
      <c r="B66" s="210"/>
      <c r="C66" s="209"/>
      <c r="D66" s="214"/>
      <c r="E66" s="214"/>
      <c r="F66" s="218"/>
      <c r="G66" s="214"/>
      <c r="H66" s="217"/>
      <c r="I66" s="205"/>
    </row>
    <row r="67" spans="1:9" x14ac:dyDescent="0.25">
      <c r="A67" s="205"/>
      <c r="B67" s="210"/>
      <c r="C67" s="209"/>
      <c r="D67" s="214"/>
      <c r="E67" s="214"/>
      <c r="F67" s="218"/>
      <c r="G67" s="214"/>
      <c r="H67" s="217"/>
      <c r="I67" s="205"/>
    </row>
    <row r="68" spans="1:9" x14ac:dyDescent="0.25">
      <c r="A68" s="205"/>
      <c r="B68" s="205"/>
      <c r="C68" s="216"/>
      <c r="D68" s="205"/>
      <c r="E68" s="218"/>
      <c r="F68" s="218"/>
      <c r="G68" s="214"/>
      <c r="H68" s="206"/>
      <c r="I68" s="205"/>
    </row>
    <row r="69" spans="1:9" x14ac:dyDescent="0.25">
      <c r="A69" s="208"/>
      <c r="B69" s="205"/>
      <c r="C69" s="209"/>
      <c r="D69" s="205"/>
      <c r="E69" s="218"/>
      <c r="F69" s="218"/>
      <c r="G69" s="214"/>
      <c r="H69" s="206"/>
      <c r="I69" s="205"/>
    </row>
    <row r="70" spans="1:9" x14ac:dyDescent="0.25">
      <c r="A70" s="205"/>
      <c r="B70" s="210"/>
      <c r="C70" s="209"/>
      <c r="D70" s="214"/>
      <c r="E70" s="214"/>
      <c r="F70" s="218"/>
      <c r="G70" s="214"/>
      <c r="H70" s="217"/>
      <c r="I70" s="205"/>
    </row>
    <row r="71" spans="1:9" x14ac:dyDescent="0.25">
      <c r="A71" s="205"/>
      <c r="B71" s="210"/>
      <c r="C71" s="209"/>
      <c r="D71" s="214"/>
      <c r="E71" s="214"/>
      <c r="F71" s="213"/>
      <c r="G71" s="214"/>
      <c r="H71" s="217"/>
      <c r="I71" s="205"/>
    </row>
    <row r="72" spans="1:9" x14ac:dyDescent="0.25">
      <c r="A72" s="205"/>
      <c r="B72" s="210"/>
      <c r="C72" s="209"/>
      <c r="D72" s="213"/>
      <c r="E72" s="214"/>
      <c r="F72" s="218"/>
      <c r="G72" s="214"/>
      <c r="H72" s="217"/>
      <c r="I72" s="205"/>
    </row>
    <row r="73" spans="1:9" x14ac:dyDescent="0.25">
      <c r="A73" s="205"/>
      <c r="B73" s="210"/>
      <c r="C73" s="209"/>
      <c r="D73" s="214"/>
      <c r="E73" s="218"/>
      <c r="F73" s="218"/>
      <c r="G73" s="214"/>
      <c r="H73" s="217"/>
      <c r="I73" s="205"/>
    </row>
    <row r="74" spans="1:9" x14ac:dyDescent="0.25">
      <c r="A74" s="205"/>
      <c r="B74" s="210"/>
      <c r="C74" s="209"/>
      <c r="D74" s="214"/>
      <c r="E74" s="214"/>
      <c r="F74" s="218"/>
      <c r="G74" s="214"/>
      <c r="H74" s="217"/>
      <c r="I74" s="205"/>
    </row>
    <row r="75" spans="1:9" x14ac:dyDescent="0.25">
      <c r="A75" s="205"/>
      <c r="B75" s="210"/>
      <c r="C75" s="209"/>
      <c r="D75" s="214"/>
      <c r="E75" s="214"/>
      <c r="F75" s="218"/>
      <c r="G75" s="214"/>
      <c r="H75" s="217"/>
      <c r="I75" s="205"/>
    </row>
    <row r="76" spans="1:9" x14ac:dyDescent="0.25">
      <c r="A76" s="205"/>
      <c r="B76" s="210"/>
      <c r="C76" s="209"/>
      <c r="D76" s="213"/>
      <c r="E76" s="214"/>
      <c r="F76" s="218"/>
      <c r="G76" s="214"/>
      <c r="H76" s="217"/>
      <c r="I76" s="205"/>
    </row>
    <row r="77" spans="1:9" x14ac:dyDescent="0.25">
      <c r="A77" s="205"/>
      <c r="B77" s="205"/>
      <c r="C77" s="216"/>
      <c r="D77" s="205"/>
      <c r="E77" s="218"/>
      <c r="F77" s="218"/>
      <c r="G77" s="214"/>
      <c r="H77" s="206"/>
      <c r="I77" s="205"/>
    </row>
    <row r="78" spans="1:9" x14ac:dyDescent="0.25">
      <c r="A78" s="208"/>
      <c r="B78" s="205"/>
      <c r="C78" s="209"/>
      <c r="D78" s="205"/>
      <c r="E78" s="218"/>
      <c r="F78" s="218"/>
      <c r="G78" s="214"/>
      <c r="H78" s="206"/>
      <c r="I78" s="205"/>
    </row>
    <row r="79" spans="1:9" x14ac:dyDescent="0.25">
      <c r="A79" s="205"/>
      <c r="B79" s="210"/>
      <c r="C79" s="209"/>
      <c r="D79" s="214"/>
      <c r="E79" s="214"/>
      <c r="F79" s="218"/>
      <c r="G79" s="214"/>
      <c r="H79" s="217"/>
      <c r="I79" s="205"/>
    </row>
    <row r="80" spans="1:9" x14ac:dyDescent="0.25">
      <c r="A80" s="205"/>
      <c r="B80" s="210"/>
      <c r="C80" s="209"/>
      <c r="D80" s="213"/>
      <c r="E80" s="214"/>
      <c r="F80" s="218"/>
      <c r="G80" s="214"/>
      <c r="H80" s="217"/>
      <c r="I80" s="205"/>
    </row>
    <row r="81" spans="1:9" x14ac:dyDescent="0.25">
      <c r="A81" s="205"/>
      <c r="B81" s="210"/>
      <c r="C81" s="209"/>
      <c r="D81" s="214"/>
      <c r="E81" s="218"/>
      <c r="F81" s="218"/>
      <c r="G81" s="214"/>
      <c r="H81" s="217"/>
      <c r="I81" s="205"/>
    </row>
    <row r="82" spans="1:9" x14ac:dyDescent="0.25">
      <c r="A82" s="205"/>
      <c r="B82" s="210"/>
      <c r="C82" s="209"/>
      <c r="D82" s="214"/>
      <c r="E82" s="214"/>
      <c r="F82" s="218"/>
      <c r="G82" s="214"/>
      <c r="H82" s="217"/>
      <c r="I82" s="205"/>
    </row>
    <row r="83" spans="1:9" x14ac:dyDescent="0.25">
      <c r="A83" s="205"/>
      <c r="B83" s="210"/>
      <c r="C83" s="209"/>
      <c r="D83" s="214"/>
      <c r="E83" s="214"/>
      <c r="F83" s="218"/>
      <c r="G83" s="214"/>
      <c r="H83" s="217"/>
      <c r="I83" s="205"/>
    </row>
    <row r="84" spans="1:9" x14ac:dyDescent="0.25">
      <c r="A84" s="205"/>
      <c r="B84" s="205"/>
      <c r="C84" s="216"/>
      <c r="D84" s="205"/>
      <c r="E84" s="218"/>
      <c r="F84" s="218"/>
      <c r="G84" s="214"/>
      <c r="H84" s="206"/>
      <c r="I84" s="205"/>
    </row>
    <row r="85" spans="1:9" x14ac:dyDescent="0.25">
      <c r="A85" s="208"/>
      <c r="B85" s="205"/>
      <c r="C85" s="209"/>
      <c r="D85" s="205"/>
      <c r="E85" s="218"/>
      <c r="F85" s="218"/>
      <c r="G85" s="214"/>
      <c r="H85" s="206"/>
      <c r="I85" s="205"/>
    </row>
    <row r="86" spans="1:9" x14ac:dyDescent="0.25">
      <c r="A86" s="205"/>
      <c r="B86" s="210"/>
      <c r="C86" s="209"/>
      <c r="D86" s="214"/>
      <c r="E86" s="214"/>
      <c r="F86" s="218"/>
      <c r="G86" s="214"/>
      <c r="H86" s="220"/>
      <c r="I86" s="214"/>
    </row>
    <row r="87" spans="1:9" x14ac:dyDescent="0.25">
      <c r="A87" s="205"/>
      <c r="B87" s="210"/>
      <c r="C87" s="209"/>
      <c r="D87" s="214"/>
      <c r="E87" s="214"/>
      <c r="F87" s="218"/>
      <c r="G87" s="214"/>
      <c r="H87" s="220"/>
      <c r="I87" s="214"/>
    </row>
    <row r="88" spans="1:9" x14ac:dyDescent="0.25">
      <c r="A88" s="205"/>
      <c r="B88" s="210"/>
      <c r="C88" s="209"/>
      <c r="D88" s="214"/>
      <c r="E88" s="214"/>
      <c r="F88" s="218"/>
      <c r="G88" s="214"/>
      <c r="H88" s="220"/>
      <c r="I88" s="214"/>
    </row>
    <row r="89" spans="1:9" x14ac:dyDescent="0.25">
      <c r="A89" s="205"/>
      <c r="B89" s="210"/>
      <c r="C89" s="209"/>
      <c r="D89" s="214"/>
      <c r="E89" s="218"/>
      <c r="F89" s="218"/>
      <c r="G89" s="214"/>
      <c r="H89" s="206"/>
      <c r="I89" s="205"/>
    </row>
    <row r="90" spans="1:9" x14ac:dyDescent="0.25">
      <c r="A90" s="205"/>
      <c r="B90" s="210"/>
      <c r="C90" s="209"/>
      <c r="D90" s="214"/>
      <c r="E90" s="214"/>
      <c r="F90" s="218"/>
      <c r="G90" s="214"/>
      <c r="H90" s="220"/>
      <c r="I90" s="214"/>
    </row>
    <row r="91" spans="1:9" x14ac:dyDescent="0.25">
      <c r="A91" s="205"/>
      <c r="B91" s="210"/>
      <c r="C91" s="209"/>
      <c r="D91" s="214"/>
      <c r="E91" s="214"/>
      <c r="F91" s="218"/>
      <c r="G91" s="214"/>
      <c r="H91" s="220"/>
      <c r="I91" s="214"/>
    </row>
    <row r="92" spans="1:9" x14ac:dyDescent="0.25">
      <c r="A92" s="205"/>
      <c r="B92" s="210"/>
      <c r="C92" s="209"/>
      <c r="D92" s="214"/>
      <c r="E92" s="214"/>
      <c r="F92" s="218"/>
      <c r="G92" s="214"/>
      <c r="H92" s="220"/>
      <c r="I92" s="214"/>
    </row>
    <row r="93" spans="1:9" x14ac:dyDescent="0.25">
      <c r="A93" s="205"/>
      <c r="B93" s="205"/>
      <c r="C93" s="216"/>
      <c r="D93" s="205"/>
      <c r="E93" s="218"/>
      <c r="F93" s="218"/>
      <c r="G93" s="214"/>
      <c r="H93" s="206"/>
      <c r="I93" s="205"/>
    </row>
    <row r="94" spans="1:9" x14ac:dyDescent="0.25">
      <c r="A94" s="208"/>
      <c r="B94" s="205"/>
      <c r="C94" s="209"/>
      <c r="D94" s="205"/>
      <c r="E94" s="218"/>
      <c r="F94" s="218"/>
      <c r="G94" s="214"/>
      <c r="H94" s="206"/>
      <c r="I94" s="205"/>
    </row>
    <row r="95" spans="1:9" x14ac:dyDescent="0.25">
      <c r="A95" s="205"/>
      <c r="B95" s="210"/>
      <c r="C95" s="209"/>
      <c r="D95" s="214"/>
      <c r="E95" s="214"/>
      <c r="F95" s="218"/>
      <c r="G95" s="214"/>
      <c r="H95" s="220"/>
      <c r="I95" s="214"/>
    </row>
    <row r="96" spans="1:9" x14ac:dyDescent="0.25">
      <c r="A96" s="205"/>
      <c r="B96" s="210"/>
      <c r="C96" s="209"/>
      <c r="D96" s="214"/>
      <c r="E96" s="214"/>
      <c r="F96" s="218"/>
      <c r="G96" s="214"/>
      <c r="H96" s="220"/>
      <c r="I96" s="214"/>
    </row>
    <row r="97" spans="1:9" x14ac:dyDescent="0.25">
      <c r="A97" s="205"/>
      <c r="B97" s="210"/>
      <c r="C97" s="209"/>
      <c r="D97" s="214"/>
      <c r="E97" s="214"/>
      <c r="F97" s="218"/>
      <c r="G97" s="214"/>
      <c r="H97" s="220"/>
      <c r="I97" s="214"/>
    </row>
    <row r="98" spans="1:9" x14ac:dyDescent="0.25">
      <c r="A98" s="205"/>
      <c r="B98" s="210"/>
      <c r="C98" s="209"/>
      <c r="D98" s="214"/>
      <c r="E98" s="214"/>
      <c r="F98" s="218"/>
      <c r="G98" s="214"/>
      <c r="H98" s="220"/>
      <c r="I98" s="214"/>
    </row>
    <row r="99" spans="1:9" x14ac:dyDescent="0.25">
      <c r="A99" s="208"/>
      <c r="B99" s="210"/>
      <c r="C99" s="209"/>
      <c r="D99" s="214"/>
      <c r="E99" s="218"/>
      <c r="F99" s="218"/>
      <c r="G99" s="214"/>
      <c r="H99" s="206"/>
      <c r="I99" s="205"/>
    </row>
    <row r="100" spans="1:9" x14ac:dyDescent="0.25">
      <c r="A100" s="205"/>
      <c r="B100" s="210"/>
      <c r="C100" s="209"/>
      <c r="D100" s="214"/>
      <c r="E100" s="214"/>
      <c r="F100" s="218"/>
      <c r="G100" s="214"/>
      <c r="H100" s="206"/>
      <c r="I100" s="205"/>
    </row>
    <row r="101" spans="1:9" x14ac:dyDescent="0.25">
      <c r="A101" s="205"/>
      <c r="B101" s="210"/>
      <c r="C101" s="209"/>
      <c r="D101" s="214"/>
      <c r="E101" s="214"/>
      <c r="F101" s="218"/>
      <c r="G101" s="214"/>
      <c r="H101" s="206"/>
      <c r="I101" s="205"/>
    </row>
    <row r="102" spans="1:9" x14ac:dyDescent="0.25">
      <c r="A102" s="205"/>
      <c r="B102" s="210"/>
      <c r="C102" s="209"/>
      <c r="D102" s="214"/>
      <c r="E102" s="214"/>
      <c r="F102" s="218"/>
      <c r="G102" s="214"/>
      <c r="H102" s="206"/>
      <c r="I102" s="205"/>
    </row>
    <row r="103" spans="1:9" x14ac:dyDescent="0.25">
      <c r="A103" s="205"/>
      <c r="B103" s="210"/>
      <c r="C103" s="209"/>
      <c r="D103" s="214"/>
      <c r="E103" s="214"/>
      <c r="F103" s="218"/>
      <c r="G103" s="214"/>
      <c r="H103" s="206"/>
      <c r="I103" s="205"/>
    </row>
    <row r="104" spans="1:9" x14ac:dyDescent="0.25">
      <c r="A104" s="205"/>
      <c r="B104" s="205"/>
      <c r="C104" s="216"/>
      <c r="D104" s="205"/>
      <c r="E104" s="218"/>
      <c r="F104" s="218"/>
      <c r="G104" s="214"/>
      <c r="H104" s="206"/>
      <c r="I104" s="205"/>
    </row>
    <row r="105" spans="1:9" x14ac:dyDescent="0.25">
      <c r="A105" s="208"/>
      <c r="B105" s="205"/>
      <c r="C105" s="209"/>
      <c r="D105" s="205"/>
      <c r="E105" s="218"/>
      <c r="F105" s="218"/>
      <c r="G105" s="214"/>
      <c r="H105" s="206"/>
      <c r="I105" s="205"/>
    </row>
    <row r="106" spans="1:9" x14ac:dyDescent="0.25">
      <c r="A106" s="205"/>
      <c r="B106" s="210"/>
      <c r="C106" s="209"/>
      <c r="D106" s="213"/>
      <c r="E106" s="214"/>
      <c r="F106" s="218"/>
      <c r="G106" s="214"/>
      <c r="H106" s="206"/>
      <c r="I106" s="205"/>
    </row>
    <row r="107" spans="1:9" x14ac:dyDescent="0.25">
      <c r="A107" s="205"/>
      <c r="B107" s="210"/>
      <c r="C107" s="209"/>
      <c r="D107" s="213"/>
      <c r="E107" s="214"/>
      <c r="F107" s="218"/>
      <c r="G107" s="214"/>
      <c r="H107" s="206"/>
      <c r="I107" s="205"/>
    </row>
    <row r="108" spans="1:9" x14ac:dyDescent="0.25">
      <c r="A108" s="205"/>
      <c r="B108" s="210"/>
      <c r="C108" s="209"/>
      <c r="D108" s="213"/>
      <c r="E108" s="214"/>
      <c r="F108" s="218"/>
      <c r="G108" s="214"/>
      <c r="H108" s="206"/>
      <c r="I108" s="205"/>
    </row>
    <row r="109" spans="1:9" x14ac:dyDescent="0.25">
      <c r="A109" s="205"/>
      <c r="B109" s="210"/>
      <c r="C109" s="209"/>
      <c r="D109" s="213"/>
      <c r="E109" s="213"/>
      <c r="F109" s="218"/>
      <c r="G109" s="214"/>
      <c r="H109" s="206"/>
      <c r="I109" s="205"/>
    </row>
    <row r="110" spans="1:9" x14ac:dyDescent="0.25">
      <c r="A110" s="205"/>
      <c r="B110" s="210"/>
      <c r="C110" s="209"/>
      <c r="D110" s="213"/>
      <c r="E110" s="214"/>
      <c r="F110" s="218"/>
      <c r="G110" s="214"/>
      <c r="H110" s="206"/>
      <c r="I110" s="205"/>
    </row>
    <row r="111" spans="1:9" x14ac:dyDescent="0.25">
      <c r="A111" s="205"/>
      <c r="B111" s="210"/>
      <c r="C111" s="209"/>
      <c r="D111" s="213"/>
      <c r="E111" s="214"/>
      <c r="F111" s="218"/>
      <c r="G111" s="214"/>
      <c r="H111" s="206"/>
      <c r="I111" s="205"/>
    </row>
    <row r="112" spans="1:9" x14ac:dyDescent="0.25">
      <c r="A112" s="205"/>
      <c r="B112" s="210"/>
      <c r="C112" s="209"/>
      <c r="D112" s="213"/>
      <c r="E112" s="214"/>
      <c r="F112" s="218"/>
      <c r="G112" s="214"/>
      <c r="H112" s="206"/>
      <c r="I112" s="205"/>
    </row>
    <row r="113" spans="1:9" x14ac:dyDescent="0.25">
      <c r="A113" s="205"/>
      <c r="B113" s="205"/>
      <c r="C113" s="216"/>
      <c r="D113" s="205"/>
      <c r="E113" s="213"/>
      <c r="F113" s="218"/>
      <c r="G113" s="214"/>
      <c r="H113" s="206"/>
      <c r="I113" s="205"/>
    </row>
    <row r="114" spans="1:9" x14ac:dyDescent="0.25">
      <c r="A114" s="208"/>
      <c r="B114" s="205"/>
      <c r="C114" s="209"/>
      <c r="D114" s="205"/>
      <c r="E114" s="213"/>
      <c r="F114" s="218"/>
      <c r="G114" s="214"/>
      <c r="H114" s="206"/>
      <c r="I114" s="205"/>
    </row>
    <row r="115" spans="1:9" x14ac:dyDescent="0.25">
      <c r="A115" s="205"/>
      <c r="B115" s="210"/>
      <c r="C115" s="209"/>
      <c r="D115" s="214"/>
      <c r="E115" s="214"/>
      <c r="F115" s="218"/>
      <c r="G115" s="214"/>
      <c r="H115" s="206"/>
      <c r="I115" s="205"/>
    </row>
    <row r="116" spans="1:9" x14ac:dyDescent="0.25">
      <c r="A116" s="205"/>
      <c r="B116" s="210"/>
      <c r="C116" s="209"/>
      <c r="D116" s="214"/>
      <c r="E116" s="214"/>
      <c r="F116" s="218"/>
      <c r="G116" s="214"/>
      <c r="H116" s="206"/>
      <c r="I116" s="205"/>
    </row>
    <row r="117" spans="1:9" x14ac:dyDescent="0.25">
      <c r="A117" s="205"/>
      <c r="B117" s="210"/>
      <c r="C117" s="209"/>
      <c r="D117" s="214"/>
      <c r="E117" s="213"/>
      <c r="F117" s="218"/>
      <c r="G117" s="214"/>
      <c r="H117" s="206"/>
      <c r="I117" s="205"/>
    </row>
    <row r="118" spans="1:9" x14ac:dyDescent="0.25">
      <c r="A118" s="205"/>
      <c r="B118" s="210"/>
      <c r="C118" s="209"/>
      <c r="D118" s="214"/>
      <c r="E118" s="214"/>
      <c r="F118" s="218"/>
      <c r="G118" s="214"/>
      <c r="H118" s="206"/>
      <c r="I118" s="205"/>
    </row>
    <row r="119" spans="1:9" x14ac:dyDescent="0.25">
      <c r="A119" s="205"/>
      <c r="B119" s="210"/>
      <c r="C119" s="209"/>
      <c r="D119" s="214"/>
      <c r="E119" s="214"/>
      <c r="F119" s="218"/>
      <c r="G119" s="214"/>
      <c r="H119" s="206"/>
      <c r="I119" s="205"/>
    </row>
    <row r="120" spans="1:9" x14ac:dyDescent="0.25">
      <c r="A120" s="205"/>
      <c r="B120" s="205"/>
      <c r="C120" s="216"/>
      <c r="D120" s="205"/>
      <c r="E120" s="218"/>
      <c r="F120" s="218"/>
      <c r="G120" s="214"/>
      <c r="H120" s="206"/>
      <c r="I120" s="205"/>
    </row>
    <row r="121" spans="1:9" x14ac:dyDescent="0.25">
      <c r="A121" s="205"/>
      <c r="B121" s="205"/>
      <c r="C121" s="209"/>
      <c r="D121" s="205"/>
      <c r="E121" s="218"/>
      <c r="F121" s="218"/>
      <c r="G121" s="214"/>
      <c r="H121" s="206"/>
      <c r="I121" s="205"/>
    </row>
    <row r="122" spans="1:9" x14ac:dyDescent="0.25">
      <c r="A122" s="205"/>
      <c r="B122" s="205"/>
      <c r="C122" s="209"/>
      <c r="D122" s="205"/>
      <c r="E122" s="218"/>
      <c r="F122" s="218"/>
      <c r="G122" s="214"/>
      <c r="H122" s="206"/>
      <c r="I122" s="205"/>
    </row>
    <row r="123" spans="1:9" x14ac:dyDescent="0.25">
      <c r="A123" s="205"/>
      <c r="B123" s="205"/>
      <c r="C123" s="216"/>
      <c r="D123" s="205"/>
      <c r="E123" s="218"/>
      <c r="F123" s="218"/>
      <c r="G123" s="214"/>
      <c r="H123" s="206"/>
      <c r="I123" s="205"/>
    </row>
    <row r="124" spans="1:9" x14ac:dyDescent="0.25">
      <c r="A124" s="218"/>
      <c r="B124" s="218"/>
      <c r="C124" s="216"/>
      <c r="D124" s="205"/>
      <c r="E124" s="218"/>
      <c r="F124" s="218"/>
      <c r="G124" s="214"/>
      <c r="H124" s="206"/>
      <c r="I124" s="205"/>
    </row>
    <row r="125" spans="1:9" x14ac:dyDescent="0.25">
      <c r="A125" s="205"/>
      <c r="B125" s="205"/>
      <c r="C125" s="216"/>
      <c r="D125" s="205"/>
      <c r="E125" s="218"/>
      <c r="F125" s="218"/>
      <c r="G125" s="214"/>
      <c r="H125" s="206"/>
      <c r="I125" s="205"/>
    </row>
    <row r="126" spans="1:9" x14ac:dyDescent="0.25">
      <c r="A126" s="208"/>
      <c r="B126" s="205"/>
      <c r="C126" s="216"/>
      <c r="D126" s="205"/>
      <c r="E126" s="218"/>
      <c r="F126" s="218"/>
      <c r="G126" s="214"/>
      <c r="H126" s="206"/>
      <c r="I126" s="205"/>
    </row>
    <row r="127" spans="1:9" x14ac:dyDescent="0.25">
      <c r="A127" s="208"/>
      <c r="B127" s="205"/>
      <c r="C127" s="216"/>
      <c r="D127" s="205"/>
      <c r="E127" s="218"/>
      <c r="F127" s="218"/>
      <c r="G127" s="214"/>
      <c r="H127" s="206"/>
      <c r="I127" s="205"/>
    </row>
  </sheetData>
  <pageMargins left="0.7" right="0.7" top="0.75" bottom="0.75" header="0.3" footer="0.3"/>
  <pageSetup scale="85" orientation="portrait" r:id="rId1"/>
  <headerFooter>
    <oddFooter>&amp;L&amp;F - &amp;A&amp;C&amp;D&amp;R&amp;P of &amp;N</oddFooter>
  </headerFooter>
  <rowBreaks count="2" manualBreakCount="2">
    <brk id="40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AE67"/>
  <sheetViews>
    <sheetView zoomScale="85" zoomScaleNormal="85" workbookViewId="0">
      <selection activeCell="D56" sqref="D56"/>
    </sheetView>
  </sheetViews>
  <sheetFormatPr defaultColWidth="8.85546875" defaultRowHeight="15" x14ac:dyDescent="0.25"/>
  <cols>
    <col min="1" max="1" width="4.5703125" style="114" customWidth="1"/>
    <col min="2" max="2" width="11" style="155" bestFit="1" customWidth="1"/>
    <col min="3" max="3" width="35.7109375" style="114" customWidth="1"/>
    <col min="4" max="4" width="13.28515625" style="179" customWidth="1"/>
    <col min="5" max="5" width="11.42578125" style="114" bestFit="1" customWidth="1"/>
    <col min="6" max="6" width="13.28515625" style="114" customWidth="1"/>
    <col min="7" max="7" width="12.42578125" style="114" customWidth="1"/>
    <col min="8" max="8" width="17.28515625" style="114" customWidth="1"/>
    <col min="9" max="9" width="16.28515625" style="157" customWidth="1"/>
    <col min="10" max="10" width="13.42578125" style="114" customWidth="1"/>
    <col min="11" max="11" width="13.5703125" style="114" customWidth="1"/>
    <col min="12" max="12" width="10.7109375" style="114" customWidth="1"/>
    <col min="13" max="13" width="16.5703125" style="114" customWidth="1"/>
    <col min="14" max="14" width="16.42578125" style="114" customWidth="1"/>
    <col min="15" max="15" width="18.140625" style="114" customWidth="1"/>
    <col min="16" max="16" width="19" style="114" customWidth="1"/>
    <col min="17" max="17" width="17.7109375" style="114" customWidth="1"/>
    <col min="18" max="18" width="16" style="118" customWidth="1"/>
    <col min="19" max="19" width="3.7109375" style="228" customWidth="1"/>
    <col min="20" max="20" width="13.85546875" style="112" customWidth="1"/>
    <col min="21" max="21" width="14.28515625" style="112" customWidth="1"/>
    <col min="22" max="22" width="13.5703125" style="112" customWidth="1"/>
    <col min="23" max="23" width="13.28515625" style="112" customWidth="1"/>
    <col min="24" max="24" width="12.5703125" style="112" customWidth="1"/>
    <col min="25" max="25" width="5.28515625" style="112" customWidth="1"/>
    <col min="26" max="26" width="12.5703125" style="127" customWidth="1"/>
    <col min="27" max="27" width="18.7109375" style="112" customWidth="1"/>
    <col min="28" max="28" width="8.85546875" style="112"/>
    <col min="29" max="29" width="14.28515625" style="112" customWidth="1"/>
    <col min="30" max="30" width="8.85546875" style="112"/>
    <col min="31" max="16384" width="8.85546875" style="114"/>
  </cols>
  <sheetData>
    <row r="1" spans="1:31" x14ac:dyDescent="0.25">
      <c r="C1" s="227" t="s">
        <v>385</v>
      </c>
    </row>
    <row r="3" spans="1:31" ht="45" x14ac:dyDescent="0.25">
      <c r="A3" s="108"/>
      <c r="B3" s="109" t="s">
        <v>297</v>
      </c>
      <c r="C3" s="109" t="s">
        <v>298</v>
      </c>
      <c r="D3" s="109" t="s">
        <v>299</v>
      </c>
      <c r="E3" s="109" t="s">
        <v>300</v>
      </c>
      <c r="F3" s="109" t="s">
        <v>301</v>
      </c>
      <c r="G3" s="109" t="s">
        <v>238</v>
      </c>
      <c r="H3" s="109" t="s">
        <v>302</v>
      </c>
      <c r="I3" s="109" t="s">
        <v>303</v>
      </c>
      <c r="J3" s="109" t="s">
        <v>2</v>
      </c>
      <c r="K3" s="109" t="s">
        <v>3</v>
      </c>
      <c r="L3" s="109" t="s">
        <v>304</v>
      </c>
      <c r="M3" s="109" t="s">
        <v>305</v>
      </c>
      <c r="N3" s="109" t="s">
        <v>386</v>
      </c>
      <c r="O3" s="109" t="s">
        <v>307</v>
      </c>
      <c r="P3" s="109" t="s">
        <v>308</v>
      </c>
      <c r="Q3" s="109" t="s">
        <v>387</v>
      </c>
      <c r="R3" s="109" t="s">
        <v>310</v>
      </c>
      <c r="T3" s="110"/>
      <c r="U3" s="111"/>
      <c r="W3" s="110"/>
      <c r="X3" s="111"/>
      <c r="Z3" s="113"/>
    </row>
    <row r="4" spans="1:31" s="112" customFormat="1" x14ac:dyDescent="0.25">
      <c r="A4" s="273" t="s">
        <v>311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5"/>
      <c r="T4" s="111"/>
      <c r="U4" s="111"/>
      <c r="W4" s="111"/>
      <c r="X4" s="111"/>
      <c r="Z4" s="113"/>
    </row>
    <row r="5" spans="1:31" s="112" customFormat="1" ht="15" customHeight="1" x14ac:dyDescent="0.25">
      <c r="A5" s="274"/>
      <c r="B5" s="116">
        <v>22</v>
      </c>
      <c r="C5" s="117" t="s">
        <v>73</v>
      </c>
      <c r="D5" s="229">
        <f>'[23]Vashon Price Out'!AD68</f>
        <v>6168.5863874345559</v>
      </c>
      <c r="E5" s="119">
        <f>[23]References!$C$10</f>
        <v>1</v>
      </c>
      <c r="F5" s="120">
        <f>D5*E5</f>
        <v>6168.5863874345559</v>
      </c>
      <c r="G5" s="120">
        <f>[23]References!$C$16</f>
        <v>34</v>
      </c>
      <c r="H5" s="120">
        <f>F5*G5</f>
        <v>209731.93717277489</v>
      </c>
      <c r="I5" s="121">
        <f>$D$59*H5</f>
        <v>144808.01328403247</v>
      </c>
      <c r="J5" s="122">
        <f>I5*[23]References!$D$60</f>
        <v>451.07696137976006</v>
      </c>
      <c r="K5" s="122">
        <f>J5/[23]References!$H$63</f>
        <v>460.32958605955719</v>
      </c>
      <c r="L5" s="122">
        <f>K5/F5*E5</f>
        <v>7.4624809826324398E-2</v>
      </c>
      <c r="M5" s="230">
        <f>'[23]Vashon Rate Sheet'!D83</f>
        <v>4.03</v>
      </c>
      <c r="N5" s="231">
        <f>L5+M5</f>
        <v>4.1046248098263245</v>
      </c>
      <c r="O5" s="124">
        <f>'[23]Proposed Rates'!E18</f>
        <v>3.89</v>
      </c>
      <c r="P5" s="122">
        <f>D5*M5</f>
        <v>24859.403141361261</v>
      </c>
      <c r="Q5" s="125">
        <f>D5*N5</f>
        <v>25319.732727420818</v>
      </c>
      <c r="R5" s="126">
        <f>Q5-P5</f>
        <v>460.32958605955719</v>
      </c>
      <c r="S5" s="115"/>
      <c r="T5" s="232">
        <f>N5-O5</f>
        <v>0.21462480982632437</v>
      </c>
      <c r="U5" s="127"/>
      <c r="V5" s="127"/>
      <c r="W5" s="127"/>
      <c r="X5" s="127"/>
      <c r="Y5" s="127"/>
      <c r="Z5" s="127"/>
      <c r="AA5" s="127"/>
      <c r="AC5" s="128"/>
    </row>
    <row r="6" spans="1:31" s="112" customFormat="1" x14ac:dyDescent="0.25">
      <c r="A6" s="274"/>
      <c r="B6" s="116">
        <v>21</v>
      </c>
      <c r="C6" s="117" t="s">
        <v>28</v>
      </c>
      <c r="D6" s="229">
        <f>'[23]Vashon Price Out'!AD14</f>
        <v>1328.9607686148918</v>
      </c>
      <c r="E6" s="119">
        <f>[23]References!$C$7</f>
        <v>4.333333333333333</v>
      </c>
      <c r="F6" s="120">
        <f t="shared" ref="F6:F12" si="0">D6*E6</f>
        <v>5758.8299973311969</v>
      </c>
      <c r="G6" s="120">
        <f>[23]References!C15</f>
        <v>20</v>
      </c>
      <c r="H6" s="120">
        <f t="shared" ref="H6:H12" si="1">F6*G6</f>
        <v>115176.59994662393</v>
      </c>
      <c r="I6" s="121">
        <f t="shared" ref="I6:I12" si="2">$D$59*H6</f>
        <v>79522.913104744977</v>
      </c>
      <c r="J6" s="122">
        <f>I6*[23]References!$D$60</f>
        <v>247.71387432128003</v>
      </c>
      <c r="K6" s="122">
        <f>J6/[23]References!$H$63</f>
        <v>252.79505492527812</v>
      </c>
      <c r="L6" s="122">
        <f t="shared" ref="L6:L12" si="3">K6/F6*E6</f>
        <v>0.19022010347886609</v>
      </c>
      <c r="M6" s="230">
        <f>'[23]Vashon Rate Sheet'!D71</f>
        <v>13.17</v>
      </c>
      <c r="N6" s="233">
        <f>L6+M6</f>
        <v>13.360220103478866</v>
      </c>
      <c r="O6" s="122">
        <f>'[23]Proposed Rates'!E11</f>
        <v>12.68</v>
      </c>
      <c r="P6" s="122">
        <f>D6*M6</f>
        <v>17502.413322658125</v>
      </c>
      <c r="Q6" s="125">
        <f t="shared" ref="Q6:Q12" si="4">D6*N6</f>
        <v>17755.208377583403</v>
      </c>
      <c r="R6" s="126">
        <f t="shared" ref="R6:R12" si="5">Q6-P6</f>
        <v>252.79505492527824</v>
      </c>
      <c r="S6" s="115"/>
      <c r="T6" s="232">
        <f t="shared" ref="T6:T36" si="6">N6-O6</f>
        <v>0.68022010347886663</v>
      </c>
      <c r="U6" s="127"/>
      <c r="V6" s="127"/>
      <c r="W6" s="127"/>
      <c r="X6" s="127"/>
      <c r="Y6" s="127"/>
      <c r="Z6" s="127"/>
      <c r="AA6" s="127"/>
      <c r="AC6" s="128"/>
    </row>
    <row r="7" spans="1:31" s="112" customFormat="1" x14ac:dyDescent="0.25">
      <c r="A7" s="274"/>
      <c r="B7" s="116">
        <v>21</v>
      </c>
      <c r="C7" s="117" t="s">
        <v>34</v>
      </c>
      <c r="D7" s="229">
        <f>'[23]Vashon Price Out'!AD21</f>
        <v>618.37921847246878</v>
      </c>
      <c r="E7" s="119">
        <f>[23]References!$C$9</f>
        <v>1</v>
      </c>
      <c r="F7" s="120">
        <f t="shared" si="0"/>
        <v>618.37921847246878</v>
      </c>
      <c r="G7" s="120">
        <f>[23]References!$C$16</f>
        <v>34</v>
      </c>
      <c r="H7" s="120">
        <f t="shared" si="1"/>
        <v>21024.893428063937</v>
      </c>
      <c r="I7" s="121">
        <f t="shared" si="2"/>
        <v>14516.497047935829</v>
      </c>
      <c r="J7" s="122">
        <f>I7*[23]References!$D$60</f>
        <v>45.218888304320004</v>
      </c>
      <c r="K7" s="122">
        <f>J7/[23]References!$H$63</f>
        <v>46.14643157905909</v>
      </c>
      <c r="L7" s="122">
        <f t="shared" si="3"/>
        <v>7.4624809826324398E-2</v>
      </c>
      <c r="M7" s="230">
        <f>'[23]Vashon Rate Sheet'!D69</f>
        <v>5.9399999999999995</v>
      </c>
      <c r="N7" s="233">
        <f t="shared" ref="N7:N36" si="7">L7+M7</f>
        <v>6.0146248098263237</v>
      </c>
      <c r="O7" s="122">
        <f>'[23]Proposed Rates'!E9</f>
        <v>5.7</v>
      </c>
      <c r="P7" s="122">
        <f t="shared" ref="P7:P12" si="8">D7*M7</f>
        <v>3673.1725577264642</v>
      </c>
      <c r="Q7" s="125">
        <f t="shared" si="4"/>
        <v>3719.3189893055232</v>
      </c>
      <c r="R7" s="126">
        <f t="shared" si="5"/>
        <v>46.146431579059026</v>
      </c>
      <c r="S7" s="115"/>
      <c r="T7" s="232">
        <f t="shared" si="6"/>
        <v>0.31462480982632357</v>
      </c>
      <c r="U7" s="127"/>
      <c r="V7" s="127"/>
      <c r="W7" s="127"/>
      <c r="X7" s="127"/>
      <c r="Y7" s="127"/>
      <c r="Z7" s="127"/>
      <c r="AA7" s="127"/>
      <c r="AC7" s="128"/>
    </row>
    <row r="8" spans="1:31" s="112" customFormat="1" x14ac:dyDescent="0.25">
      <c r="A8" s="274"/>
      <c r="B8" s="116">
        <v>21</v>
      </c>
      <c r="C8" s="117" t="s">
        <v>312</v>
      </c>
      <c r="D8" s="229">
        <f>'[23]Vashon Price Out'!AD20</f>
        <v>2831.7815186246416</v>
      </c>
      <c r="E8" s="119">
        <f>[23]References!$C$8</f>
        <v>2.1666666666666665</v>
      </c>
      <c r="F8" s="120">
        <f t="shared" si="0"/>
        <v>6135.5266236867228</v>
      </c>
      <c r="G8" s="120">
        <f>[23]References!$C$16</f>
        <v>34</v>
      </c>
      <c r="H8" s="120">
        <f t="shared" si="1"/>
        <v>208607.90520534856</v>
      </c>
      <c r="I8" s="121">
        <f t="shared" si="2"/>
        <v>144031.9329299152</v>
      </c>
      <c r="J8" s="122">
        <f>I8*[23]References!$D$60</f>
        <v>448.65947107668484</v>
      </c>
      <c r="K8" s="122">
        <f>J8/[23]References!$H$63</f>
        <v>457.86250747697198</v>
      </c>
      <c r="L8" s="122">
        <f t="shared" si="3"/>
        <v>0.16168708795703621</v>
      </c>
      <c r="M8" s="230">
        <f>'[23]Vashon Rate Sheet'!D70</f>
        <v>14.72</v>
      </c>
      <c r="N8" s="233">
        <f t="shared" si="7"/>
        <v>14.881687087957037</v>
      </c>
      <c r="O8" s="122">
        <f>'[23]Proposed Rates'!E10</f>
        <v>14.12</v>
      </c>
      <c r="P8" s="122">
        <f>D8*M8</f>
        <v>41683.82395415473</v>
      </c>
      <c r="Q8" s="125">
        <f t="shared" si="4"/>
        <v>42141.686461631696</v>
      </c>
      <c r="R8" s="126">
        <f>Q8-P8</f>
        <v>457.86250747696613</v>
      </c>
      <c r="S8" s="115"/>
      <c r="T8" s="232">
        <f t="shared" si="6"/>
        <v>0.76168708795703743</v>
      </c>
      <c r="U8" s="127"/>
      <c r="V8" s="127"/>
      <c r="W8" s="127"/>
      <c r="X8" s="127"/>
      <c r="Y8" s="127"/>
      <c r="Z8" s="127"/>
      <c r="AA8" s="127"/>
      <c r="AC8" s="128"/>
    </row>
    <row r="9" spans="1:31" s="112" customFormat="1" x14ac:dyDescent="0.25">
      <c r="A9" s="274"/>
      <c r="B9" s="116">
        <v>21</v>
      </c>
      <c r="C9" s="117" t="s">
        <v>38</v>
      </c>
      <c r="D9" s="229">
        <f>'[23]Vashon Price Out'!AD23</f>
        <v>16304.112244897959</v>
      </c>
      <c r="E9" s="119">
        <f>[23]References!$C$7</f>
        <v>4.333333333333333</v>
      </c>
      <c r="F9" s="120">
        <f t="shared" si="0"/>
        <v>70651.153061224482</v>
      </c>
      <c r="G9" s="120">
        <f>[23]References!$C$16</f>
        <v>34</v>
      </c>
      <c r="H9" s="120">
        <f t="shared" si="1"/>
        <v>2402139.2040816322</v>
      </c>
      <c r="I9" s="121">
        <f t="shared" si="2"/>
        <v>1658540.9473817712</v>
      </c>
      <c r="J9" s="122">
        <f>I9*[23]References!$D$60</f>
        <v>5166.355051094205</v>
      </c>
      <c r="K9" s="122">
        <f>J9/[23]References!$H$63</f>
        <v>5272.3288612044134</v>
      </c>
      <c r="L9" s="122">
        <f t="shared" si="3"/>
        <v>0.32337417591407236</v>
      </c>
      <c r="M9" s="230">
        <f>'[23]Vashon Rate Sheet'!D72</f>
        <v>18.600000000000001</v>
      </c>
      <c r="N9" s="233">
        <f t="shared" si="7"/>
        <v>18.923374175914073</v>
      </c>
      <c r="O9" s="122">
        <f>'[23]Proposed Rates'!E12</f>
        <v>17.96</v>
      </c>
      <c r="P9" s="122">
        <f>D9*M9</f>
        <v>303256.48775510205</v>
      </c>
      <c r="Q9" s="125">
        <f t="shared" si="4"/>
        <v>308528.81661630649</v>
      </c>
      <c r="R9" s="126">
        <f t="shared" si="5"/>
        <v>5272.3288612044416</v>
      </c>
      <c r="S9" s="115"/>
      <c r="T9" s="232">
        <f t="shared" si="6"/>
        <v>0.96337417591407259</v>
      </c>
      <c r="U9" s="127"/>
      <c r="V9" s="127"/>
      <c r="W9" s="127"/>
      <c r="X9" s="127"/>
      <c r="Y9" s="127"/>
      <c r="Z9" s="127"/>
      <c r="AA9" s="127"/>
      <c r="AC9" s="128"/>
    </row>
    <row r="10" spans="1:31" s="112" customFormat="1" x14ac:dyDescent="0.25">
      <c r="A10" s="274"/>
      <c r="B10" s="116">
        <v>21</v>
      </c>
      <c r="C10" s="117" t="s">
        <v>40</v>
      </c>
      <c r="D10" s="229">
        <f>'[23]Vashon Price Out'!AD27</f>
        <v>2988.5391480730227</v>
      </c>
      <c r="E10" s="119">
        <f>[23]References!$C$7</f>
        <v>4.333333333333333</v>
      </c>
      <c r="F10" s="120">
        <f t="shared" si="0"/>
        <v>12950.336308316431</v>
      </c>
      <c r="G10" s="120">
        <f>[23]References!$C$17</f>
        <v>51</v>
      </c>
      <c r="H10" s="120">
        <f t="shared" si="1"/>
        <v>660467.15172413795</v>
      </c>
      <c r="I10" s="121">
        <f t="shared" si="2"/>
        <v>456015.12754706538</v>
      </c>
      <c r="J10" s="122">
        <f>I10*[23]References!$D$60</f>
        <v>1420.4871223091054</v>
      </c>
      <c r="K10" s="122">
        <f>J10/[23]References!$H$63</f>
        <v>1449.6245762925864</v>
      </c>
      <c r="L10" s="122">
        <f t="shared" si="3"/>
        <v>0.48506126387110854</v>
      </c>
      <c r="M10" s="230">
        <f>'[23]Vashon Rate Sheet'!D73</f>
        <v>25.99</v>
      </c>
      <c r="N10" s="233">
        <f t="shared" si="7"/>
        <v>26.475061263871108</v>
      </c>
      <c r="O10" s="122">
        <f>'[23]Proposed Rates'!E13</f>
        <v>25.13</v>
      </c>
      <c r="P10" s="122">
        <f t="shared" si="8"/>
        <v>77672.132458417851</v>
      </c>
      <c r="Q10" s="125">
        <f t="shared" si="4"/>
        <v>79121.757034710448</v>
      </c>
      <c r="R10" s="126">
        <f t="shared" si="5"/>
        <v>1449.6245762925973</v>
      </c>
      <c r="S10" s="115"/>
      <c r="T10" s="232">
        <f t="shared" si="6"/>
        <v>1.3450612638711092</v>
      </c>
      <c r="U10" s="127"/>
      <c r="V10" s="127"/>
      <c r="W10" s="127"/>
      <c r="X10" s="127"/>
      <c r="Y10" s="127"/>
      <c r="Z10" s="127"/>
      <c r="AA10" s="127"/>
      <c r="AC10" s="128"/>
    </row>
    <row r="11" spans="1:31" s="112" customFormat="1" x14ac:dyDescent="0.25">
      <c r="A11" s="274"/>
      <c r="B11" s="116">
        <v>21</v>
      </c>
      <c r="C11" s="117" t="s">
        <v>42</v>
      </c>
      <c r="D11" s="229">
        <f>'[23]Vashon Price Out'!AD30</f>
        <v>166.25067709900694</v>
      </c>
      <c r="E11" s="119">
        <f>[23]References!$C$7</f>
        <v>4.333333333333333</v>
      </c>
      <c r="F11" s="120">
        <f t="shared" si="0"/>
        <v>720.4196007623633</v>
      </c>
      <c r="G11" s="120">
        <f>[23]References!$C$18</f>
        <v>77</v>
      </c>
      <c r="H11" s="120">
        <f t="shared" si="1"/>
        <v>55472.309258701971</v>
      </c>
      <c r="I11" s="121">
        <f t="shared" si="2"/>
        <v>38300.484915717483</v>
      </c>
      <c r="J11" s="122">
        <f>I11*[23]References!$D$60</f>
        <v>119.30601051245968</v>
      </c>
      <c r="K11" s="122">
        <f>J11/[23]References!$H$63</f>
        <v>121.7532508546379</v>
      </c>
      <c r="L11" s="122">
        <f t="shared" si="3"/>
        <v>0.73234739839363439</v>
      </c>
      <c r="M11" s="230">
        <f>'[23]Vashon Rate Sheet'!D74</f>
        <v>35.029999999999994</v>
      </c>
      <c r="N11" s="233">
        <f t="shared" si="7"/>
        <v>35.762347398393629</v>
      </c>
      <c r="O11" s="122">
        <f>'[23]Proposed Rates'!E14</f>
        <v>33.96</v>
      </c>
      <c r="P11" s="122">
        <f>D11*M11</f>
        <v>5823.7612187782115</v>
      </c>
      <c r="Q11" s="125">
        <f t="shared" si="4"/>
        <v>5945.5144696328498</v>
      </c>
      <c r="R11" s="126">
        <f t="shared" si="5"/>
        <v>121.75325085463828</v>
      </c>
      <c r="S11" s="115"/>
      <c r="T11" s="232">
        <f t="shared" si="6"/>
        <v>1.8023473983936285</v>
      </c>
      <c r="U11" s="127"/>
      <c r="V11" s="127"/>
      <c r="W11" s="127"/>
      <c r="X11" s="127"/>
      <c r="Y11" s="127"/>
      <c r="Z11" s="127"/>
      <c r="AA11" s="127"/>
      <c r="AC11" s="128"/>
    </row>
    <row r="12" spans="1:31" s="112" customFormat="1" x14ac:dyDescent="0.25">
      <c r="A12" s="275"/>
      <c r="B12" s="116">
        <v>21</v>
      </c>
      <c r="C12" s="117" t="s">
        <v>44</v>
      </c>
      <c r="D12" s="229">
        <f>'[23]Vashon Price Out'!AD32</f>
        <v>24.250060110603513</v>
      </c>
      <c r="E12" s="119">
        <f>[23]References!$C$7</f>
        <v>4.333333333333333</v>
      </c>
      <c r="F12" s="120">
        <f t="shared" si="0"/>
        <v>105.08359381261522</v>
      </c>
      <c r="G12" s="120">
        <f>[23]References!$C$19</f>
        <v>97</v>
      </c>
      <c r="H12" s="120">
        <f t="shared" si="1"/>
        <v>10193.108599823676</v>
      </c>
      <c r="I12" s="121">
        <f t="shared" si="2"/>
        <v>7037.7636588218011</v>
      </c>
      <c r="J12" s="122">
        <f>I12*[23]References!$D$60</f>
        <v>21.92263379722986</v>
      </c>
      <c r="K12" s="122">
        <f>J12/[23]References!$H$63</f>
        <v>22.37231737649746</v>
      </c>
      <c r="L12" s="122">
        <f t="shared" si="3"/>
        <v>0.92256750187250058</v>
      </c>
      <c r="M12" s="230">
        <f>'[23]Vashon Rate Sheet'!D75</f>
        <v>43.85</v>
      </c>
      <c r="N12" s="233">
        <f t="shared" si="7"/>
        <v>44.772567501872501</v>
      </c>
      <c r="O12" s="122">
        <f>'[23]Proposed Rates'!E15</f>
        <v>42.51</v>
      </c>
      <c r="P12" s="122">
        <f t="shared" si="8"/>
        <v>1063.3651358499642</v>
      </c>
      <c r="Q12" s="125">
        <f t="shared" si="4"/>
        <v>1085.7374532264616</v>
      </c>
      <c r="R12" s="126">
        <f t="shared" si="5"/>
        <v>22.372317376497449</v>
      </c>
      <c r="S12" s="115"/>
      <c r="T12" s="232">
        <f t="shared" si="6"/>
        <v>2.2625675018725033</v>
      </c>
      <c r="U12" s="127"/>
      <c r="V12" s="127"/>
      <c r="W12" s="127"/>
      <c r="X12" s="127"/>
      <c r="Y12" s="127"/>
      <c r="Z12" s="127"/>
      <c r="AA12" s="127"/>
      <c r="AC12" s="128"/>
    </row>
    <row r="13" spans="1:31" s="112" customFormat="1" x14ac:dyDescent="0.25">
      <c r="A13" s="129"/>
      <c r="B13" s="129"/>
      <c r="C13" s="130" t="s">
        <v>313</v>
      </c>
      <c r="D13" s="131">
        <f>SUM(D5:D12)</f>
        <v>30430.86002332715</v>
      </c>
      <c r="E13" s="132"/>
      <c r="F13" s="234">
        <f>SUM(F5:F12)</f>
        <v>103108.31479104084</v>
      </c>
      <c r="G13" s="133"/>
      <c r="H13" s="235">
        <f>SUM(H5:H12)</f>
        <v>3682813.109417107</v>
      </c>
      <c r="I13" s="236">
        <f>SUM(I5:I12)</f>
        <v>2542773.6798700038</v>
      </c>
      <c r="J13" s="134">
        <f>SUM(J5:J12)</f>
        <v>7920.7400127950441</v>
      </c>
      <c r="K13" s="134">
        <f>SUM(K5:K12)</f>
        <v>8083.2125857690016</v>
      </c>
      <c r="L13" s="135"/>
      <c r="M13" s="135"/>
      <c r="N13" s="135"/>
      <c r="O13" s="135"/>
      <c r="P13" s="134">
        <f>SUM(P5:P12)</f>
        <v>475534.55954404868</v>
      </c>
      <c r="Q13" s="134">
        <f>SUM(Q5:Q12)</f>
        <v>483617.77212981763</v>
      </c>
      <c r="R13" s="134">
        <f>SUM(R5:R12)</f>
        <v>8083.2125857690353</v>
      </c>
      <c r="S13" s="136"/>
      <c r="T13" s="232">
        <f t="shared" si="6"/>
        <v>0</v>
      </c>
      <c r="U13" s="143"/>
      <c r="V13" s="137"/>
      <c r="W13" s="137"/>
      <c r="X13" s="137"/>
      <c r="Y13" s="127"/>
      <c r="Z13" s="137"/>
      <c r="AA13" s="127"/>
      <c r="AC13" s="138"/>
      <c r="AE13" s="138"/>
    </row>
    <row r="14" spans="1:31" s="112" customFormat="1" x14ac:dyDescent="0.25">
      <c r="A14" s="273" t="s">
        <v>314</v>
      </c>
      <c r="B14" s="116"/>
      <c r="C14" s="139"/>
      <c r="D14" s="140"/>
      <c r="E14" s="141"/>
      <c r="F14" s="142"/>
      <c r="G14" s="143"/>
      <c r="H14" s="137"/>
      <c r="I14" s="144"/>
      <c r="J14" s="144"/>
      <c r="K14" s="144"/>
      <c r="L14" s="122"/>
      <c r="M14" s="122"/>
      <c r="N14" s="122"/>
      <c r="O14" s="122"/>
      <c r="P14" s="145"/>
      <c r="Q14" s="145"/>
      <c r="R14" s="146"/>
      <c r="S14" s="136"/>
      <c r="T14" s="232">
        <f t="shared" si="6"/>
        <v>0</v>
      </c>
      <c r="U14" s="147"/>
      <c r="V14" s="137"/>
      <c r="W14" s="137"/>
      <c r="X14" s="137"/>
      <c r="Y14" s="127"/>
      <c r="Z14" s="137"/>
      <c r="AA14" s="127"/>
      <c r="AC14" s="138"/>
      <c r="AE14" s="138"/>
    </row>
    <row r="15" spans="1:31" s="112" customFormat="1" ht="15" customHeight="1" x14ac:dyDescent="0.25">
      <c r="A15" s="274"/>
      <c r="B15" s="116">
        <v>36</v>
      </c>
      <c r="C15" s="148" t="s">
        <v>315</v>
      </c>
      <c r="D15" s="237">
        <f>'[23]Vashon Price Out'!AD160</f>
        <v>1624.2015706806283</v>
      </c>
      <c r="E15" s="119">
        <f>[23]References!$C$10</f>
        <v>1</v>
      </c>
      <c r="F15" s="120">
        <f>D15*E15</f>
        <v>1624.2015706806283</v>
      </c>
      <c r="G15" s="120">
        <f>[23]References!$C$28</f>
        <v>29</v>
      </c>
      <c r="H15" s="120">
        <f>F15*G15</f>
        <v>47101.845549738217</v>
      </c>
      <c r="I15" s="121">
        <f t="shared" ref="I15:I36" si="9">$D$59*H15</f>
        <v>32521.154231508852</v>
      </c>
      <c r="J15" s="122">
        <f>I15*[23]References!$D$60</f>
        <v>101.30339543114984</v>
      </c>
      <c r="K15" s="122">
        <f>J15/[23]References!$H$63</f>
        <v>103.38136078288585</v>
      </c>
      <c r="L15" s="122">
        <f>K15/F15</f>
        <v>6.3650573087159046E-2</v>
      </c>
      <c r="M15" s="230">
        <f>'[23]Vashon Rate Sheet'!D171</f>
        <v>4.01</v>
      </c>
      <c r="N15" s="233">
        <f t="shared" si="7"/>
        <v>4.0736505730871588</v>
      </c>
      <c r="O15" s="122">
        <f>'[23]Proposed Rates'!E62</f>
        <v>3.86</v>
      </c>
      <c r="P15" s="122">
        <f>F15*M15</f>
        <v>6513.0482984293194</v>
      </c>
      <c r="Q15" s="125">
        <f t="shared" ref="Q15:Q33" si="10">F15*N15</f>
        <v>6616.4296592122046</v>
      </c>
      <c r="R15" s="126">
        <f>Q15-P15</f>
        <v>103.38136078288517</v>
      </c>
      <c r="S15" s="115"/>
      <c r="T15" s="232">
        <f>N15-O15</f>
        <v>0.21365057308715896</v>
      </c>
      <c r="U15" s="127">
        <f>I15*[23]References!$D$60/[23]References!$H$63</f>
        <v>103.38136078288585</v>
      </c>
      <c r="V15" s="127">
        <f>R15-U15</f>
        <v>-6.8212102632969618E-13</v>
      </c>
      <c r="W15" s="232"/>
      <c r="X15" s="127"/>
      <c r="Y15" s="127"/>
      <c r="Z15" s="127"/>
      <c r="AA15" s="127"/>
      <c r="AB15" s="127"/>
      <c r="AC15" s="128"/>
    </row>
    <row r="16" spans="1:31" s="112" customFormat="1" x14ac:dyDescent="0.25">
      <c r="A16" s="274"/>
      <c r="B16" s="116">
        <v>28</v>
      </c>
      <c r="C16" s="148" t="s">
        <v>316</v>
      </c>
      <c r="D16" s="237">
        <f>'[23]Vashon Price Out'!AD161</f>
        <v>19.500304692260816</v>
      </c>
      <c r="E16" s="119">
        <f>[23]References!$C$10</f>
        <v>1</v>
      </c>
      <c r="F16" s="120">
        <f t="shared" ref="F16:F36" si="11">D16*E16</f>
        <v>19.500304692260816</v>
      </c>
      <c r="G16" s="120">
        <f>[23]References!C29</f>
        <v>125</v>
      </c>
      <c r="H16" s="120">
        <f t="shared" ref="H16:H36" si="12">F16*G16</f>
        <v>2437.5380865326019</v>
      </c>
      <c r="I16" s="121">
        <f t="shared" si="9"/>
        <v>1682.9818690139264</v>
      </c>
      <c r="J16" s="122">
        <f>I16*[23]References!$D$60</f>
        <v>5.2424885219783688</v>
      </c>
      <c r="K16" s="122">
        <f>J16/[23]References!$H$63</f>
        <v>5.3500240044681791</v>
      </c>
      <c r="L16" s="122">
        <f t="shared" ref="L16:L33" si="13">K16/F16</f>
        <v>0.27435591847913382</v>
      </c>
      <c r="M16" s="230">
        <f>'[23]Vashon Rate Sheet'!D91</f>
        <v>17.3</v>
      </c>
      <c r="N16" s="233">
        <f t="shared" si="7"/>
        <v>17.574355918479135</v>
      </c>
      <c r="O16" s="122">
        <f>'[23]Proposed Rates'!E26</f>
        <v>16.68</v>
      </c>
      <c r="P16" s="122">
        <f t="shared" ref="P16:P33" si="14">F16*M16</f>
        <v>337.35527117611213</v>
      </c>
      <c r="Q16" s="125">
        <f t="shared" si="10"/>
        <v>342.70529518058032</v>
      </c>
      <c r="R16" s="126">
        <f>Q16-P16</f>
        <v>5.3500240044681959</v>
      </c>
      <c r="S16" s="115"/>
      <c r="T16" s="232">
        <f t="shared" si="6"/>
        <v>0.89435591847913543</v>
      </c>
      <c r="U16" s="127">
        <f>I16*[23]References!$D$60/[23]References!$H$63</f>
        <v>5.3500240044681791</v>
      </c>
      <c r="V16" s="127">
        <f t="shared" ref="V16:V36" si="15">R16-U16</f>
        <v>1.6875389974302379E-14</v>
      </c>
      <c r="W16" s="232"/>
      <c r="X16" s="127"/>
      <c r="Y16" s="127"/>
      <c r="Z16" s="127"/>
      <c r="AA16" s="127"/>
      <c r="AB16" s="127"/>
      <c r="AC16" s="128"/>
    </row>
    <row r="17" spans="1:29" s="112" customFormat="1" x14ac:dyDescent="0.25">
      <c r="A17" s="274"/>
      <c r="B17" s="116">
        <v>36</v>
      </c>
      <c r="C17" s="148" t="s">
        <v>317</v>
      </c>
      <c r="D17" s="237">
        <f>'[23]Vashon Price Out'!AD96</f>
        <v>36</v>
      </c>
      <c r="E17" s="119">
        <f>[23]References!$C$7</f>
        <v>4.333333333333333</v>
      </c>
      <c r="F17" s="120">
        <f t="shared" si="11"/>
        <v>156</v>
      </c>
      <c r="G17" s="120">
        <f>[23]References!$C$28</f>
        <v>29</v>
      </c>
      <c r="H17" s="120">
        <f t="shared" si="12"/>
        <v>4524</v>
      </c>
      <c r="I17" s="121">
        <f t="shared" si="9"/>
        <v>3123.5655424156462</v>
      </c>
      <c r="J17" s="122">
        <f>I17*[23]References!$D$60</f>
        <v>9.7299066646247159</v>
      </c>
      <c r="K17" s="122">
        <f>J17/[23]References!$H$63</f>
        <v>9.9294894015968111</v>
      </c>
      <c r="L17" s="122">
        <f>N17-M17</f>
        <v>0.29248581671102158</v>
      </c>
      <c r="M17" s="230">
        <f>'[23]Vashon Rate Sheet'!D168</f>
        <v>15.280000000000001</v>
      </c>
      <c r="N17" s="233">
        <f>W17</f>
        <v>15.572485816711023</v>
      </c>
      <c r="O17" s="122">
        <f>'[23]Proposed Rates'!E60</f>
        <v>14.76</v>
      </c>
      <c r="P17" s="122">
        <f>D17*M17</f>
        <v>550.08000000000004</v>
      </c>
      <c r="Q17" s="125">
        <f>D17*N17</f>
        <v>560.60948940159687</v>
      </c>
      <c r="R17" s="126">
        <f t="shared" ref="R17:R36" si="16">Q17-P17</f>
        <v>10.529489401596834</v>
      </c>
      <c r="S17" s="115"/>
      <c r="T17" s="232">
        <f t="shared" si="6"/>
        <v>0.81248581671102293</v>
      </c>
      <c r="U17" s="127">
        <f>I17*[23]References!$D$60/[23]References!$H$63</f>
        <v>9.9294894015968111</v>
      </c>
      <c r="V17" s="127">
        <f t="shared" si="15"/>
        <v>0.60000000000002274</v>
      </c>
      <c r="W17" s="232">
        <f>N18*[23]References!C7</f>
        <v>15.572485816711023</v>
      </c>
      <c r="X17" s="127"/>
      <c r="Y17" s="127"/>
      <c r="Z17" s="127"/>
      <c r="AA17" s="127"/>
      <c r="AB17" s="127"/>
      <c r="AC17" s="128"/>
    </row>
    <row r="18" spans="1:29" s="112" customFormat="1" x14ac:dyDescent="0.25">
      <c r="A18" s="274"/>
      <c r="B18" s="116">
        <v>36</v>
      </c>
      <c r="C18" s="148" t="s">
        <v>38</v>
      </c>
      <c r="D18" s="229">
        <f>'[23]Vashon Price Out'!AD97</f>
        <v>125.24983027834352</v>
      </c>
      <c r="E18" s="119">
        <f>[23]References!$C$7</f>
        <v>4.333333333333333</v>
      </c>
      <c r="F18" s="120">
        <f t="shared" si="11"/>
        <v>542.74926453948854</v>
      </c>
      <c r="G18" s="120">
        <f>[23]References!$C$28</f>
        <v>29</v>
      </c>
      <c r="H18" s="120">
        <f t="shared" si="12"/>
        <v>15739.728671645167</v>
      </c>
      <c r="I18" s="121">
        <f t="shared" si="9"/>
        <v>10867.390390301158</v>
      </c>
      <c r="J18" s="122">
        <f>I18*[23]References!$D$60</f>
        <v>33.851921065788027</v>
      </c>
      <c r="K18" s="122">
        <f>J18/[23]References!$H$63</f>
        <v>34.546301730572537</v>
      </c>
      <c r="L18" s="122">
        <f>K18/F18</f>
        <v>6.3650573087159046E-2</v>
      </c>
      <c r="M18" s="230">
        <f>'[23]Vashon Rate Sheet'!$D$162</f>
        <v>3.5300000000000002</v>
      </c>
      <c r="N18" s="233">
        <f>L18+M18</f>
        <v>3.5936505730871593</v>
      </c>
      <c r="O18" s="122">
        <f>'[23]Proposed Rates'!E59</f>
        <v>3.46</v>
      </c>
      <c r="P18" s="122">
        <f>F18*M18</f>
        <v>1915.9049038243948</v>
      </c>
      <c r="Q18" s="125">
        <f>F18*N18</f>
        <v>1950.4512055549671</v>
      </c>
      <c r="R18" s="126">
        <f t="shared" si="16"/>
        <v>34.546301730572395</v>
      </c>
      <c r="S18" s="115"/>
      <c r="T18" s="232">
        <f t="shared" si="6"/>
        <v>0.13365057308715933</v>
      </c>
      <c r="U18" s="127">
        <f>I18*[23]References!$D$60/[23]References!$H$63</f>
        <v>34.546301730572537</v>
      </c>
      <c r="V18" s="127">
        <f t="shared" si="15"/>
        <v>-1.4210854715202004E-13</v>
      </c>
      <c r="W18" s="232"/>
      <c r="X18" s="127"/>
      <c r="Y18" s="127"/>
      <c r="Z18" s="127"/>
      <c r="AA18" s="127"/>
      <c r="AB18" s="127"/>
      <c r="AC18" s="128"/>
    </row>
    <row r="19" spans="1:29" s="112" customFormat="1" x14ac:dyDescent="0.25">
      <c r="A19" s="274"/>
      <c r="B19" s="116" t="s">
        <v>388</v>
      </c>
      <c r="C19" s="148" t="s">
        <v>85</v>
      </c>
      <c r="D19" s="229">
        <f>'[23]Vashon Price Out'!AD98</f>
        <v>55.499827764381678</v>
      </c>
      <c r="E19" s="119">
        <f>[23]References!$C$6</f>
        <v>8.6666666666666661</v>
      </c>
      <c r="F19" s="120">
        <f t="shared" si="11"/>
        <v>480.99850729130782</v>
      </c>
      <c r="G19" s="120">
        <f>[23]References!$C$28</f>
        <v>29</v>
      </c>
      <c r="H19" s="120">
        <f t="shared" si="12"/>
        <v>13948.956711447927</v>
      </c>
      <c r="I19" s="121">
        <f t="shared" si="9"/>
        <v>9630.9638674903217</v>
      </c>
      <c r="J19" s="122">
        <f>I19*[23]References!$D$60</f>
        <v>30.000452447232284</v>
      </c>
      <c r="K19" s="122">
        <f>J19/[23]References!$H$63</f>
        <v>30.615830643159796</v>
      </c>
      <c r="L19" s="122">
        <f t="shared" si="13"/>
        <v>6.365057308715906E-2</v>
      </c>
      <c r="M19" s="230">
        <f>'[23]Vashon Rate Sheet'!$D$162</f>
        <v>3.5300000000000002</v>
      </c>
      <c r="N19" s="233">
        <f t="shared" si="7"/>
        <v>3.5936505730871593</v>
      </c>
      <c r="O19" s="122">
        <f>'[23]Proposed Rates'!E59</f>
        <v>3.46</v>
      </c>
      <c r="P19" s="122">
        <f>F19*M19</f>
        <v>1697.9247307383166</v>
      </c>
      <c r="Q19" s="125">
        <f t="shared" si="10"/>
        <v>1728.5405613814764</v>
      </c>
      <c r="R19" s="126">
        <f t="shared" si="16"/>
        <v>30.615830643159825</v>
      </c>
      <c r="S19" s="115"/>
      <c r="T19" s="232">
        <f t="shared" si="6"/>
        <v>0.13365057308715933</v>
      </c>
      <c r="U19" s="127">
        <f>I19*[23]References!$D$60/[23]References!$H$63</f>
        <v>30.615830643159796</v>
      </c>
      <c r="V19" s="127">
        <f t="shared" si="15"/>
        <v>2.8421709430404007E-14</v>
      </c>
      <c r="W19" s="232"/>
      <c r="X19" s="127"/>
      <c r="Y19" s="127"/>
      <c r="Z19" s="127"/>
      <c r="AA19" s="127"/>
      <c r="AB19" s="127"/>
      <c r="AC19" s="128"/>
    </row>
    <row r="20" spans="1:29" s="112" customFormat="1" x14ac:dyDescent="0.25">
      <c r="A20" s="274"/>
      <c r="B20" s="116" t="s">
        <v>388</v>
      </c>
      <c r="C20" s="148" t="s">
        <v>87</v>
      </c>
      <c r="D20" s="229">
        <f>'[23]Vashon Price Out'!AD99</f>
        <v>36.000000000000007</v>
      </c>
      <c r="E20" s="119">
        <f>[23]References!$C$5</f>
        <v>13</v>
      </c>
      <c r="F20" s="120">
        <f t="shared" si="11"/>
        <v>468.00000000000011</v>
      </c>
      <c r="G20" s="120">
        <f>[23]References!$C$28</f>
        <v>29</v>
      </c>
      <c r="H20" s="120">
        <f t="shared" si="12"/>
        <v>13572.000000000004</v>
      </c>
      <c r="I20" s="121">
        <f t="shared" si="9"/>
        <v>9370.6966272469417</v>
      </c>
      <c r="J20" s="122">
        <f>I20*[23]References!$D$60</f>
        <v>29.189719993874157</v>
      </c>
      <c r="K20" s="122">
        <f>J20/[23]References!$H$63</f>
        <v>29.788468204790444</v>
      </c>
      <c r="L20" s="122">
        <f>K20/F20</f>
        <v>6.365057308715906E-2</v>
      </c>
      <c r="M20" s="230">
        <f>'[23]Vashon Rate Sheet'!$D$162</f>
        <v>3.5300000000000002</v>
      </c>
      <c r="N20" s="233">
        <f t="shared" si="7"/>
        <v>3.5936505730871593</v>
      </c>
      <c r="O20" s="122">
        <f>'[23]Proposed Rates'!E59</f>
        <v>3.46</v>
      </c>
      <c r="P20" s="122">
        <f t="shared" ref="P20:P21" si="17">F20*M20</f>
        <v>1652.0400000000004</v>
      </c>
      <c r="Q20" s="125">
        <f t="shared" si="10"/>
        <v>1681.8284682047909</v>
      </c>
      <c r="R20" s="126">
        <f t="shared" si="16"/>
        <v>29.788468204790433</v>
      </c>
      <c r="S20" s="115"/>
      <c r="T20" s="232">
        <f t="shared" si="6"/>
        <v>0.13365057308715933</v>
      </c>
      <c r="U20" s="127">
        <f>I20*[23]References!$D$60/[23]References!$H$63</f>
        <v>29.788468204790444</v>
      </c>
      <c r="V20" s="127">
        <f t="shared" si="15"/>
        <v>0</v>
      </c>
      <c r="W20" s="232"/>
      <c r="X20" s="127"/>
      <c r="Y20" s="127"/>
      <c r="Z20" s="127"/>
      <c r="AA20" s="127"/>
      <c r="AB20" s="127"/>
      <c r="AC20" s="128"/>
    </row>
    <row r="21" spans="1:29" s="112" customFormat="1" x14ac:dyDescent="0.25">
      <c r="A21" s="274"/>
      <c r="B21" s="116" t="s">
        <v>388</v>
      </c>
      <c r="C21" s="148" t="s">
        <v>89</v>
      </c>
      <c r="D21" s="229">
        <f>'[23]Vashon Price Out'!AD100</f>
        <v>12</v>
      </c>
      <c r="E21" s="119">
        <f>[23]References!$C$4</f>
        <v>17.333333333333332</v>
      </c>
      <c r="F21" s="120">
        <f t="shared" si="11"/>
        <v>208</v>
      </c>
      <c r="G21" s="120">
        <f>[23]References!$C$28</f>
        <v>29</v>
      </c>
      <c r="H21" s="120">
        <f t="shared" si="12"/>
        <v>6032</v>
      </c>
      <c r="I21" s="121">
        <f t="shared" si="9"/>
        <v>4164.7540565541949</v>
      </c>
      <c r="J21" s="122">
        <f>I21*[23]References!$D$60</f>
        <v>12.973208886166287</v>
      </c>
      <c r="K21" s="122">
        <f>J21/[23]References!$H$63</f>
        <v>13.239319202129082</v>
      </c>
      <c r="L21" s="122">
        <f t="shared" si="13"/>
        <v>6.3650573087159046E-2</v>
      </c>
      <c r="M21" s="230">
        <f>'[23]Vashon Rate Sheet'!$D$162</f>
        <v>3.5300000000000002</v>
      </c>
      <c r="N21" s="233">
        <f t="shared" si="7"/>
        <v>3.5936505730871593</v>
      </c>
      <c r="O21" s="122">
        <f>'[23]Proposed Rates'!E59</f>
        <v>3.46</v>
      </c>
      <c r="P21" s="122">
        <f t="shared" si="17"/>
        <v>734.24</v>
      </c>
      <c r="Q21" s="125">
        <f t="shared" si="10"/>
        <v>747.47931920212909</v>
      </c>
      <c r="R21" s="126">
        <f t="shared" si="16"/>
        <v>13.239319202129082</v>
      </c>
      <c r="S21" s="115"/>
      <c r="T21" s="232">
        <f t="shared" si="6"/>
        <v>0.13365057308715933</v>
      </c>
      <c r="U21" s="127">
        <f>I21*[23]References!$D$60/[23]References!$H$63</f>
        <v>13.239319202129082</v>
      </c>
      <c r="V21" s="127">
        <f t="shared" si="15"/>
        <v>0</v>
      </c>
      <c r="W21" s="232"/>
      <c r="X21" s="127"/>
      <c r="Y21" s="127"/>
      <c r="Z21" s="127"/>
      <c r="AA21" s="127"/>
      <c r="AB21" s="127"/>
      <c r="AC21" s="128"/>
    </row>
    <row r="22" spans="1:29" s="112" customFormat="1" x14ac:dyDescent="0.25">
      <c r="A22" s="274"/>
      <c r="B22" s="116">
        <v>35</v>
      </c>
      <c r="C22" s="117" t="s">
        <v>318</v>
      </c>
      <c r="D22" s="237">
        <f>'[23]Vashon Price Out'!AD143</f>
        <v>616.50031908104665</v>
      </c>
      <c r="E22" s="119">
        <f>[23]References!$C$7</f>
        <v>4.333333333333333</v>
      </c>
      <c r="F22" s="120">
        <f t="shared" si="11"/>
        <v>2671.5013826845352</v>
      </c>
      <c r="G22" s="120">
        <f>[23]References!$C$30</f>
        <v>175</v>
      </c>
      <c r="H22" s="120">
        <f t="shared" si="12"/>
        <v>467512.74196979369</v>
      </c>
      <c r="I22" s="121">
        <f t="shared" si="9"/>
        <v>322791.04585700808</v>
      </c>
      <c r="J22" s="122">
        <f>I22*[23]References!$D$60</f>
        <v>1005.4941078445778</v>
      </c>
      <c r="K22" s="122">
        <f>J22/[23]References!$H$63</f>
        <v>1026.1191017905683</v>
      </c>
      <c r="L22" s="122">
        <f>N22-M22</f>
        <v>1.6644259054400834</v>
      </c>
      <c r="M22" s="230">
        <f>'[23]Vashon Rate Sheet'!D136*E22</f>
        <v>82.59333333333332</v>
      </c>
      <c r="N22" s="233">
        <f>W22</f>
        <v>84.257759238773403</v>
      </c>
      <c r="O22" s="122">
        <f>'[23]Proposed Rates'!E42</f>
        <v>79.92370922311234</v>
      </c>
      <c r="P22" s="122">
        <f>D22*M22</f>
        <v>50918.816353967239</v>
      </c>
      <c r="Q22" s="125">
        <f>D22*N22</f>
        <v>51944.935455757812</v>
      </c>
      <c r="R22" s="126">
        <f t="shared" si="16"/>
        <v>1026.119101790573</v>
      </c>
      <c r="S22" s="115"/>
      <c r="T22" s="232">
        <f t="shared" si="6"/>
        <v>4.3340500156610631</v>
      </c>
      <c r="U22" s="127">
        <f>I22*[23]References!$D$60/[23]References!$H$63</f>
        <v>1026.1191017905683</v>
      </c>
      <c r="V22" s="127">
        <f t="shared" si="15"/>
        <v>4.7748471843078732E-12</v>
      </c>
      <c r="W22" s="232">
        <f>'[23]Vashon Rate Sheet'!F136*[23]References!C7</f>
        <v>84.257759238773403</v>
      </c>
      <c r="X22" s="127"/>
      <c r="Y22" s="127"/>
      <c r="Z22" s="127"/>
      <c r="AA22" s="127"/>
      <c r="AB22" s="127"/>
      <c r="AC22" s="128"/>
    </row>
    <row r="23" spans="1:29" s="112" customFormat="1" x14ac:dyDescent="0.25">
      <c r="A23" s="274"/>
      <c r="B23" s="116">
        <v>35</v>
      </c>
      <c r="C23" s="117" t="s">
        <v>319</v>
      </c>
      <c r="D23" s="237">
        <f>'[23]Vashon Price Out'!AD137</f>
        <v>186.00040342914775</v>
      </c>
      <c r="E23" s="119">
        <f>[23]References!$C$7</f>
        <v>4.333333333333333</v>
      </c>
      <c r="F23" s="120">
        <f t="shared" si="11"/>
        <v>806.00174819297354</v>
      </c>
      <c r="G23" s="120">
        <f>[23]References!$C$31</f>
        <v>250</v>
      </c>
      <c r="H23" s="120">
        <f t="shared" si="12"/>
        <v>201500.43704824339</v>
      </c>
      <c r="I23" s="121">
        <f t="shared" si="9"/>
        <v>139124.62907727368</v>
      </c>
      <c r="J23" s="122">
        <f>I23*[23]References!$D$60</f>
        <v>433.37321957570651</v>
      </c>
      <c r="K23" s="122">
        <f>J23/[23]References!$H$63</f>
        <v>442.26269984254162</v>
      </c>
      <c r="L23" s="122">
        <f>K23/F23*E23</f>
        <v>2.3777512934858263</v>
      </c>
      <c r="M23" s="230">
        <f>'[23]Vashon Rate Sheet'!D137*E23</f>
        <v>104.51999999999998</v>
      </c>
      <c r="N23" s="233">
        <f t="shared" si="7"/>
        <v>106.89775129348581</v>
      </c>
      <c r="O23" s="122">
        <f>'[23]Proposed Rates'!E43</f>
        <v>101.45815603301763</v>
      </c>
      <c r="P23" s="122">
        <f t="shared" ref="P23:P25" si="18">D23*M23</f>
        <v>19440.762166414519</v>
      </c>
      <c r="Q23" s="125">
        <f>D23*N23</f>
        <v>19883.024866257063</v>
      </c>
      <c r="R23" s="126">
        <f t="shared" si="16"/>
        <v>442.26269984254395</v>
      </c>
      <c r="S23" s="115"/>
      <c r="T23" s="232">
        <f t="shared" si="6"/>
        <v>5.439595260468181</v>
      </c>
      <c r="U23" s="127">
        <f>I23*[23]References!$D$60/[23]References!$H$63</f>
        <v>442.26269984254162</v>
      </c>
      <c r="V23" s="127">
        <f t="shared" si="15"/>
        <v>2.3305801732931286E-12</v>
      </c>
      <c r="W23" s="232">
        <f>N24*[23]References!C7</f>
        <v>106.89775129348581</v>
      </c>
      <c r="X23" s="127"/>
      <c r="Y23" s="127"/>
      <c r="Z23" s="127"/>
      <c r="AA23" s="127"/>
      <c r="AB23" s="127"/>
      <c r="AC23" s="128"/>
    </row>
    <row r="24" spans="1:29" s="112" customFormat="1" x14ac:dyDescent="0.25">
      <c r="A24" s="274"/>
      <c r="B24" s="116" t="s">
        <v>388</v>
      </c>
      <c r="C24" s="117" t="s">
        <v>320</v>
      </c>
      <c r="D24" s="237">
        <f>'[23]Vashon Price Out'!AD138</f>
        <v>33.875031519491657</v>
      </c>
      <c r="E24" s="119">
        <f>[23]References!$C$6</f>
        <v>8.6666666666666661</v>
      </c>
      <c r="F24" s="120">
        <f t="shared" si="11"/>
        <v>293.58360650226098</v>
      </c>
      <c r="G24" s="120">
        <f>[23]References!$C$31</f>
        <v>250</v>
      </c>
      <c r="H24" s="120">
        <f t="shared" si="12"/>
        <v>73395.901625565239</v>
      </c>
      <c r="I24" s="121">
        <f t="shared" si="9"/>
        <v>50675.709388183932</v>
      </c>
      <c r="J24" s="122">
        <f>I24*[23]References!$D$60</f>
        <v>157.85483474419257</v>
      </c>
      <c r="K24" s="122">
        <f>J24/[23]References!$H$63</f>
        <v>161.09280002468881</v>
      </c>
      <c r="L24" s="122">
        <f>K24/F24</f>
        <v>0.54871183695826764</v>
      </c>
      <c r="M24" s="230">
        <f>'[23]Vashon Rate Sheet'!D137</f>
        <v>24.119999999999997</v>
      </c>
      <c r="N24" s="233">
        <f>L24+M24</f>
        <v>24.668711836958266</v>
      </c>
      <c r="O24" s="122">
        <f>'[23]Proposed Rates'!E38</f>
        <v>23.430000000000003</v>
      </c>
      <c r="P24" s="122">
        <f>F24*M24</f>
        <v>7081.2365888345339</v>
      </c>
      <c r="Q24" s="125">
        <f t="shared" ref="Q24" si="19">F24*N24</f>
        <v>7242.3293888592234</v>
      </c>
      <c r="R24" s="126">
        <f t="shared" si="16"/>
        <v>161.0928000246895</v>
      </c>
      <c r="S24" s="115"/>
      <c r="T24" s="232">
        <f>N24-O24</f>
        <v>1.238711836958263</v>
      </c>
      <c r="U24" s="127">
        <f>I24*[23]References!$D$60/[23]References!$H$63</f>
        <v>161.09280002468881</v>
      </c>
      <c r="V24" s="127">
        <f t="shared" si="15"/>
        <v>6.8212102632969618E-13</v>
      </c>
      <c r="W24" s="232"/>
      <c r="X24" s="127"/>
      <c r="Y24" s="127"/>
      <c r="Z24" s="127"/>
      <c r="AA24" s="127"/>
      <c r="AB24" s="127"/>
      <c r="AC24" s="128"/>
    </row>
    <row r="25" spans="1:29" s="112" customFormat="1" x14ac:dyDescent="0.25">
      <c r="A25" s="274"/>
      <c r="B25" s="116">
        <v>35</v>
      </c>
      <c r="C25" s="117" t="s">
        <v>321</v>
      </c>
      <c r="D25" s="237">
        <f>'[23]Vashon Price Out'!AD149</f>
        <v>638.50025382551303</v>
      </c>
      <c r="E25" s="119">
        <f>[23]References!$C$7</f>
        <v>4.333333333333333</v>
      </c>
      <c r="F25" s="120">
        <f t="shared" si="11"/>
        <v>2766.8344332438896</v>
      </c>
      <c r="G25" s="120">
        <f>[23]References!$C$32</f>
        <v>324</v>
      </c>
      <c r="H25" s="120">
        <f t="shared" si="12"/>
        <v>896454.3563710202</v>
      </c>
      <c r="I25" s="121">
        <f t="shared" si="9"/>
        <v>618950.91465714294</v>
      </c>
      <c r="J25" s="122">
        <f>I25*[23]References!$D$60</f>
        <v>1928.0320991569959</v>
      </c>
      <c r="K25" s="122">
        <f>J25/[23]References!$H$63</f>
        <v>1967.580466534336</v>
      </c>
      <c r="L25" s="233">
        <f>K25/F25*E25</f>
        <v>3.0815656763576307</v>
      </c>
      <c r="M25" s="230">
        <f>'[23]Vashon Rate Sheet'!D138*'DF Calculation from TG-180955'!E25</f>
        <v>145.3833333333333</v>
      </c>
      <c r="N25" s="233">
        <f t="shared" si="7"/>
        <v>148.46489900969092</v>
      </c>
      <c r="O25" s="122">
        <f>'[23]Proposed Rates'!E44</f>
        <v>140.85121021879084</v>
      </c>
      <c r="P25" s="122">
        <f t="shared" si="18"/>
        <v>92827.29523533248</v>
      </c>
      <c r="Q25" s="125">
        <f>D25*N25</f>
        <v>94794.875701866811</v>
      </c>
      <c r="R25" s="126">
        <f t="shared" si="16"/>
        <v>1967.5804665343312</v>
      </c>
      <c r="S25" s="115"/>
      <c r="T25" s="232">
        <f t="shared" si="6"/>
        <v>7.6136887909000848</v>
      </c>
      <c r="U25" s="127">
        <f>I25*[23]References!$D$60/[23]References!$H$63</f>
        <v>1967.580466534336</v>
      </c>
      <c r="V25" s="127">
        <f t="shared" si="15"/>
        <v>-4.7748471843078732E-12</v>
      </c>
      <c r="W25" s="232">
        <f>N26*[23]References!C7</f>
        <v>148.46489900969095</v>
      </c>
      <c r="X25" s="127"/>
      <c r="Y25" s="127"/>
      <c r="Z25" s="127"/>
      <c r="AA25" s="127"/>
      <c r="AB25" s="127"/>
      <c r="AC25" s="128"/>
    </row>
    <row r="26" spans="1:29" s="112" customFormat="1" x14ac:dyDescent="0.25">
      <c r="A26" s="274"/>
      <c r="B26" s="116" t="s">
        <v>388</v>
      </c>
      <c r="C26" s="148" t="s">
        <v>90</v>
      </c>
      <c r="D26" s="237">
        <f>'[23]Vashon Price Out'!AD150</f>
        <v>267.8750407948653</v>
      </c>
      <c r="E26" s="119">
        <f>[23]References!$C$6</f>
        <v>8.6666666666666661</v>
      </c>
      <c r="F26" s="120">
        <f t="shared" si="11"/>
        <v>2321.5836868888323</v>
      </c>
      <c r="G26" s="120">
        <f>[23]References!$C$32</f>
        <v>324</v>
      </c>
      <c r="H26" s="120">
        <f t="shared" si="12"/>
        <v>752193.11455198168</v>
      </c>
      <c r="I26" s="121">
        <f t="shared" si="9"/>
        <v>519346.70509656827</v>
      </c>
      <c r="J26" s="122">
        <f>I26*[23]References!$D$60</f>
        <v>1617.7649863758063</v>
      </c>
      <c r="K26" s="122">
        <f>J26/[23]References!$H$63</f>
        <v>1650.9490625327139</v>
      </c>
      <c r="L26" s="122">
        <f t="shared" si="13"/>
        <v>0.71113054069791481</v>
      </c>
      <c r="M26" s="230">
        <f>'[23]Vashon Rate Sheet'!$D$138</f>
        <v>33.549999999999997</v>
      </c>
      <c r="N26" s="233">
        <f t="shared" si="7"/>
        <v>34.261130540697913</v>
      </c>
      <c r="O26" s="122">
        <f>'[23]Proposed Rates'!$E$39</f>
        <v>32.53</v>
      </c>
      <c r="P26" s="122">
        <f t="shared" si="14"/>
        <v>77889.132695120323</v>
      </c>
      <c r="Q26" s="125">
        <f t="shared" si="10"/>
        <v>79540.081757653039</v>
      </c>
      <c r="R26" s="126">
        <f t="shared" si="16"/>
        <v>1650.9490625327162</v>
      </c>
      <c r="S26" s="115"/>
      <c r="T26" s="232">
        <f t="shared" si="6"/>
        <v>1.7311305406979116</v>
      </c>
      <c r="U26" s="127">
        <f>I26*[23]References!$D$60/[23]References!$H$63</f>
        <v>1650.9490625327139</v>
      </c>
      <c r="V26" s="127">
        <f t="shared" si="15"/>
        <v>2.2737367544323206E-12</v>
      </c>
      <c r="W26" s="232"/>
      <c r="X26" s="127"/>
      <c r="Y26" s="127"/>
      <c r="Z26" s="127"/>
      <c r="AA26" s="127"/>
      <c r="AB26" s="127"/>
      <c r="AC26" s="128"/>
    </row>
    <row r="27" spans="1:29" s="112" customFormat="1" x14ac:dyDescent="0.25">
      <c r="A27" s="274"/>
      <c r="B27" s="116" t="s">
        <v>388</v>
      </c>
      <c r="C27" s="117" t="s">
        <v>91</v>
      </c>
      <c r="D27" s="237">
        <f>'[23]Vashon Price Out'!AD151</f>
        <v>74</v>
      </c>
      <c r="E27" s="119">
        <f>[23]References!$C$5</f>
        <v>13</v>
      </c>
      <c r="F27" s="120">
        <f t="shared" si="11"/>
        <v>962</v>
      </c>
      <c r="G27" s="120">
        <f>[23]References!$C$32</f>
        <v>324</v>
      </c>
      <c r="H27" s="120">
        <f t="shared" si="12"/>
        <v>311688</v>
      </c>
      <c r="I27" s="121">
        <f t="shared" si="9"/>
        <v>215202.89495677451</v>
      </c>
      <c r="J27" s="122">
        <f>I27*[23]References!$D$60</f>
        <v>670.35701779035105</v>
      </c>
      <c r="K27" s="122">
        <f>J27/[23]References!$H$63</f>
        <v>684.10758015139413</v>
      </c>
      <c r="L27" s="122">
        <f t="shared" si="13"/>
        <v>0.71113054069791493</v>
      </c>
      <c r="M27" s="230">
        <f>'[23]Vashon Rate Sheet'!$D$138</f>
        <v>33.549999999999997</v>
      </c>
      <c r="N27" s="233">
        <f t="shared" si="7"/>
        <v>34.261130540697913</v>
      </c>
      <c r="O27" s="122">
        <f>'[23]Proposed Rates'!$E$39</f>
        <v>32.53</v>
      </c>
      <c r="P27" s="122">
        <f t="shared" si="14"/>
        <v>32275.1</v>
      </c>
      <c r="Q27" s="125">
        <f t="shared" si="10"/>
        <v>32959.207580151393</v>
      </c>
      <c r="R27" s="126">
        <f t="shared" si="16"/>
        <v>684.10758015139436</v>
      </c>
      <c r="S27" s="115"/>
      <c r="T27" s="232">
        <f t="shared" si="6"/>
        <v>1.7311305406979116</v>
      </c>
      <c r="U27" s="127">
        <f>I27*[23]References!$D$60/[23]References!$H$63</f>
        <v>684.10758015139413</v>
      </c>
      <c r="V27" s="127">
        <f t="shared" si="15"/>
        <v>0</v>
      </c>
      <c r="W27" s="232"/>
      <c r="X27" s="127"/>
      <c r="Y27" s="127"/>
      <c r="Z27" s="127"/>
      <c r="AA27" s="127"/>
      <c r="AB27" s="127"/>
      <c r="AC27" s="128"/>
    </row>
    <row r="28" spans="1:29" s="112" customFormat="1" x14ac:dyDescent="0.25">
      <c r="A28" s="274"/>
      <c r="B28" s="116" t="s">
        <v>388</v>
      </c>
      <c r="C28" s="117" t="s">
        <v>322</v>
      </c>
      <c r="D28" s="237">
        <f>'[23]Vashon Price Out'!AD152</f>
        <v>15.749995467319373</v>
      </c>
      <c r="E28" s="119">
        <f>[23]References!$C$4</f>
        <v>17.333333333333332</v>
      </c>
      <c r="F28" s="120">
        <f t="shared" si="11"/>
        <v>272.9999214335358</v>
      </c>
      <c r="G28" s="120">
        <f>[23]References!$C$32</f>
        <v>324</v>
      </c>
      <c r="H28" s="120">
        <f t="shared" si="12"/>
        <v>88451.9745444656</v>
      </c>
      <c r="I28" s="121">
        <f t="shared" si="9"/>
        <v>61071.074236454158</v>
      </c>
      <c r="J28" s="122">
        <f>I28*[23]References!$D$60</f>
        <v>190.23639624655425</v>
      </c>
      <c r="K28" s="122">
        <f>J28/[23]References!$H$63</f>
        <v>194.13858173951857</v>
      </c>
      <c r="L28" s="122">
        <f t="shared" si="13"/>
        <v>0.71113054069791481</v>
      </c>
      <c r="M28" s="230">
        <f>'[23]Vashon Rate Sheet'!$D$138</f>
        <v>33.549999999999997</v>
      </c>
      <c r="N28" s="233">
        <f t="shared" si="7"/>
        <v>34.261130540697913</v>
      </c>
      <c r="O28" s="122">
        <f>'[23]Proposed Rates'!$E$39</f>
        <v>32.53</v>
      </c>
      <c r="P28" s="122">
        <f t="shared" si="14"/>
        <v>9159.1473640951262</v>
      </c>
      <c r="Q28" s="125">
        <f t="shared" si="10"/>
        <v>9353.2859458346447</v>
      </c>
      <c r="R28" s="126">
        <f t="shared" si="16"/>
        <v>194.13858173951849</v>
      </c>
      <c r="S28" s="115"/>
      <c r="T28" s="232">
        <f t="shared" si="6"/>
        <v>1.7311305406979116</v>
      </c>
      <c r="U28" s="127">
        <f>I28*[23]References!$D$60/[23]References!$H$63</f>
        <v>194.13858173951857</v>
      </c>
      <c r="V28" s="127">
        <f t="shared" si="15"/>
        <v>0</v>
      </c>
      <c r="W28" s="232"/>
      <c r="X28" s="127"/>
      <c r="Y28" s="127"/>
      <c r="Z28" s="127"/>
      <c r="AA28" s="127"/>
      <c r="AB28" s="127"/>
      <c r="AC28" s="128"/>
    </row>
    <row r="29" spans="1:29" s="112" customFormat="1" x14ac:dyDescent="0.25">
      <c r="A29" s="274"/>
      <c r="B29" s="116">
        <v>35</v>
      </c>
      <c r="C29" s="117" t="s">
        <v>323</v>
      </c>
      <c r="D29" s="237">
        <f>'[23]Vashon Price Out'!AD148</f>
        <v>3</v>
      </c>
      <c r="E29" s="119">
        <f>[23]References!C11</f>
        <v>4</v>
      </c>
      <c r="F29" s="120">
        <f t="shared" si="11"/>
        <v>12</v>
      </c>
      <c r="G29" s="120">
        <f>[23]References!$C$30</f>
        <v>175</v>
      </c>
      <c r="H29" s="120">
        <f t="shared" si="12"/>
        <v>2100</v>
      </c>
      <c r="I29" s="121">
        <f t="shared" si="9"/>
        <v>1449.9309547022231</v>
      </c>
      <c r="J29" s="122">
        <f>I29*[23]References!$D$60</f>
        <v>4.5165349238974146</v>
      </c>
      <c r="K29" s="122">
        <f>J29/[23]References!$H$63</f>
        <v>4.6091794304494487</v>
      </c>
      <c r="L29" s="122">
        <f t="shared" si="13"/>
        <v>0.38409828587078737</v>
      </c>
      <c r="M29" s="230">
        <f>'[23]Vashon Rate Sheet'!D153</f>
        <v>21.169999999999998</v>
      </c>
      <c r="N29" s="233">
        <f t="shared" si="7"/>
        <v>21.554098285870786</v>
      </c>
      <c r="O29" s="122">
        <f>'[23]Proposed Rates'!E52</f>
        <v>20.46</v>
      </c>
      <c r="P29" s="122">
        <f t="shared" si="14"/>
        <v>254.03999999999996</v>
      </c>
      <c r="Q29" s="125">
        <f t="shared" si="10"/>
        <v>258.64917943044941</v>
      </c>
      <c r="R29" s="126">
        <f t="shared" si="16"/>
        <v>4.6091794304494442</v>
      </c>
      <c r="S29" s="115"/>
      <c r="T29" s="232">
        <f t="shared" si="6"/>
        <v>1.0940982858707855</v>
      </c>
      <c r="U29" s="127">
        <f>I29*[23]References!$D$60/[23]References!$H$63</f>
        <v>4.6091794304494487</v>
      </c>
      <c r="V29" s="127">
        <f t="shared" si="15"/>
        <v>0</v>
      </c>
      <c r="W29" s="232"/>
      <c r="X29" s="127"/>
      <c r="Y29" s="127"/>
      <c r="Z29" s="127"/>
      <c r="AA29" s="127"/>
      <c r="AB29" s="127"/>
      <c r="AC29" s="128"/>
    </row>
    <row r="30" spans="1:29" s="112" customFormat="1" x14ac:dyDescent="0.25">
      <c r="A30" s="274"/>
      <c r="B30" s="116">
        <v>35</v>
      </c>
      <c r="C30" s="117" t="s">
        <v>324</v>
      </c>
      <c r="D30" s="237">
        <f>'[23]Vashon Price Out'!AD156</f>
        <v>7.75</v>
      </c>
      <c r="E30" s="119">
        <f>[23]References!C11</f>
        <v>4</v>
      </c>
      <c r="F30" s="120">
        <f t="shared" si="11"/>
        <v>31</v>
      </c>
      <c r="G30" s="120">
        <f>[23]References!$C$32</f>
        <v>324</v>
      </c>
      <c r="H30" s="120">
        <f t="shared" si="12"/>
        <v>10044</v>
      </c>
      <c r="I30" s="121">
        <f t="shared" si="9"/>
        <v>6934.812623347204</v>
      </c>
      <c r="J30" s="122">
        <f>I30*[23]References!$D$60</f>
        <v>21.601941321726489</v>
      </c>
      <c r="K30" s="122">
        <f>J30/[23]References!$H$63</f>
        <v>22.045046761635358</v>
      </c>
      <c r="L30" s="122">
        <f t="shared" si="13"/>
        <v>0.71113054069791481</v>
      </c>
      <c r="M30" s="230">
        <f>'[23]Vashon Rate Sheet'!D155</f>
        <v>35.65</v>
      </c>
      <c r="N30" s="233">
        <f t="shared" si="7"/>
        <v>36.361130540697914</v>
      </c>
      <c r="O30" s="122">
        <f>'[23]Proposed Rates'!E54</f>
        <v>34.53</v>
      </c>
      <c r="P30" s="122">
        <f>F30*M30</f>
        <v>1105.1499999999999</v>
      </c>
      <c r="Q30" s="125">
        <f t="shared" si="10"/>
        <v>1127.1950467616352</v>
      </c>
      <c r="R30" s="126">
        <f t="shared" si="16"/>
        <v>22.045046761635376</v>
      </c>
      <c r="S30" s="115"/>
      <c r="T30" s="232">
        <f t="shared" si="6"/>
        <v>1.831130540697913</v>
      </c>
      <c r="U30" s="127">
        <f>I30*[23]References!$D$60/[23]References!$H$63</f>
        <v>22.045046761635358</v>
      </c>
      <c r="V30" s="127">
        <f t="shared" si="15"/>
        <v>0</v>
      </c>
      <c r="W30" s="232"/>
      <c r="X30" s="127"/>
      <c r="Y30" s="127"/>
      <c r="Z30" s="127"/>
      <c r="AA30" s="127"/>
      <c r="AB30" s="127"/>
      <c r="AC30" s="128"/>
    </row>
    <row r="31" spans="1:29" s="112" customFormat="1" x14ac:dyDescent="0.25">
      <c r="A31" s="274"/>
      <c r="B31" s="116">
        <v>35</v>
      </c>
      <c r="C31" s="117" t="s">
        <v>325</v>
      </c>
      <c r="D31" s="237">
        <f>'[23]Vashon Price Out'!AD147</f>
        <v>8.2488938053097343</v>
      </c>
      <c r="E31" s="119">
        <f>[23]References!$C$10</f>
        <v>1</v>
      </c>
      <c r="F31" s="120">
        <f t="shared" si="11"/>
        <v>8.2488938053097343</v>
      </c>
      <c r="G31" s="120">
        <f>[23]References!$C$30</f>
        <v>175</v>
      </c>
      <c r="H31" s="120">
        <f t="shared" si="12"/>
        <v>1443.5564159292035</v>
      </c>
      <c r="I31" s="121">
        <f t="shared" si="9"/>
        <v>996.693872530833</v>
      </c>
      <c r="J31" s="122">
        <f>I31*[23]References!$D$60</f>
        <v>3.1047014129335375</v>
      </c>
      <c r="K31" s="122">
        <f>J31/[23]References!$H$63</f>
        <v>3.1683859709496249</v>
      </c>
      <c r="L31" s="122">
        <f t="shared" si="13"/>
        <v>0.38409828587078731</v>
      </c>
      <c r="M31" s="230">
        <f>'[23]Vashon Rate Sheet'!D136</f>
        <v>19.059999999999999</v>
      </c>
      <c r="N31" s="233">
        <f t="shared" si="7"/>
        <v>19.444098285870787</v>
      </c>
      <c r="O31" s="122">
        <f>'[23]Proposed Rates'!E37</f>
        <v>18.46</v>
      </c>
      <c r="P31" s="122">
        <f t="shared" si="14"/>
        <v>157.22391592920351</v>
      </c>
      <c r="Q31" s="125">
        <f t="shared" si="10"/>
        <v>160.39230190015314</v>
      </c>
      <c r="R31" s="126">
        <f t="shared" si="16"/>
        <v>3.1683859709496289</v>
      </c>
      <c r="S31" s="115"/>
      <c r="T31" s="232">
        <f t="shared" si="6"/>
        <v>0.98409828587078607</v>
      </c>
      <c r="U31" s="127">
        <f>I31*[23]References!$D$60/[23]References!$H$63</f>
        <v>3.1683859709496249</v>
      </c>
      <c r="V31" s="127">
        <f t="shared" si="15"/>
        <v>3.9968028886505635E-15</v>
      </c>
      <c r="W31" s="232"/>
      <c r="X31" s="127"/>
      <c r="Y31" s="127"/>
      <c r="Z31" s="127"/>
      <c r="AA31" s="127"/>
      <c r="AB31" s="127"/>
      <c r="AC31" s="128"/>
    </row>
    <row r="32" spans="1:29" s="112" customFormat="1" x14ac:dyDescent="0.25">
      <c r="A32" s="274"/>
      <c r="B32" s="116">
        <v>35</v>
      </c>
      <c r="C32" s="117" t="s">
        <v>326</v>
      </c>
      <c r="D32" s="237">
        <f>'[23]Vashon Price Out'!AD141</f>
        <v>3</v>
      </c>
      <c r="E32" s="119">
        <f>[23]References!$C$10</f>
        <v>1</v>
      </c>
      <c r="F32" s="120">
        <f t="shared" si="11"/>
        <v>3</v>
      </c>
      <c r="G32" s="120">
        <f>[23]References!$C$31</f>
        <v>250</v>
      </c>
      <c r="H32" s="120">
        <f t="shared" si="12"/>
        <v>750</v>
      </c>
      <c r="I32" s="121">
        <f t="shared" si="9"/>
        <v>517.83248382222257</v>
      </c>
      <c r="J32" s="122">
        <f>I32*[23]References!$D$60</f>
        <v>1.6130481871062197</v>
      </c>
      <c r="K32" s="122">
        <f>J32/[23]References!$H$63</f>
        <v>1.6461355108748033</v>
      </c>
      <c r="L32" s="122">
        <f t="shared" si="13"/>
        <v>0.54871183695826775</v>
      </c>
      <c r="M32" s="230">
        <f>'[23]Vashon Rate Sheet'!D137</f>
        <v>24.119999999999997</v>
      </c>
      <c r="N32" s="233">
        <f t="shared" si="7"/>
        <v>24.668711836958266</v>
      </c>
      <c r="O32" s="122">
        <f>'[23]Proposed Rates'!E38</f>
        <v>23.430000000000003</v>
      </c>
      <c r="P32" s="122">
        <f t="shared" si="14"/>
        <v>72.359999999999985</v>
      </c>
      <c r="Q32" s="125">
        <f t="shared" si="10"/>
        <v>74.006135510874799</v>
      </c>
      <c r="R32" s="126">
        <f t="shared" si="16"/>
        <v>1.6461355108748137</v>
      </c>
      <c r="S32" s="115"/>
      <c r="T32" s="232">
        <f t="shared" si="6"/>
        <v>1.238711836958263</v>
      </c>
      <c r="U32" s="127">
        <f>I32*[23]References!$D$60/[23]References!$H$63</f>
        <v>1.6461355108748033</v>
      </c>
      <c r="V32" s="127">
        <f t="shared" si="15"/>
        <v>1.0436096431476471E-14</v>
      </c>
      <c r="W32" s="232"/>
      <c r="X32" s="127"/>
      <c r="Y32" s="127"/>
      <c r="Z32" s="127"/>
      <c r="AA32" s="127"/>
      <c r="AB32" s="127"/>
      <c r="AC32" s="128"/>
    </row>
    <row r="33" spans="1:31" s="112" customFormat="1" x14ac:dyDescent="0.25">
      <c r="A33" s="274"/>
      <c r="B33" s="116">
        <v>35</v>
      </c>
      <c r="C33" s="117" t="s">
        <v>327</v>
      </c>
      <c r="D33" s="237">
        <f>'[23]Vashon Price Out'!AD155</f>
        <v>3.9484600879949721</v>
      </c>
      <c r="E33" s="119">
        <f>[23]References!$C$10</f>
        <v>1</v>
      </c>
      <c r="F33" s="120">
        <f t="shared" si="11"/>
        <v>3.9484600879949721</v>
      </c>
      <c r="G33" s="120">
        <f>[23]References!$C$32</f>
        <v>324</v>
      </c>
      <c r="H33" s="120">
        <f t="shared" si="12"/>
        <v>1279.3010685103709</v>
      </c>
      <c r="I33" s="121">
        <f t="shared" si="9"/>
        <v>883.28486648419812</v>
      </c>
      <c r="J33" s="122">
        <f>I33*[23]References!$D$60</f>
        <v>2.7514323590982706</v>
      </c>
      <c r="K33" s="122">
        <f>J33/[23]References!$H$63</f>
        <v>2.8078705573000007</v>
      </c>
      <c r="L33" s="122">
        <f t="shared" si="13"/>
        <v>0.71113054069791481</v>
      </c>
      <c r="M33" s="230">
        <f>'[23]Vashon Rate Sheet'!D138</f>
        <v>33.549999999999997</v>
      </c>
      <c r="N33" s="233">
        <f t="shared" si="7"/>
        <v>34.261130540697913</v>
      </c>
      <c r="O33" s="122">
        <f>'[23]Proposed Rates'!E39</f>
        <v>32.53</v>
      </c>
      <c r="P33" s="122">
        <f t="shared" si="14"/>
        <v>132.47083595223131</v>
      </c>
      <c r="Q33" s="125">
        <f t="shared" si="10"/>
        <v>135.2787065095313</v>
      </c>
      <c r="R33" s="126">
        <f t="shared" si="16"/>
        <v>2.8078705572999922</v>
      </c>
      <c r="S33" s="115"/>
      <c r="T33" s="232">
        <f t="shared" si="6"/>
        <v>1.7311305406979116</v>
      </c>
      <c r="U33" s="127">
        <f>I33*[23]References!$D$60/[23]References!$H$63</f>
        <v>2.8078705573000007</v>
      </c>
      <c r="V33" s="127">
        <f t="shared" si="15"/>
        <v>-8.4376949871511897E-15</v>
      </c>
      <c r="W33" s="232"/>
      <c r="X33" s="127"/>
      <c r="Y33" s="127"/>
      <c r="Z33" s="127"/>
      <c r="AA33" s="127"/>
      <c r="AB33" s="127"/>
      <c r="AC33" s="128"/>
    </row>
    <row r="34" spans="1:31" s="112" customFormat="1" x14ac:dyDescent="0.25">
      <c r="A34" s="274"/>
      <c r="B34" s="116">
        <v>35</v>
      </c>
      <c r="C34" s="117" t="s">
        <v>389</v>
      </c>
      <c r="D34" s="237">
        <f>'[23]Vashon Price Out'!AD146</f>
        <v>489.75038245792962</v>
      </c>
      <c r="E34" s="119">
        <f>[23]References!$C$8</f>
        <v>2.1666666666666665</v>
      </c>
      <c r="F34" s="120">
        <f t="shared" si="11"/>
        <v>1061.1258286588475</v>
      </c>
      <c r="G34" s="120">
        <f>[23]References!$C$30</f>
        <v>175</v>
      </c>
      <c r="H34" s="120">
        <f t="shared" si="12"/>
        <v>185697.0200152983</v>
      </c>
      <c r="I34" s="121">
        <f t="shared" si="9"/>
        <v>128213.26548387585</v>
      </c>
      <c r="J34" s="122">
        <f>I34*[23]References!$D$60</f>
        <v>399.38432198227235</v>
      </c>
      <c r="K34" s="122">
        <f>J34/[23]References!$H$63</f>
        <v>407.5766118810821</v>
      </c>
      <c r="L34" s="122">
        <f t="shared" ref="L34:L36" si="20">K34/F34*E34</f>
        <v>0.83221295272003915</v>
      </c>
      <c r="M34" s="230">
        <f>'[23]Vashon Rate Sheet'!D136*2.17</f>
        <v>41.360199999999999</v>
      </c>
      <c r="N34" s="233">
        <f t="shared" si="7"/>
        <v>42.192412952720041</v>
      </c>
      <c r="O34" s="122">
        <f>'[23]Proposed Rates'!E47</f>
        <v>40.049999999999997</v>
      </c>
      <c r="P34" s="122">
        <f>D34*M34</f>
        <v>20256.173768536461</v>
      </c>
      <c r="Q34" s="125">
        <f>D34*N34</f>
        <v>20663.750380417543</v>
      </c>
      <c r="R34" s="126">
        <f t="shared" si="16"/>
        <v>407.5766118810825</v>
      </c>
      <c r="S34" s="115"/>
      <c r="T34" s="232">
        <f t="shared" si="6"/>
        <v>2.1424129527200435</v>
      </c>
      <c r="U34" s="127">
        <f>I34*[23]References!$D$60/[23]References!$H$63</f>
        <v>407.5766118810821</v>
      </c>
      <c r="V34" s="127">
        <f t="shared" si="15"/>
        <v>0</v>
      </c>
      <c r="W34" s="232"/>
      <c r="X34" s="127"/>
      <c r="Y34" s="127"/>
      <c r="Z34" s="127"/>
      <c r="AA34" s="127"/>
      <c r="AB34" s="127"/>
      <c r="AC34" s="128"/>
    </row>
    <row r="35" spans="1:31" s="112" customFormat="1" x14ac:dyDescent="0.25">
      <c r="A35" s="274"/>
      <c r="B35" s="116">
        <v>35</v>
      </c>
      <c r="C35" s="117" t="s">
        <v>101</v>
      </c>
      <c r="D35" s="237">
        <f>'[23]Vashon Price Out'!AD140</f>
        <v>34</v>
      </c>
      <c r="E35" s="119">
        <f>[23]References!$C$8</f>
        <v>2.1666666666666665</v>
      </c>
      <c r="F35" s="120">
        <f t="shared" si="11"/>
        <v>73.666666666666657</v>
      </c>
      <c r="G35" s="120">
        <f>[23]References!$C$31</f>
        <v>250</v>
      </c>
      <c r="H35" s="120">
        <f t="shared" si="12"/>
        <v>18416.666666666664</v>
      </c>
      <c r="I35" s="121">
        <f t="shared" si="9"/>
        <v>12715.664324967907</v>
      </c>
      <c r="J35" s="122">
        <f>I35*[23]References!$D$60</f>
        <v>39.609294372274938</v>
      </c>
      <c r="K35" s="122">
        <f>J35/[23]References!$H$63</f>
        <v>40.421771989259042</v>
      </c>
      <c r="L35" s="122">
        <f t="shared" si="20"/>
        <v>1.1888756467429131</v>
      </c>
      <c r="M35" s="230">
        <f>'[23]Vashon Rate Sheet'!D137*2.17</f>
        <v>52.340399999999995</v>
      </c>
      <c r="N35" s="233">
        <f>L35+M35</f>
        <v>53.52927564674291</v>
      </c>
      <c r="O35" s="122">
        <f>'[23]Proposed Rates'!E48</f>
        <v>50.84</v>
      </c>
      <c r="P35" s="122">
        <f t="shared" ref="P35:P36" si="21">D35*M35</f>
        <v>1779.5735999999999</v>
      </c>
      <c r="Q35" s="125">
        <f t="shared" ref="Q35:Q36" si="22">D35*N35</f>
        <v>1819.995371989259</v>
      </c>
      <c r="R35" s="126">
        <f t="shared" si="16"/>
        <v>40.421771989259014</v>
      </c>
      <c r="S35" s="115"/>
      <c r="T35" s="232">
        <f t="shared" si="6"/>
        <v>2.6892756467429066</v>
      </c>
      <c r="U35" s="127">
        <f>I35*[23]References!$D$60/[23]References!$H$63</f>
        <v>40.421771989259042</v>
      </c>
      <c r="V35" s="127">
        <f t="shared" si="15"/>
        <v>0</v>
      </c>
      <c r="W35" s="232"/>
      <c r="X35" s="127"/>
      <c r="Y35" s="127"/>
      <c r="Z35" s="127"/>
      <c r="AA35" s="127"/>
      <c r="AB35" s="127"/>
      <c r="AC35" s="128"/>
    </row>
    <row r="36" spans="1:31" s="112" customFormat="1" x14ac:dyDescent="0.25">
      <c r="A36" s="275"/>
      <c r="B36" s="116">
        <v>35</v>
      </c>
      <c r="C36" s="117" t="s">
        <v>129</v>
      </c>
      <c r="D36" s="237">
        <f>'[23]Vashon Price Out'!AD154</f>
        <v>96</v>
      </c>
      <c r="E36" s="119">
        <f>[23]References!$C$8</f>
        <v>2.1666666666666665</v>
      </c>
      <c r="F36" s="120">
        <f t="shared" si="11"/>
        <v>208</v>
      </c>
      <c r="G36" s="120">
        <f>[24]References!$C$30</f>
        <v>324</v>
      </c>
      <c r="H36" s="120">
        <f t="shared" si="12"/>
        <v>67392</v>
      </c>
      <c r="I36" s="121">
        <f t="shared" si="9"/>
        <v>46530.355666329626</v>
      </c>
      <c r="J36" s="122">
        <f>I36*[23]References!$D$60</f>
        <v>144.94205790061645</v>
      </c>
      <c r="K36" s="122">
        <f>J36/[23]References!$H$63</f>
        <v>147.9151524651663</v>
      </c>
      <c r="L36" s="122">
        <f t="shared" si="20"/>
        <v>1.5407828381788156</v>
      </c>
      <c r="M36" s="230">
        <f>'[23]Vashon Rate Sheet'!D138*2.17</f>
        <v>72.803499999999985</v>
      </c>
      <c r="N36" s="233">
        <f t="shared" si="7"/>
        <v>74.344282838178799</v>
      </c>
      <c r="O36" s="122">
        <f>'[23]Proposed Rates'!E49</f>
        <v>70.58</v>
      </c>
      <c r="P36" s="122">
        <f t="shared" si="21"/>
        <v>6989.1359999999986</v>
      </c>
      <c r="Q36" s="125">
        <f t="shared" si="22"/>
        <v>7137.0511524651647</v>
      </c>
      <c r="R36" s="126">
        <f t="shared" si="16"/>
        <v>147.9151524651661</v>
      </c>
      <c r="S36" s="115"/>
      <c r="T36" s="232">
        <f t="shared" si="6"/>
        <v>3.7642828381788007</v>
      </c>
      <c r="U36" s="127">
        <f>I36*[23]References!$D$60/[23]References!$H$63</f>
        <v>147.9151524651663</v>
      </c>
      <c r="V36" s="127">
        <f t="shared" si="15"/>
        <v>0</v>
      </c>
      <c r="W36" s="232"/>
      <c r="X36" s="127"/>
      <c r="Y36" s="127"/>
      <c r="Z36" s="127"/>
      <c r="AA36" s="127"/>
      <c r="AB36" s="127"/>
      <c r="AC36" s="128"/>
    </row>
    <row r="37" spans="1:31" s="112" customFormat="1" x14ac:dyDescent="0.25">
      <c r="A37" s="151"/>
      <c r="B37" s="152"/>
      <c r="C37" s="130" t="s">
        <v>328</v>
      </c>
      <c r="D37" s="153">
        <f>SUM(D15:D36)</f>
        <v>4386.6503138842327</v>
      </c>
      <c r="E37" s="154"/>
      <c r="F37" s="153">
        <f>SUM(F15:F36)</f>
        <v>14994.944275368533</v>
      </c>
      <c r="G37" s="154"/>
      <c r="H37" s="153">
        <f>SUM(H15:H36)</f>
        <v>3181675.1392968376</v>
      </c>
      <c r="I37" s="153">
        <f>SUM(I15:I36)</f>
        <v>2196766.3201299966</v>
      </c>
      <c r="J37" s="134">
        <f>SUM(J15:J36)</f>
        <v>6842.9270872049237</v>
      </c>
      <c r="K37" s="134">
        <f>SUM(K15:K36)</f>
        <v>6983.2912411520811</v>
      </c>
      <c r="L37" s="135"/>
      <c r="M37" s="135"/>
      <c r="N37" s="135"/>
      <c r="O37" s="135"/>
      <c r="P37" s="134">
        <f>SUM(P15:P36)</f>
        <v>333738.21172835026</v>
      </c>
      <c r="Q37" s="134">
        <f>SUM(Q15:Q36)</f>
        <v>340722.10296950233</v>
      </c>
      <c r="R37" s="134">
        <f>SUM(R15:R36)</f>
        <v>6983.8912411520851</v>
      </c>
      <c r="S37" s="228"/>
      <c r="T37" s="238"/>
      <c r="U37" s="238"/>
      <c r="V37" s="137"/>
      <c r="W37" s="239"/>
      <c r="X37" s="137"/>
      <c r="Y37" s="137"/>
      <c r="Z37" s="137"/>
      <c r="AA37" s="137"/>
      <c r="AC37" s="128"/>
      <c r="AE37" s="114"/>
    </row>
    <row r="38" spans="1:31" s="112" customFormat="1" x14ac:dyDescent="0.25">
      <c r="A38" s="114"/>
      <c r="B38" s="155"/>
      <c r="C38" s="114"/>
      <c r="D38" s="156"/>
      <c r="E38" s="114"/>
      <c r="F38" s="114"/>
      <c r="G38" s="114"/>
      <c r="H38" s="118"/>
      <c r="I38" s="157"/>
      <c r="J38" s="158"/>
      <c r="K38" s="159"/>
      <c r="L38" s="114"/>
      <c r="M38" s="159"/>
      <c r="N38" s="114"/>
      <c r="O38" s="114"/>
      <c r="P38" s="114"/>
      <c r="Q38" s="114"/>
      <c r="R38" s="118"/>
      <c r="S38" s="228"/>
      <c r="T38" s="127"/>
      <c r="U38" s="127"/>
      <c r="V38" s="127"/>
      <c r="W38" s="232"/>
      <c r="X38" s="127"/>
      <c r="Y38" s="127"/>
      <c r="Z38" s="127"/>
      <c r="AC38" s="138"/>
      <c r="AE38" s="114"/>
    </row>
    <row r="39" spans="1:31" s="112" customFormat="1" x14ac:dyDescent="0.25">
      <c r="A39" s="151"/>
      <c r="B39" s="152"/>
      <c r="C39" s="130" t="s">
        <v>329</v>
      </c>
      <c r="D39" s="153">
        <f>D13+D37</f>
        <v>34817.510337211381</v>
      </c>
      <c r="E39" s="154"/>
      <c r="F39" s="153">
        <f>F13+F37</f>
        <v>118103.25906640937</v>
      </c>
      <c r="G39" s="154"/>
      <c r="H39" s="153">
        <f>H13+H37</f>
        <v>6864488.2487139441</v>
      </c>
      <c r="I39" s="153">
        <f>I13+I37</f>
        <v>4739540</v>
      </c>
      <c r="J39" s="134">
        <f>J13+J37</f>
        <v>14763.667099999968</v>
      </c>
      <c r="K39" s="134">
        <f>K13+K37</f>
        <v>15066.503826921082</v>
      </c>
      <c r="L39" s="135"/>
      <c r="M39" s="135"/>
      <c r="N39" s="135"/>
      <c r="O39" s="135"/>
      <c r="P39" s="134">
        <f>P13+P37</f>
        <v>809272.771272399</v>
      </c>
      <c r="Q39" s="134">
        <f>Q13+Q37</f>
        <v>824339.87509931996</v>
      </c>
      <c r="R39" s="134">
        <f>R13+R37</f>
        <v>15067.10382692112</v>
      </c>
      <c r="S39" s="228"/>
      <c r="T39" s="160"/>
      <c r="U39" s="127"/>
      <c r="V39" s="127"/>
      <c r="W39" s="127"/>
      <c r="X39" s="127"/>
      <c r="Y39" s="127"/>
      <c r="Z39" s="127"/>
      <c r="AC39" s="128"/>
      <c r="AE39" s="114"/>
    </row>
    <row r="40" spans="1:31" s="112" customFormat="1" x14ac:dyDescent="0.25">
      <c r="A40" s="114"/>
      <c r="B40" s="155"/>
      <c r="C40" s="161"/>
      <c r="D40" s="156"/>
      <c r="E40" s="114"/>
      <c r="F40" s="162"/>
      <c r="G40" s="114"/>
      <c r="H40" s="162"/>
      <c r="I40" s="162"/>
      <c r="J40" s="162"/>
      <c r="K40" s="162"/>
      <c r="L40" s="114"/>
      <c r="M40" s="114"/>
      <c r="N40" s="114"/>
      <c r="O40" s="114"/>
      <c r="P40" s="162"/>
      <c r="Q40" s="162"/>
      <c r="R40" s="162"/>
      <c r="S40" s="228"/>
      <c r="T40" s="127"/>
      <c r="U40" s="127"/>
      <c r="V40" s="127"/>
      <c r="W40" s="127"/>
      <c r="X40" s="127"/>
      <c r="Y40" s="127"/>
      <c r="Z40" s="127"/>
      <c r="AC40" s="128"/>
      <c r="AE40" s="114"/>
    </row>
    <row r="41" spans="1:31" s="112" customFormat="1" x14ac:dyDescent="0.25">
      <c r="A41" s="114"/>
      <c r="B41" s="155"/>
      <c r="C41" s="161"/>
      <c r="D41" s="156"/>
      <c r="E41" s="114"/>
      <c r="F41" s="162"/>
      <c r="G41" s="114"/>
      <c r="H41" s="162"/>
      <c r="I41" s="162"/>
      <c r="J41" s="162"/>
      <c r="K41" s="162"/>
      <c r="L41" s="114"/>
      <c r="M41" s="114"/>
      <c r="N41" s="114"/>
      <c r="O41" s="114"/>
      <c r="P41" s="162"/>
      <c r="Q41" s="162"/>
      <c r="R41" s="162"/>
      <c r="S41" s="228"/>
      <c r="T41" s="127"/>
      <c r="U41" s="127"/>
      <c r="V41" s="127"/>
      <c r="W41" s="127"/>
      <c r="X41" s="127"/>
      <c r="Y41" s="127"/>
      <c r="Z41" s="127"/>
      <c r="AC41" s="128"/>
      <c r="AE41" s="114"/>
    </row>
    <row r="42" spans="1:31" s="112" customFormat="1" x14ac:dyDescent="0.25">
      <c r="A42" s="163"/>
      <c r="B42" s="164"/>
      <c r="C42" s="165" t="s">
        <v>330</v>
      </c>
      <c r="D42" s="166"/>
      <c r="E42" s="163"/>
      <c r="F42" s="163"/>
      <c r="G42" s="163"/>
      <c r="H42" s="163"/>
      <c r="I42" s="167"/>
      <c r="J42" s="168"/>
      <c r="K42" s="163"/>
      <c r="L42" s="163"/>
      <c r="M42" s="163"/>
      <c r="N42" s="163"/>
      <c r="O42" s="163"/>
      <c r="P42" s="169" t="s">
        <v>311</v>
      </c>
      <c r="Q42" s="127">
        <f>R13</f>
        <v>8083.2125857690353</v>
      </c>
      <c r="R42" s="138">
        <f>Q42/P13</f>
        <v>1.6998160120095938E-2</v>
      </c>
      <c r="S42" s="228"/>
      <c r="T42" s="170"/>
      <c r="U42" s="127"/>
      <c r="V42" s="138"/>
      <c r="W42" s="127"/>
      <c r="X42" s="127"/>
      <c r="Y42" s="127"/>
      <c r="Z42" s="138"/>
      <c r="AA42" s="138"/>
      <c r="AC42" s="128"/>
      <c r="AE42" s="114"/>
    </row>
    <row r="43" spans="1:31" s="112" customFormat="1" ht="15" customHeight="1" x14ac:dyDescent="0.25">
      <c r="A43" s="274" t="s">
        <v>314</v>
      </c>
      <c r="B43" s="240">
        <v>16</v>
      </c>
      <c r="C43" s="112" t="s">
        <v>390</v>
      </c>
      <c r="D43" s="241">
        <v>0</v>
      </c>
      <c r="E43" s="143">
        <f>[23]References!$C$10</f>
        <v>1</v>
      </c>
      <c r="F43" s="120">
        <v>12</v>
      </c>
      <c r="G43" s="120">
        <f>[23]References!$C$16</f>
        <v>34</v>
      </c>
      <c r="H43" s="120">
        <f t="shared" ref="H43:H47" si="23">F43*G43</f>
        <v>408</v>
      </c>
      <c r="I43" s="121">
        <f>$D$59*H43</f>
        <v>281.70087119928905</v>
      </c>
      <c r="J43" s="122">
        <f>I43*[23]References!$D$60</f>
        <v>0.87749821378578341</v>
      </c>
      <c r="K43" s="122">
        <f>J43/[23]References!$H$63</f>
        <v>0.89549771791589283</v>
      </c>
      <c r="L43" s="122">
        <f t="shared" ref="L43:L47" si="24">K43/F43</f>
        <v>7.4624809826324398E-2</v>
      </c>
      <c r="M43" s="230">
        <f>'[23]Proposed Rates'!C6</f>
        <v>2.56</v>
      </c>
      <c r="N43" s="233">
        <f>L43+M43</f>
        <v>2.6346248098263243</v>
      </c>
      <c r="O43" s="122">
        <f>'[23]Proposed Rates'!E6</f>
        <v>2.63</v>
      </c>
      <c r="P43" s="169" t="s">
        <v>391</v>
      </c>
      <c r="Q43" s="127">
        <f>R37</f>
        <v>6983.8912411520851</v>
      </c>
      <c r="R43" s="138">
        <f>Q43/P37</f>
        <v>2.0926255956679893E-2</v>
      </c>
      <c r="S43" s="115"/>
      <c r="T43" s="170"/>
      <c r="U43" s="127"/>
      <c r="V43" s="138"/>
      <c r="W43" s="127"/>
      <c r="X43" s="127"/>
      <c r="Y43" s="127"/>
      <c r="Z43" s="138"/>
      <c r="AA43" s="138"/>
      <c r="AC43" s="128"/>
    </row>
    <row r="44" spans="1:31" s="112" customFormat="1" x14ac:dyDescent="0.25">
      <c r="A44" s="274"/>
      <c r="B44" s="116">
        <v>28</v>
      </c>
      <c r="C44" s="117" t="s">
        <v>331</v>
      </c>
      <c r="D44" s="149">
        <v>0</v>
      </c>
      <c r="E44" s="119">
        <v>1</v>
      </c>
      <c r="F44" s="120">
        <v>12</v>
      </c>
      <c r="G44" s="120">
        <f>[23]References!$C$29</f>
        <v>125</v>
      </c>
      <c r="H44" s="120">
        <f t="shared" si="23"/>
        <v>1500</v>
      </c>
      <c r="I44" s="121">
        <f>$D$59*H44</f>
        <v>1035.6649676444451</v>
      </c>
      <c r="J44" s="122">
        <f>I44*[23]References!$D$60</f>
        <v>3.2260963742124393</v>
      </c>
      <c r="K44" s="122">
        <f>J44/[23]References!$H$63</f>
        <v>3.2922710217496065</v>
      </c>
      <c r="L44" s="122">
        <f t="shared" si="24"/>
        <v>0.27435591847913388</v>
      </c>
      <c r="M44" s="230">
        <f>'[23]Proposed Rates'!C22</f>
        <v>14.57</v>
      </c>
      <c r="N44" s="233">
        <f t="shared" ref="N44:N47" si="25">L44+M44</f>
        <v>14.844355918479135</v>
      </c>
      <c r="O44" s="122">
        <f>'[23]Proposed Rates'!E22</f>
        <v>14.84</v>
      </c>
      <c r="P44" s="171"/>
      <c r="Q44" s="172">
        <f>SUM(Q42:Q43)</f>
        <v>15067.10382692112</v>
      </c>
      <c r="R44" s="173"/>
      <c r="S44" s="115"/>
      <c r="T44" s="115"/>
      <c r="U44" s="127"/>
      <c r="V44" s="127"/>
      <c r="W44" s="127"/>
      <c r="X44" s="127"/>
      <c r="Y44" s="127"/>
      <c r="Z44" s="127"/>
      <c r="AC44" s="128"/>
    </row>
    <row r="45" spans="1:31" s="112" customFormat="1" x14ac:dyDescent="0.25">
      <c r="A45" s="274"/>
      <c r="B45" s="116">
        <v>35</v>
      </c>
      <c r="C45" s="148" t="s">
        <v>105</v>
      </c>
      <c r="D45" s="150">
        <v>0</v>
      </c>
      <c r="E45" s="119">
        <f>[23]References!$C$11</f>
        <v>4</v>
      </c>
      <c r="F45" s="120">
        <v>12</v>
      </c>
      <c r="G45" s="120">
        <f>[23]References!$C$31</f>
        <v>250</v>
      </c>
      <c r="H45" s="120">
        <f t="shared" si="23"/>
        <v>3000</v>
      </c>
      <c r="I45" s="121">
        <f>$D$59*H45</f>
        <v>2071.3299352888903</v>
      </c>
      <c r="J45" s="122">
        <f>I45*[23]References!$D$60</f>
        <v>6.4521927484248787</v>
      </c>
      <c r="K45" s="122">
        <f>J45/[23]References!$H$63</f>
        <v>6.584542043499213</v>
      </c>
      <c r="L45" s="122">
        <f t="shared" si="24"/>
        <v>0.54871183695826775</v>
      </c>
      <c r="M45" s="230">
        <f>'[23]Proposed Rates'!C53</f>
        <v>24.884388209168193</v>
      </c>
      <c r="N45" s="233">
        <f t="shared" si="25"/>
        <v>25.433100046126462</v>
      </c>
      <c r="O45" s="122">
        <f>'[23]Proposed Rates'!E53</f>
        <v>25.431112930696376</v>
      </c>
      <c r="P45" s="171"/>
      <c r="Q45" s="173"/>
      <c r="R45" s="173"/>
      <c r="S45" s="115"/>
      <c r="T45" s="127"/>
      <c r="U45" s="127"/>
      <c r="V45" s="127"/>
      <c r="W45" s="127"/>
      <c r="X45" s="127"/>
      <c r="Y45" s="127"/>
      <c r="Z45" s="127"/>
      <c r="AC45" s="128"/>
    </row>
    <row r="46" spans="1:31" s="112" customFormat="1" x14ac:dyDescent="0.25">
      <c r="A46" s="274"/>
      <c r="B46" s="116">
        <v>38</v>
      </c>
      <c r="C46" s="148" t="s">
        <v>332</v>
      </c>
      <c r="D46" s="150">
        <v>0</v>
      </c>
      <c r="E46" s="119">
        <f>[23]References!$C$10</f>
        <v>1</v>
      </c>
      <c r="F46" s="120">
        <v>12</v>
      </c>
      <c r="G46" s="120">
        <f>[23]References!$C$42</f>
        <v>972</v>
      </c>
      <c r="H46" s="120">
        <f t="shared" si="23"/>
        <v>11664</v>
      </c>
      <c r="I46" s="121">
        <f t="shared" ref="I46" si="26">$D$59*H46</f>
        <v>8053.3307884032047</v>
      </c>
      <c r="J46" s="122">
        <f>I46*[23]References!$D$60</f>
        <v>25.086125405875926</v>
      </c>
      <c r="K46" s="122">
        <f>J46/[23]References!$H$63</f>
        <v>25.600699465124936</v>
      </c>
      <c r="L46" s="122">
        <f t="shared" si="24"/>
        <v>2.1333916220937446</v>
      </c>
      <c r="M46" s="230">
        <f>'[23]Proposed Rates'!C65</f>
        <v>83.320000000000007</v>
      </c>
      <c r="N46" s="233">
        <f t="shared" si="25"/>
        <v>85.453391622093747</v>
      </c>
      <c r="O46" s="122">
        <f>'[23]Proposed Rates'!E65</f>
        <v>85.45</v>
      </c>
      <c r="P46" s="171" t="s">
        <v>333</v>
      </c>
      <c r="Q46" s="174">
        <f>'[23]DF Tons'!D23*[23]References!C60</f>
        <v>1271.6623949404989</v>
      </c>
      <c r="R46" s="175">
        <f>[23]References!E60</f>
        <v>4.6288728731703616E-2</v>
      </c>
      <c r="S46" s="115"/>
      <c r="T46" s="115"/>
      <c r="U46" s="127"/>
      <c r="V46" s="127"/>
      <c r="W46" s="127"/>
      <c r="X46" s="127"/>
      <c r="Y46" s="127"/>
      <c r="Z46" s="127"/>
      <c r="AC46" s="128"/>
    </row>
    <row r="47" spans="1:31" s="112" customFormat="1" x14ac:dyDescent="0.25">
      <c r="A47" s="274"/>
      <c r="B47" s="116">
        <v>38</v>
      </c>
      <c r="C47" s="148" t="s">
        <v>334</v>
      </c>
      <c r="D47" s="150">
        <v>0</v>
      </c>
      <c r="E47" s="119">
        <f>[23]References!$C$10</f>
        <v>1</v>
      </c>
      <c r="F47" s="120">
        <v>12</v>
      </c>
      <c r="G47" s="120">
        <f>[23]References!$C$51</f>
        <v>1620</v>
      </c>
      <c r="H47" s="120">
        <f t="shared" si="23"/>
        <v>19440</v>
      </c>
      <c r="I47" s="121">
        <f>$D$59*H47</f>
        <v>13422.217980672007</v>
      </c>
      <c r="J47" s="122">
        <f>I47*[23]References!$D$60</f>
        <v>41.810209009793205</v>
      </c>
      <c r="K47" s="122">
        <f>J47/[23]References!$H$63</f>
        <v>42.667832441874893</v>
      </c>
      <c r="L47" s="122">
        <f t="shared" si="24"/>
        <v>3.5556527034895744</v>
      </c>
      <c r="M47" s="230">
        <f>'[23]Proposed Rates'!C68</f>
        <v>128.25</v>
      </c>
      <c r="N47" s="233">
        <f t="shared" si="25"/>
        <v>131.80565270348959</v>
      </c>
      <c r="O47" s="122">
        <f>'[23]Proposed Rates'!E68</f>
        <v>131.79</v>
      </c>
      <c r="P47" s="171"/>
      <c r="Q47" s="122"/>
      <c r="R47" s="173"/>
      <c r="S47" s="115"/>
      <c r="T47" s="127"/>
      <c r="U47" s="127"/>
      <c r="V47" s="127"/>
      <c r="W47" s="127"/>
      <c r="X47" s="127"/>
      <c r="Y47" s="127"/>
      <c r="Z47" s="127"/>
      <c r="AC47" s="128"/>
    </row>
    <row r="48" spans="1:31" s="112" customFormat="1" x14ac:dyDescent="0.25">
      <c r="A48" s="176"/>
      <c r="B48" s="116"/>
      <c r="C48" s="148"/>
      <c r="D48" s="150"/>
      <c r="E48" s="119"/>
      <c r="F48" s="120"/>
      <c r="G48" s="120"/>
      <c r="H48" s="120"/>
      <c r="I48" s="121"/>
      <c r="J48" s="122"/>
      <c r="K48" s="122"/>
      <c r="L48" s="122"/>
      <c r="M48" s="122"/>
      <c r="N48" s="122"/>
      <c r="O48" s="122"/>
      <c r="P48" s="171"/>
      <c r="Q48" s="173">
        <f>Q44+Q46</f>
        <v>16338.766221861619</v>
      </c>
      <c r="R48" s="173"/>
      <c r="S48" s="115"/>
      <c r="T48" s="115"/>
      <c r="U48" s="127"/>
      <c r="V48" s="127"/>
      <c r="W48" s="127"/>
      <c r="X48" s="127"/>
      <c r="Y48" s="127"/>
      <c r="Z48" s="127"/>
      <c r="AC48" s="128"/>
    </row>
    <row r="49" spans="1:31" s="112" customFormat="1" x14ac:dyDescent="0.25">
      <c r="A49" s="176"/>
      <c r="B49" s="116"/>
      <c r="C49" s="117"/>
      <c r="D49" s="149"/>
      <c r="E49" s="119"/>
      <c r="F49" s="120"/>
      <c r="G49" s="120"/>
      <c r="H49" s="120"/>
      <c r="I49" s="121"/>
      <c r="J49" s="122"/>
      <c r="K49" s="122"/>
      <c r="L49" s="122"/>
      <c r="M49" s="122"/>
      <c r="N49" s="122"/>
      <c r="O49" s="122"/>
      <c r="P49" s="171"/>
      <c r="Q49" s="122"/>
      <c r="R49" s="173"/>
      <c r="S49" s="115"/>
      <c r="T49" s="127"/>
      <c r="U49" s="127"/>
      <c r="V49" s="127"/>
      <c r="W49" s="127"/>
      <c r="X49" s="127"/>
      <c r="Y49" s="127"/>
      <c r="Z49" s="127"/>
      <c r="AC49" s="128"/>
    </row>
    <row r="50" spans="1:31" s="112" customFormat="1" x14ac:dyDescent="0.25">
      <c r="A50" s="176"/>
      <c r="B50" s="116"/>
      <c r="C50" s="117"/>
      <c r="D50" s="149"/>
      <c r="E50" s="119"/>
      <c r="F50" s="120"/>
      <c r="G50" s="120"/>
      <c r="H50" s="120"/>
      <c r="I50" s="121"/>
      <c r="J50" s="122"/>
      <c r="K50" s="122"/>
      <c r="L50" s="122"/>
      <c r="M50" s="122"/>
      <c r="N50" s="122"/>
      <c r="O50" s="122"/>
      <c r="P50" s="171"/>
      <c r="Q50" s="122"/>
      <c r="R50" s="173"/>
      <c r="S50" s="115"/>
      <c r="T50" s="127"/>
      <c r="U50" s="127"/>
      <c r="V50" s="127"/>
      <c r="W50" s="127"/>
      <c r="X50" s="127"/>
      <c r="Y50" s="127"/>
      <c r="Z50" s="127"/>
      <c r="AC50" s="128"/>
    </row>
    <row r="51" spans="1:31" s="112" customFormat="1" x14ac:dyDescent="0.25">
      <c r="A51" s="176"/>
      <c r="B51" s="155"/>
      <c r="C51" s="177"/>
      <c r="D51" s="178"/>
      <c r="E51" s="141"/>
      <c r="F51" s="157"/>
      <c r="G51" s="120"/>
      <c r="H51" s="157"/>
      <c r="I51" s="157"/>
      <c r="J51" s="122"/>
      <c r="K51" s="123"/>
      <c r="L51" s="123"/>
      <c r="M51" s="123"/>
      <c r="N51" s="123"/>
      <c r="O51" s="122"/>
      <c r="P51" s="179"/>
      <c r="Q51" s="114"/>
      <c r="R51" s="118"/>
      <c r="S51" s="228"/>
      <c r="T51" s="127"/>
      <c r="U51" s="127"/>
      <c r="V51" s="127"/>
      <c r="W51" s="127"/>
      <c r="X51" s="127"/>
      <c r="Y51" s="127"/>
      <c r="Z51" s="127"/>
      <c r="AC51" s="128"/>
      <c r="AE51" s="114"/>
    </row>
    <row r="52" spans="1:31" s="112" customFormat="1" x14ac:dyDescent="0.25">
      <c r="A52" s="176"/>
      <c r="B52" s="155"/>
      <c r="C52" s="180"/>
      <c r="D52" s="179"/>
      <c r="E52" s="114"/>
      <c r="F52" s="114"/>
      <c r="G52" s="114"/>
      <c r="H52" s="114"/>
      <c r="I52" s="157"/>
      <c r="J52" s="114"/>
      <c r="K52" s="114"/>
      <c r="L52" s="114"/>
      <c r="M52" s="114"/>
      <c r="N52" s="114"/>
      <c r="O52" s="114"/>
      <c r="P52" s="179"/>
      <c r="Q52" s="114"/>
      <c r="R52" s="118"/>
      <c r="S52" s="228"/>
      <c r="T52" s="127"/>
      <c r="U52" s="127"/>
      <c r="V52" s="127"/>
      <c r="W52" s="127"/>
      <c r="X52" s="127"/>
      <c r="Y52" s="127"/>
      <c r="Z52" s="127"/>
      <c r="AC52" s="128"/>
      <c r="AE52" s="114"/>
    </row>
    <row r="53" spans="1:31" s="112" customFormat="1" x14ac:dyDescent="0.25">
      <c r="A53" s="176"/>
      <c r="B53" s="155"/>
      <c r="C53" s="180"/>
      <c r="D53" s="179"/>
      <c r="E53" s="114"/>
      <c r="F53" s="114"/>
      <c r="G53" s="114"/>
      <c r="H53" s="114"/>
      <c r="I53" s="157"/>
      <c r="J53" s="114"/>
      <c r="K53" s="114"/>
      <c r="L53" s="114"/>
      <c r="M53" s="114"/>
      <c r="N53" s="114"/>
      <c r="O53" s="114"/>
      <c r="P53" s="114"/>
      <c r="Q53" s="114"/>
      <c r="R53" s="118"/>
      <c r="S53" s="228"/>
      <c r="T53" s="127"/>
      <c r="U53" s="127"/>
      <c r="V53" s="127"/>
      <c r="W53" s="127"/>
      <c r="X53" s="127"/>
      <c r="Y53" s="127"/>
      <c r="Z53" s="127"/>
      <c r="AC53" s="128"/>
      <c r="AE53" s="114"/>
    </row>
    <row r="54" spans="1:31" s="112" customFormat="1" x14ac:dyDescent="0.25">
      <c r="A54" s="176"/>
      <c r="B54" s="155"/>
      <c r="C54" s="276" t="s">
        <v>335</v>
      </c>
      <c r="D54" s="276"/>
      <c r="E54" s="181"/>
      <c r="F54" s="181"/>
      <c r="G54" s="114"/>
      <c r="H54" s="182"/>
      <c r="I54" s="120"/>
      <c r="K54" s="114"/>
      <c r="L54" s="114"/>
      <c r="M54" s="114"/>
      <c r="N54" s="114"/>
      <c r="O54" s="114"/>
      <c r="P54" s="114"/>
      <c r="Q54" s="114"/>
      <c r="R54" s="118"/>
      <c r="S54" s="228"/>
      <c r="T54" s="127"/>
      <c r="U54" s="127"/>
      <c r="V54" s="127"/>
      <c r="W54" s="127"/>
      <c r="X54" s="127"/>
      <c r="Y54" s="127"/>
      <c r="Z54" s="127"/>
      <c r="AC54" s="128"/>
      <c r="AE54" s="114"/>
    </row>
    <row r="55" spans="1:31" s="112" customFormat="1" x14ac:dyDescent="0.25">
      <c r="A55" s="176"/>
      <c r="B55" s="155"/>
      <c r="C55" s="114"/>
      <c r="D55" s="183" t="s">
        <v>1</v>
      </c>
      <c r="E55" s="184"/>
      <c r="F55" s="184"/>
      <c r="G55" s="114"/>
      <c r="H55" s="182"/>
      <c r="I55" s="120"/>
      <c r="J55" s="143"/>
      <c r="K55" s="114"/>
      <c r="L55" s="114"/>
      <c r="M55" s="114"/>
      <c r="N55" s="114"/>
      <c r="O55" s="114"/>
      <c r="P55" s="179"/>
      <c r="Q55" s="114"/>
      <c r="R55" s="118"/>
      <c r="S55" s="228"/>
      <c r="T55" s="127"/>
      <c r="U55" s="127"/>
      <c r="V55" s="127"/>
      <c r="W55" s="127"/>
      <c r="X55" s="127"/>
      <c r="Y55" s="127"/>
      <c r="Z55" s="127"/>
      <c r="AC55" s="128"/>
      <c r="AE55" s="114"/>
    </row>
    <row r="56" spans="1:31" s="112" customFormat="1" x14ac:dyDescent="0.25">
      <c r="A56" s="176"/>
      <c r="B56" s="155"/>
      <c r="C56" s="114" t="s">
        <v>336</v>
      </c>
      <c r="D56" s="242">
        <f>[23]References!C65</f>
        <v>2369.77</v>
      </c>
      <c r="E56" s="157"/>
      <c r="F56" s="157"/>
      <c r="G56" s="186"/>
      <c r="H56" s="187"/>
      <c r="I56" s="120"/>
      <c r="J56" s="143"/>
      <c r="K56" s="114"/>
      <c r="L56" s="114"/>
      <c r="M56" s="114"/>
      <c r="N56" s="114"/>
      <c r="O56" s="114"/>
      <c r="P56" s="179"/>
      <c r="Q56" s="114"/>
      <c r="R56" s="118"/>
      <c r="S56" s="228"/>
      <c r="T56" s="127"/>
      <c r="U56" s="127"/>
      <c r="V56" s="127"/>
      <c r="W56" s="127"/>
      <c r="X56" s="127"/>
      <c r="Y56" s="127"/>
      <c r="Z56" s="127"/>
      <c r="AC56" s="128"/>
      <c r="AE56" s="114"/>
    </row>
    <row r="57" spans="1:31" s="112" customFormat="1" x14ac:dyDescent="0.25">
      <c r="A57" s="176"/>
      <c r="B57" s="155"/>
      <c r="C57" s="114" t="s">
        <v>337</v>
      </c>
      <c r="D57" s="188">
        <f>D56*References!H18</f>
        <v>4739540</v>
      </c>
      <c r="E57" s="188"/>
      <c r="F57" s="188"/>
      <c r="G57" s="188"/>
      <c r="H57" s="189"/>
      <c r="I57" s="120"/>
      <c r="J57" s="143"/>
      <c r="K57" s="114"/>
      <c r="L57" s="114"/>
      <c r="M57" s="114"/>
      <c r="N57" s="114"/>
      <c r="O57" s="114"/>
      <c r="P57" s="114"/>
      <c r="Q57" s="114"/>
      <c r="R57" s="118"/>
      <c r="S57" s="228"/>
      <c r="T57" s="127"/>
      <c r="U57" s="127"/>
      <c r="V57" s="127"/>
      <c r="W57" s="127"/>
      <c r="X57" s="127"/>
      <c r="Y57" s="127"/>
      <c r="Z57" s="127"/>
      <c r="AC57" s="128"/>
      <c r="AE57" s="114"/>
    </row>
    <row r="58" spans="1:31" s="112" customFormat="1" x14ac:dyDescent="0.25">
      <c r="A58" s="114"/>
      <c r="B58" s="155"/>
      <c r="C58" s="114" t="s">
        <v>338</v>
      </c>
      <c r="D58" s="188">
        <f>F39</f>
        <v>118103.25906640937</v>
      </c>
      <c r="E58" s="157"/>
      <c r="F58" s="157"/>
      <c r="G58" s="157"/>
      <c r="H58" s="190"/>
      <c r="I58" s="120"/>
      <c r="J58" s="143"/>
      <c r="K58" s="114"/>
      <c r="L58" s="114"/>
      <c r="M58" s="114"/>
      <c r="N58" s="114"/>
      <c r="O58" s="114"/>
      <c r="P58" s="179"/>
      <c r="Q58" s="114"/>
      <c r="R58" s="118"/>
      <c r="S58" s="228"/>
      <c r="T58" s="127"/>
      <c r="U58" s="127"/>
      <c r="V58" s="127"/>
      <c r="W58" s="127"/>
      <c r="X58" s="127"/>
      <c r="Y58" s="127"/>
      <c r="Z58" s="127"/>
      <c r="AC58" s="128"/>
      <c r="AE58" s="114"/>
    </row>
    <row r="59" spans="1:31" s="112" customFormat="1" x14ac:dyDescent="0.25">
      <c r="A59" s="114"/>
      <c r="B59" s="155"/>
      <c r="C59" s="191" t="s">
        <v>339</v>
      </c>
      <c r="D59" s="243">
        <f>D57/$H$39</f>
        <v>0.69044331176296336</v>
      </c>
      <c r="E59" s="243"/>
      <c r="F59" s="243"/>
      <c r="G59" s="243"/>
      <c r="H59" s="244"/>
      <c r="I59" s="120"/>
      <c r="J59" s="143"/>
      <c r="K59" s="114"/>
      <c r="L59" s="114"/>
      <c r="M59" s="194"/>
      <c r="N59" s="194"/>
      <c r="O59" s="194"/>
      <c r="P59" s="195"/>
      <c r="Q59" s="114"/>
      <c r="R59" s="118"/>
      <c r="S59" s="228"/>
      <c r="T59" s="127"/>
      <c r="U59" s="127"/>
      <c r="V59" s="127"/>
      <c r="W59" s="127"/>
      <c r="X59" s="127"/>
      <c r="Y59" s="127"/>
      <c r="Z59" s="127"/>
      <c r="AC59" s="128"/>
      <c r="AE59" s="114"/>
    </row>
    <row r="60" spans="1:31" s="112" customFormat="1" x14ac:dyDescent="0.25">
      <c r="A60" s="114"/>
      <c r="B60" s="155"/>
      <c r="C60" s="114"/>
      <c r="D60" s="179"/>
      <c r="E60" s="114"/>
      <c r="F60" s="114"/>
      <c r="G60" s="196"/>
      <c r="H60" s="141"/>
      <c r="I60" s="120"/>
      <c r="J60" s="143"/>
      <c r="K60" s="114"/>
      <c r="L60" s="114"/>
      <c r="M60" s="159"/>
      <c r="N60" s="197"/>
      <c r="O60" s="197"/>
      <c r="P60" s="198"/>
      <c r="Q60" s="114"/>
      <c r="R60" s="118"/>
      <c r="S60" s="228"/>
      <c r="T60" s="127"/>
      <c r="U60" s="127"/>
      <c r="V60" s="127"/>
      <c r="W60" s="127"/>
      <c r="X60" s="127"/>
      <c r="Y60" s="127"/>
      <c r="Z60" s="127"/>
      <c r="AC60" s="128"/>
      <c r="AE60" s="114"/>
    </row>
    <row r="61" spans="1:31" s="112" customFormat="1" x14ac:dyDescent="0.25">
      <c r="A61" s="114"/>
      <c r="B61" s="155"/>
      <c r="C61" s="114"/>
      <c r="D61" s="199"/>
      <c r="E61" s="200"/>
      <c r="F61" s="114"/>
      <c r="G61" s="196"/>
      <c r="H61" s="141"/>
      <c r="I61" s="120"/>
      <c r="J61" s="143"/>
      <c r="K61" s="114"/>
      <c r="L61" s="114"/>
      <c r="M61" s="159"/>
      <c r="N61" s="197"/>
      <c r="O61" s="197"/>
      <c r="P61" s="198"/>
      <c r="Q61" s="114"/>
      <c r="R61" s="118"/>
      <c r="S61" s="228"/>
      <c r="T61" s="127"/>
      <c r="U61" s="127"/>
      <c r="V61" s="127"/>
      <c r="W61" s="127"/>
      <c r="X61" s="127"/>
      <c r="Y61" s="127"/>
      <c r="Z61" s="127"/>
      <c r="AC61" s="128"/>
      <c r="AE61" s="114"/>
    </row>
    <row r="62" spans="1:31" s="112" customFormat="1" x14ac:dyDescent="0.25">
      <c r="A62" s="114"/>
      <c r="B62" s="155"/>
      <c r="C62" s="114"/>
      <c r="D62" s="199"/>
      <c r="E62" s="200"/>
      <c r="F62" s="114"/>
      <c r="G62" s="196"/>
      <c r="H62" s="201"/>
      <c r="I62" s="157"/>
      <c r="J62" s="202"/>
      <c r="K62" s="114"/>
      <c r="L62" s="114"/>
      <c r="M62" s="159"/>
      <c r="N62" s="197"/>
      <c r="O62" s="197"/>
      <c r="P62" s="198"/>
      <c r="Q62" s="114"/>
      <c r="R62" s="118"/>
      <c r="S62" s="228"/>
      <c r="T62" s="127"/>
      <c r="U62" s="127"/>
      <c r="V62" s="127"/>
      <c r="W62" s="127"/>
      <c r="X62" s="127"/>
      <c r="Y62" s="127"/>
      <c r="Z62" s="127"/>
      <c r="AE62" s="114"/>
    </row>
    <row r="63" spans="1:31" s="112" customFormat="1" x14ac:dyDescent="0.25">
      <c r="A63" s="114"/>
      <c r="B63" s="155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8"/>
      <c r="S63" s="228"/>
      <c r="T63" s="127"/>
      <c r="U63" s="127"/>
      <c r="V63" s="127"/>
      <c r="W63" s="127"/>
      <c r="X63" s="127"/>
      <c r="Y63" s="127"/>
      <c r="Z63" s="127"/>
      <c r="AE63" s="114"/>
    </row>
    <row r="64" spans="1:31" s="112" customFormat="1" x14ac:dyDescent="0.25">
      <c r="A64" s="114"/>
      <c r="B64" s="155"/>
      <c r="C64" s="114"/>
      <c r="D64" s="114"/>
      <c r="E64" s="202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8"/>
      <c r="S64" s="228"/>
      <c r="T64" s="127"/>
      <c r="U64" s="127"/>
      <c r="V64" s="127"/>
      <c r="W64" s="127"/>
      <c r="X64" s="127"/>
      <c r="Y64" s="127"/>
      <c r="Z64" s="127"/>
      <c r="AE64" s="114"/>
    </row>
    <row r="65" spans="1:31" s="112" customFormat="1" x14ac:dyDescent="0.25">
      <c r="A65" s="114"/>
      <c r="B65" s="155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8"/>
      <c r="S65" s="228"/>
      <c r="T65" s="127"/>
      <c r="U65" s="127"/>
      <c r="V65" s="127"/>
      <c r="W65" s="127"/>
      <c r="X65" s="127"/>
      <c r="Y65" s="127"/>
      <c r="Z65" s="127"/>
      <c r="AE65" s="114"/>
    </row>
    <row r="66" spans="1:31" s="112" customFormat="1" x14ac:dyDescent="0.25">
      <c r="A66" s="114"/>
      <c r="B66" s="155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8"/>
      <c r="S66" s="228"/>
      <c r="T66" s="127"/>
      <c r="U66" s="127"/>
      <c r="V66" s="127"/>
      <c r="W66" s="127"/>
      <c r="X66" s="127"/>
      <c r="Y66" s="127"/>
      <c r="Z66" s="127"/>
      <c r="AE66" s="114"/>
    </row>
    <row r="67" spans="1:31" x14ac:dyDescent="0.25">
      <c r="D67" s="114"/>
    </row>
  </sheetData>
  <mergeCells count="4">
    <mergeCell ref="A4:A12"/>
    <mergeCell ref="A14:A36"/>
    <mergeCell ref="A43:A47"/>
    <mergeCell ref="C54:D54"/>
  </mergeCells>
  <pageMargins left="0.45" right="0.45" top="0.75" bottom="0.75" header="0.3" footer="0.3"/>
  <pageSetup scale="55" fitToHeight="2" pageOrder="overThenDown" orientation="landscape" r:id="rId1"/>
  <headerFooter>
    <oddHeader>&amp;C&amp;"-,Bold"&amp;12Vashon Disposal&amp;"-,Regular"
&amp;"-,Bold"Dump Fee Calculation</oddHeader>
    <oddFooter>&amp;L&amp;F - &amp;A&amp;C&amp;D&amp;R&amp;P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M180"/>
  <sheetViews>
    <sheetView zoomScale="85" zoomScaleNormal="85" workbookViewId="0">
      <pane xSplit="3" ySplit="6" topLeftCell="P7" activePane="bottomRight" state="frozen"/>
      <selection activeCell="AC4" sqref="AC4"/>
      <selection pane="topRight" activeCell="AC4" sqref="AC4"/>
      <selection pane="bottomLeft" activeCell="AC4" sqref="AC4"/>
      <selection pane="bottomRight" activeCell="AK21" sqref="AK21"/>
    </sheetView>
  </sheetViews>
  <sheetFormatPr defaultRowHeight="15" outlineLevelRow="2" outlineLevelCol="2" x14ac:dyDescent="0.25"/>
  <cols>
    <col min="1" max="1" width="29.140625" style="1" customWidth="1"/>
    <col min="2" max="2" width="32.140625" style="1" bestFit="1" customWidth="1"/>
    <col min="3" max="3" width="10.5703125" style="1" bestFit="1" customWidth="1"/>
    <col min="4" max="13" width="10.7109375" style="1" hidden="1" customWidth="1" outlineLevel="1"/>
    <col min="14" max="15" width="10.7109375" style="2" hidden="1" customWidth="1" outlineLevel="1"/>
    <col min="16" max="16" width="12.7109375" style="2" customWidth="1" collapsed="1"/>
    <col min="17" max="17" width="10.7109375" style="1" hidden="1" customWidth="1" outlineLevel="2"/>
    <col min="18" max="28" width="10.7109375" style="2" hidden="1" customWidth="1" outlineLevel="2"/>
    <col min="29" max="29" width="12.7109375" style="2" customWidth="1" collapsed="1"/>
    <col min="30" max="30" width="12.7109375" style="2" customWidth="1"/>
    <col min="31" max="31" width="5.85546875" style="2" customWidth="1"/>
    <col min="32" max="38" width="13.5703125" style="2" customWidth="1"/>
    <col min="39" max="16384" width="9.140625" style="2"/>
  </cols>
  <sheetData>
    <row r="1" spans="1:39" x14ac:dyDescent="0.25">
      <c r="AG1" s="3" t="s">
        <v>4</v>
      </c>
      <c r="AH1" s="4" t="s">
        <v>5</v>
      </c>
      <c r="AI1" s="3" t="s">
        <v>6</v>
      </c>
      <c r="AJ1" s="3" t="s">
        <v>7</v>
      </c>
      <c r="AK1" s="3" t="s">
        <v>8</v>
      </c>
      <c r="AL1" s="3" t="s">
        <v>9</v>
      </c>
    </row>
    <row r="2" spans="1:39" x14ac:dyDescent="0.25">
      <c r="A2" s="5" t="s">
        <v>0</v>
      </c>
      <c r="B2" s="5"/>
      <c r="C2" s="227" t="s">
        <v>385</v>
      </c>
      <c r="AF2" s="6" t="s">
        <v>10</v>
      </c>
      <c r="AG2" s="7">
        <f>'[23]LG MSW 2132'!K20</f>
        <v>5.0177956213510698E-2</v>
      </c>
      <c r="AH2" s="8">
        <v>4.0499999999999998E-3</v>
      </c>
      <c r="AI2" s="9">
        <f>AG2+AH2</f>
        <v>5.4227956213510696E-2</v>
      </c>
      <c r="AJ2" s="10">
        <f>AG37+AG79+AG114</f>
        <v>43677.610162972123</v>
      </c>
      <c r="AK2" s="11">
        <f>'[23]LG MSW 2132'!J20</f>
        <v>43657.304134515929</v>
      </c>
      <c r="AL2" s="10">
        <f>AJ2-AK2</f>
        <v>20.306028456194326</v>
      </c>
      <c r="AM2" s="7">
        <f>AL2/AK2</f>
        <v>4.6512327911104717E-4</v>
      </c>
    </row>
    <row r="3" spans="1:39" x14ac:dyDescent="0.25">
      <c r="A3" s="5" t="s">
        <v>11</v>
      </c>
      <c r="B3" s="5"/>
      <c r="N3" s="12"/>
      <c r="O3" s="12"/>
      <c r="P3" s="12"/>
      <c r="S3" s="10"/>
      <c r="T3" s="10"/>
      <c r="U3" s="10"/>
      <c r="V3" s="10"/>
      <c r="AA3" s="13" t="s">
        <v>12</v>
      </c>
      <c r="AB3" s="14">
        <f>+'[25]Murrey''s G-9 Reg.'!AB2</f>
        <v>12</v>
      </c>
      <c r="AC3" s="12"/>
      <c r="AD3" s="12"/>
      <c r="AF3" s="6" t="s">
        <v>13</v>
      </c>
      <c r="AG3" s="7">
        <f>'[23]LG Recycle 2132'!K20</f>
        <v>0.49015548820462918</v>
      </c>
      <c r="AH3" s="8">
        <v>1.5E-3</v>
      </c>
      <c r="AI3" s="9">
        <f>AG3+AH3</f>
        <v>0.49165548820462918</v>
      </c>
      <c r="AJ3" s="10" t="e">
        <f>+#REF!</f>
        <v>#REF!</v>
      </c>
      <c r="AK3" s="11">
        <f>'[23]LG Recycle 2132'!J20</f>
        <v>50813.928184820747</v>
      </c>
      <c r="AL3" s="10" t="e">
        <f>AJ3-AK3</f>
        <v>#REF!</v>
      </c>
      <c r="AM3" s="7" t="e">
        <f>AL3/AK3</f>
        <v>#REF!</v>
      </c>
    </row>
    <row r="4" spans="1:39" x14ac:dyDescent="0.25">
      <c r="A4" s="5" t="s">
        <v>14</v>
      </c>
      <c r="B4" s="5"/>
      <c r="D4" s="15">
        <v>1</v>
      </c>
      <c r="E4" s="15">
        <v>2</v>
      </c>
      <c r="F4" s="15">
        <v>3</v>
      </c>
      <c r="G4" s="15">
        <v>4</v>
      </c>
      <c r="H4" s="15">
        <v>5</v>
      </c>
      <c r="I4" s="15">
        <v>6</v>
      </c>
      <c r="J4" s="15">
        <v>7</v>
      </c>
      <c r="K4" s="15">
        <v>8</v>
      </c>
      <c r="L4" s="15">
        <v>9</v>
      </c>
      <c r="M4" s="15">
        <v>10</v>
      </c>
      <c r="N4" s="15">
        <v>11</v>
      </c>
      <c r="O4" s="15">
        <v>12</v>
      </c>
      <c r="P4" s="15"/>
      <c r="AC4" s="15"/>
      <c r="AD4" s="15"/>
      <c r="AF4" s="6"/>
      <c r="AG4" s="16"/>
      <c r="AH4" s="7"/>
      <c r="AI4" s="17"/>
      <c r="AJ4" s="18" t="e">
        <f>SUM(AJ2:AJ3)</f>
        <v>#REF!</v>
      </c>
      <c r="AK4" s="18">
        <f>SUM(AK2:AK3)</f>
        <v>94471.232319336676</v>
      </c>
      <c r="AL4" s="18" t="e">
        <f>SUM(AL2:AL3)</f>
        <v>#REF!</v>
      </c>
      <c r="AM4" s="16" t="e">
        <f>AL4/AK4</f>
        <v>#REF!</v>
      </c>
    </row>
    <row r="5" spans="1:39" x14ac:dyDescent="0.25">
      <c r="B5" s="19"/>
      <c r="C5" s="20"/>
      <c r="D5" s="277" t="s">
        <v>15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1"/>
      <c r="Q5" s="277" t="s">
        <v>16</v>
      </c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1"/>
      <c r="AD5" s="22"/>
      <c r="AF5" s="6"/>
      <c r="AG5" s="23"/>
      <c r="AH5" s="7"/>
      <c r="AI5" s="17"/>
      <c r="AJ5" s="10"/>
    </row>
    <row r="6" spans="1:39" ht="60" x14ac:dyDescent="0.25">
      <c r="A6" s="24" t="s">
        <v>17</v>
      </c>
      <c r="B6" s="19" t="s">
        <v>18</v>
      </c>
      <c r="C6" s="19" t="s">
        <v>19</v>
      </c>
      <c r="D6" s="25">
        <v>43009</v>
      </c>
      <c r="E6" s="25">
        <v>43040</v>
      </c>
      <c r="F6" s="25">
        <v>43070</v>
      </c>
      <c r="G6" s="25">
        <v>43118</v>
      </c>
      <c r="H6" s="25">
        <v>43149</v>
      </c>
      <c r="I6" s="25">
        <v>43177</v>
      </c>
      <c r="J6" s="25">
        <v>43208</v>
      </c>
      <c r="K6" s="25">
        <v>43238</v>
      </c>
      <c r="L6" s="25">
        <v>43269</v>
      </c>
      <c r="M6" s="25">
        <v>43299</v>
      </c>
      <c r="N6" s="25">
        <v>43330</v>
      </c>
      <c r="O6" s="25">
        <v>43361</v>
      </c>
      <c r="P6" s="26" t="s">
        <v>20</v>
      </c>
      <c r="Q6" s="25">
        <v>43009</v>
      </c>
      <c r="R6" s="25">
        <v>43040</v>
      </c>
      <c r="S6" s="25">
        <v>43070</v>
      </c>
      <c r="T6" s="25">
        <v>43118</v>
      </c>
      <c r="U6" s="25">
        <v>43149</v>
      </c>
      <c r="V6" s="25">
        <v>43177</v>
      </c>
      <c r="W6" s="25">
        <v>43208</v>
      </c>
      <c r="X6" s="25">
        <v>43238</v>
      </c>
      <c r="Y6" s="25">
        <v>43269</v>
      </c>
      <c r="Z6" s="25">
        <v>43299</v>
      </c>
      <c r="AA6" s="25">
        <v>43330</v>
      </c>
      <c r="AB6" s="25">
        <v>43361</v>
      </c>
      <c r="AC6" s="26" t="s">
        <v>21</v>
      </c>
      <c r="AD6" s="27" t="s">
        <v>22</v>
      </c>
      <c r="AF6" s="26" t="s">
        <v>23</v>
      </c>
      <c r="AG6" s="26" t="s">
        <v>24</v>
      </c>
    </row>
    <row r="7" spans="1:39" x14ac:dyDescent="0.25">
      <c r="N7" s="1"/>
      <c r="O7" s="1"/>
      <c r="P7" s="28"/>
      <c r="Q7" s="2"/>
      <c r="AC7" s="28"/>
      <c r="AD7" s="29"/>
      <c r="AF7" s="28"/>
      <c r="AG7" s="28"/>
    </row>
    <row r="8" spans="1:39" outlineLevel="1" x14ac:dyDescent="0.25">
      <c r="A8" s="30" t="s">
        <v>25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  <c r="Q8" s="2"/>
      <c r="AC8" s="33"/>
      <c r="AD8" s="34"/>
      <c r="AF8" s="33"/>
      <c r="AG8" s="33"/>
    </row>
    <row r="9" spans="1:39" outlineLevel="1" x14ac:dyDescent="0.25">
      <c r="A9" s="30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  <c r="Q9" s="2"/>
      <c r="AC9" s="33"/>
      <c r="AD9" s="34"/>
      <c r="AF9" s="33"/>
      <c r="AG9" s="33"/>
    </row>
    <row r="10" spans="1:39" outlineLevel="2" x14ac:dyDescent="0.25">
      <c r="A10" s="35" t="s">
        <v>26</v>
      </c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2"/>
      <c r="AC10" s="33"/>
      <c r="AD10" s="34"/>
      <c r="AF10" s="33"/>
      <c r="AG10" s="33"/>
    </row>
    <row r="11" spans="1:39" outlineLevel="2" x14ac:dyDescent="0.25">
      <c r="A11" s="36" t="s">
        <v>27</v>
      </c>
      <c r="B11" s="36" t="s">
        <v>28</v>
      </c>
      <c r="C11" s="37">
        <f>IFERROR(VLOOKUP($A11,'[25]Rates Pre-030118'!$BC$1:$BE$114,3,FALSE),0)</f>
        <v>12.49</v>
      </c>
      <c r="D11" s="38">
        <v>1284.9100000000001</v>
      </c>
      <c r="E11" s="38">
        <v>1338.01</v>
      </c>
      <c r="F11" s="38">
        <v>1344.35</v>
      </c>
      <c r="G11" s="38">
        <v>1343.36</v>
      </c>
      <c r="H11" s="38">
        <v>1343.63</v>
      </c>
      <c r="I11" s="38">
        <v>1353.47</v>
      </c>
      <c r="J11" s="38">
        <v>1364.54</v>
      </c>
      <c r="K11" s="38">
        <v>1395.77</v>
      </c>
      <c r="L11" s="38">
        <v>1420.14</v>
      </c>
      <c r="M11" s="38">
        <v>1447.28</v>
      </c>
      <c r="N11" s="38">
        <v>1472.26</v>
      </c>
      <c r="O11" s="38">
        <v>1491</v>
      </c>
      <c r="P11" s="39">
        <f t="shared" ref="P11:P36" si="0">SUM(D11:O11)</f>
        <v>16598.72</v>
      </c>
      <c r="Q11" s="40">
        <f t="shared" ref="Q11:AB16" si="1">+IFERROR(D11/$C11,0)</f>
        <v>102.87510008006406</v>
      </c>
      <c r="R11" s="40">
        <f t="shared" si="1"/>
        <v>107.12650120096076</v>
      </c>
      <c r="S11" s="40">
        <f t="shared" si="1"/>
        <v>107.63410728582865</v>
      </c>
      <c r="T11" s="40">
        <f t="shared" si="1"/>
        <v>107.55484387510008</v>
      </c>
      <c r="U11" s="40">
        <f t="shared" si="1"/>
        <v>107.57646116893515</v>
      </c>
      <c r="V11" s="40">
        <f t="shared" si="1"/>
        <v>108.36429143314652</v>
      </c>
      <c r="W11" s="40">
        <f t="shared" si="1"/>
        <v>109.25060048038431</v>
      </c>
      <c r="X11" s="40">
        <f t="shared" si="1"/>
        <v>111.75100080064051</v>
      </c>
      <c r="Y11" s="40">
        <f t="shared" si="1"/>
        <v>113.70216172938352</v>
      </c>
      <c r="Z11" s="40">
        <f t="shared" si="1"/>
        <v>115.87510008006404</v>
      </c>
      <c r="AA11" s="40">
        <f t="shared" si="1"/>
        <v>117.87510008006404</v>
      </c>
      <c r="AB11" s="40">
        <f t="shared" si="1"/>
        <v>119.37550040032025</v>
      </c>
      <c r="AC11" s="39">
        <f t="shared" ref="AC11:AC20" si="2">+SUM(Q11:AB11)/$AB$3</f>
        <v>110.74673071790765</v>
      </c>
      <c r="AD11" s="223">
        <f t="shared" ref="AD11:AD36" si="3">AC11*12</f>
        <v>1328.9607686148918</v>
      </c>
      <c r="AF11" s="42">
        <f t="shared" ref="AF11:AF36" si="4">C11*$AI$2</f>
        <v>0.67730717310674859</v>
      </c>
      <c r="AG11" s="39">
        <f t="shared" ref="AG11:AG36" si="5">AC11*AF11*12</f>
        <v>900.11466136032413</v>
      </c>
    </row>
    <row r="12" spans="1:39" outlineLevel="2" x14ac:dyDescent="0.25">
      <c r="A12" s="36" t="s">
        <v>29</v>
      </c>
      <c r="B12" s="36" t="s">
        <v>30</v>
      </c>
      <c r="C12" s="37">
        <f>IFERROR(VLOOKUP($A12,'[25]Rates Pre-030118'!$BC$1:$BE$114,3,FALSE),0)</f>
        <v>0</v>
      </c>
      <c r="D12" s="38">
        <v>0</v>
      </c>
      <c r="E12" s="38">
        <v>0</v>
      </c>
      <c r="F12" s="38">
        <v>-6.25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-6.89</v>
      </c>
      <c r="N12" s="38">
        <v>0</v>
      </c>
      <c r="O12" s="38">
        <v>-2.89</v>
      </c>
      <c r="P12" s="39">
        <f t="shared" si="0"/>
        <v>-16.03</v>
      </c>
      <c r="Q12" s="40">
        <f t="shared" si="1"/>
        <v>0</v>
      </c>
      <c r="R12" s="40">
        <f t="shared" si="1"/>
        <v>0</v>
      </c>
      <c r="S12" s="40">
        <f t="shared" si="1"/>
        <v>0</v>
      </c>
      <c r="T12" s="40">
        <f t="shared" si="1"/>
        <v>0</v>
      </c>
      <c r="U12" s="40">
        <f t="shared" si="1"/>
        <v>0</v>
      </c>
      <c r="V12" s="40">
        <f t="shared" si="1"/>
        <v>0</v>
      </c>
      <c r="W12" s="40">
        <f t="shared" si="1"/>
        <v>0</v>
      </c>
      <c r="X12" s="40">
        <f t="shared" si="1"/>
        <v>0</v>
      </c>
      <c r="Y12" s="40">
        <f t="shared" si="1"/>
        <v>0</v>
      </c>
      <c r="Z12" s="40">
        <f t="shared" si="1"/>
        <v>0</v>
      </c>
      <c r="AA12" s="40">
        <f t="shared" si="1"/>
        <v>0</v>
      </c>
      <c r="AB12" s="40">
        <f t="shared" si="1"/>
        <v>0</v>
      </c>
      <c r="AC12" s="39">
        <f t="shared" si="2"/>
        <v>0</v>
      </c>
      <c r="AD12" s="223">
        <f t="shared" si="3"/>
        <v>0</v>
      </c>
      <c r="AF12" s="42">
        <f t="shared" si="4"/>
        <v>0</v>
      </c>
      <c r="AG12" s="39">
        <f t="shared" si="5"/>
        <v>0</v>
      </c>
    </row>
    <row r="13" spans="1:39" outlineLevel="2" x14ac:dyDescent="0.25">
      <c r="A13" s="36" t="s">
        <v>31</v>
      </c>
      <c r="B13" s="36" t="s">
        <v>32</v>
      </c>
      <c r="C13" s="37">
        <f>IFERROR(VLOOKUP($A13,'[25]Rates Pre-030118'!$BC$1:$BE$114,3,FALSE),0)</f>
        <v>13.96</v>
      </c>
      <c r="D13" s="38">
        <v>3081.67</v>
      </c>
      <c r="E13" s="38">
        <v>3175.9</v>
      </c>
      <c r="F13" s="38">
        <v>3221.27</v>
      </c>
      <c r="G13" s="38">
        <v>3221.27</v>
      </c>
      <c r="H13" s="38">
        <v>3270.13</v>
      </c>
      <c r="I13" s="38">
        <v>3318.9900000000002</v>
      </c>
      <c r="J13" s="38">
        <v>3291.0699999999997</v>
      </c>
      <c r="K13" s="38">
        <v>3312.4399999999996</v>
      </c>
      <c r="L13" s="38">
        <v>3392.28</v>
      </c>
      <c r="M13" s="38">
        <v>3371.34</v>
      </c>
      <c r="N13" s="38">
        <v>3387.05</v>
      </c>
      <c r="O13" s="38">
        <v>3488.26</v>
      </c>
      <c r="P13" s="39">
        <f t="shared" si="0"/>
        <v>39531.670000000006</v>
      </c>
      <c r="Q13" s="40">
        <f t="shared" si="1"/>
        <v>220.75</v>
      </c>
      <c r="R13" s="40">
        <f t="shared" si="1"/>
        <v>227.5</v>
      </c>
      <c r="S13" s="40">
        <f t="shared" si="1"/>
        <v>230.74999999999997</v>
      </c>
      <c r="T13" s="40">
        <f t="shared" si="1"/>
        <v>230.74999999999997</v>
      </c>
      <c r="U13" s="40">
        <f t="shared" si="1"/>
        <v>234.25</v>
      </c>
      <c r="V13" s="40">
        <f t="shared" si="1"/>
        <v>237.75</v>
      </c>
      <c r="W13" s="40">
        <f t="shared" si="1"/>
        <v>235.74999999999997</v>
      </c>
      <c r="X13" s="40">
        <f t="shared" si="1"/>
        <v>237.28080229226356</v>
      </c>
      <c r="Y13" s="40">
        <f t="shared" si="1"/>
        <v>243</v>
      </c>
      <c r="Z13" s="40">
        <f t="shared" si="1"/>
        <v>241.5</v>
      </c>
      <c r="AA13" s="40">
        <f t="shared" si="1"/>
        <v>242.6253581661891</v>
      </c>
      <c r="AB13" s="40">
        <f t="shared" si="1"/>
        <v>249.8753581661891</v>
      </c>
      <c r="AC13" s="39">
        <f t="shared" si="2"/>
        <v>235.98179321872013</v>
      </c>
      <c r="AD13" s="223">
        <f t="shared" si="3"/>
        <v>2831.7815186246416</v>
      </c>
      <c r="AF13" s="42">
        <f t="shared" si="4"/>
        <v>0.75702226874060941</v>
      </c>
      <c r="AG13" s="39">
        <f t="shared" si="5"/>
        <v>2143.7216698069542</v>
      </c>
    </row>
    <row r="14" spans="1:39" outlineLevel="2" x14ac:dyDescent="0.25">
      <c r="A14" s="36" t="s">
        <v>33</v>
      </c>
      <c r="B14" s="36" t="s">
        <v>34</v>
      </c>
      <c r="C14" s="37">
        <f>IFERROR(VLOOKUP($A14,'[25]Rates Pre-030118'!$BC$1:$BE$114,3,FALSE),0)</f>
        <v>11.26</v>
      </c>
      <c r="D14" s="38">
        <v>532.04</v>
      </c>
      <c r="E14" s="38">
        <v>537.66999999999996</v>
      </c>
      <c r="F14" s="38">
        <v>548.92999999999995</v>
      </c>
      <c r="G14" s="38">
        <v>560.18999999999994</v>
      </c>
      <c r="H14" s="38">
        <v>562.29999999999995</v>
      </c>
      <c r="I14" s="38">
        <v>584.81999999999994</v>
      </c>
      <c r="J14" s="38">
        <v>582.71</v>
      </c>
      <c r="K14" s="38">
        <v>588.34</v>
      </c>
      <c r="L14" s="38">
        <v>602.41</v>
      </c>
      <c r="M14" s="38">
        <v>613.66999999999996</v>
      </c>
      <c r="N14" s="38">
        <v>623.53</v>
      </c>
      <c r="O14" s="38">
        <v>626.33999999999992</v>
      </c>
      <c r="P14" s="39">
        <f t="shared" si="0"/>
        <v>6962.95</v>
      </c>
      <c r="Q14" s="40">
        <f t="shared" si="1"/>
        <v>47.250444049733566</v>
      </c>
      <c r="R14" s="40">
        <f t="shared" si="1"/>
        <v>47.750444049733566</v>
      </c>
      <c r="S14" s="40">
        <f t="shared" si="1"/>
        <v>48.750444049733566</v>
      </c>
      <c r="T14" s="40">
        <f t="shared" si="1"/>
        <v>49.750444049733566</v>
      </c>
      <c r="U14" s="40">
        <f t="shared" si="1"/>
        <v>49.937833037300173</v>
      </c>
      <c r="V14" s="40">
        <f t="shared" si="1"/>
        <v>51.937833037300173</v>
      </c>
      <c r="W14" s="40">
        <f t="shared" si="1"/>
        <v>51.750444049733574</v>
      </c>
      <c r="X14" s="40">
        <f t="shared" si="1"/>
        <v>52.250444049733574</v>
      </c>
      <c r="Y14" s="40">
        <f t="shared" si="1"/>
        <v>53.5</v>
      </c>
      <c r="Z14" s="40">
        <f t="shared" si="1"/>
        <v>54.5</v>
      </c>
      <c r="AA14" s="40">
        <f t="shared" si="1"/>
        <v>55.375666074600353</v>
      </c>
      <c r="AB14" s="40">
        <f t="shared" si="1"/>
        <v>55.62522202486678</v>
      </c>
      <c r="AC14" s="39">
        <f t="shared" si="2"/>
        <v>51.531601539372396</v>
      </c>
      <c r="AD14" s="223">
        <f t="shared" si="3"/>
        <v>618.37921847246878</v>
      </c>
      <c r="AF14" s="42">
        <f t="shared" si="4"/>
        <v>0.6106067869641304</v>
      </c>
      <c r="AG14" s="39">
        <f t="shared" si="5"/>
        <v>377.58654771686417</v>
      </c>
    </row>
    <row r="15" spans="1:39" outlineLevel="2" x14ac:dyDescent="0.25">
      <c r="A15" s="36" t="s">
        <v>35</v>
      </c>
      <c r="B15" s="36" t="s">
        <v>36</v>
      </c>
      <c r="C15" s="37">
        <f>IFERROR(VLOOKUP($A15,'[25]Rates Pre-030118'!$BC$1:$BE$114,3,FALSE),0)</f>
        <v>5.73</v>
      </c>
      <c r="D15" s="38">
        <v>5.73</v>
      </c>
      <c r="E15" s="38">
        <v>11.46</v>
      </c>
      <c r="F15" s="38">
        <v>5.73</v>
      </c>
      <c r="G15" s="38">
        <v>0</v>
      </c>
      <c r="H15" s="38">
        <v>11.46</v>
      </c>
      <c r="I15" s="38">
        <v>0</v>
      </c>
      <c r="J15" s="38">
        <v>-5.73</v>
      </c>
      <c r="K15" s="38">
        <v>-5.73</v>
      </c>
      <c r="L15" s="38">
        <v>22.92</v>
      </c>
      <c r="M15" s="38">
        <v>11.46</v>
      </c>
      <c r="N15" s="38">
        <v>0</v>
      </c>
      <c r="O15" s="38">
        <v>0</v>
      </c>
      <c r="P15" s="39">
        <f t="shared" si="0"/>
        <v>57.300000000000004</v>
      </c>
      <c r="Q15" s="40">
        <f t="shared" si="1"/>
        <v>1</v>
      </c>
      <c r="R15" s="40">
        <f t="shared" si="1"/>
        <v>2</v>
      </c>
      <c r="S15" s="40">
        <f t="shared" si="1"/>
        <v>1</v>
      </c>
      <c r="T15" s="40">
        <f t="shared" si="1"/>
        <v>0</v>
      </c>
      <c r="U15" s="40">
        <f t="shared" si="1"/>
        <v>2</v>
      </c>
      <c r="V15" s="40">
        <f t="shared" si="1"/>
        <v>0</v>
      </c>
      <c r="W15" s="40">
        <f t="shared" si="1"/>
        <v>-1</v>
      </c>
      <c r="X15" s="40">
        <f t="shared" si="1"/>
        <v>-1</v>
      </c>
      <c r="Y15" s="40">
        <f t="shared" si="1"/>
        <v>4</v>
      </c>
      <c r="Z15" s="40">
        <f t="shared" si="1"/>
        <v>2</v>
      </c>
      <c r="AA15" s="40">
        <f t="shared" si="1"/>
        <v>0</v>
      </c>
      <c r="AB15" s="40">
        <f t="shared" si="1"/>
        <v>0</v>
      </c>
      <c r="AC15" s="39">
        <f t="shared" si="2"/>
        <v>0.83333333333333337</v>
      </c>
      <c r="AD15" s="223">
        <f t="shared" si="3"/>
        <v>10</v>
      </c>
      <c r="AF15" s="42">
        <f t="shared" si="4"/>
        <v>0.31072618910341632</v>
      </c>
      <c r="AG15" s="39">
        <f t="shared" si="5"/>
        <v>3.1072618910341632</v>
      </c>
    </row>
    <row r="16" spans="1:39" outlineLevel="2" x14ac:dyDescent="0.25">
      <c r="A16" s="36" t="s">
        <v>37</v>
      </c>
      <c r="B16" s="36" t="s">
        <v>38</v>
      </c>
      <c r="C16" s="37">
        <f>IFERROR(VLOOKUP($A16,'[25]Rates Pre-030118'!$BC$1:$BE$114,3,FALSE),0)</f>
        <v>17.64</v>
      </c>
      <c r="D16" s="38">
        <v>23583.48</v>
      </c>
      <c r="E16" s="38">
        <v>23755.14</v>
      </c>
      <c r="F16" s="38">
        <v>23389.59</v>
      </c>
      <c r="G16" s="38">
        <v>23455.809999999998</v>
      </c>
      <c r="H16" s="38">
        <v>23420.33</v>
      </c>
      <c r="I16" s="38">
        <v>23736.469999999998</v>
      </c>
      <c r="J16" s="38">
        <v>23560.38</v>
      </c>
      <c r="K16" s="38">
        <v>24064.850000000002</v>
      </c>
      <c r="L16" s="38">
        <v>24303.989999999998</v>
      </c>
      <c r="M16" s="38">
        <v>24685.05</v>
      </c>
      <c r="N16" s="38">
        <v>24652.05</v>
      </c>
      <c r="O16" s="38">
        <v>24997.4</v>
      </c>
      <c r="P16" s="39">
        <f t="shared" si="0"/>
        <v>287604.53999999998</v>
      </c>
      <c r="Q16" s="40">
        <f t="shared" si="1"/>
        <v>1336.9319727891157</v>
      </c>
      <c r="R16" s="40">
        <f t="shared" si="1"/>
        <v>1346.6632653061224</v>
      </c>
      <c r="S16" s="40">
        <f t="shared" si="1"/>
        <v>1325.9404761904761</v>
      </c>
      <c r="T16" s="40">
        <f t="shared" si="1"/>
        <v>1329.6944444444443</v>
      </c>
      <c r="U16" s="40">
        <f t="shared" si="1"/>
        <v>1327.6831065759638</v>
      </c>
      <c r="V16" s="40">
        <f t="shared" si="1"/>
        <v>1345.6048752834465</v>
      </c>
      <c r="W16" s="40">
        <f t="shared" si="1"/>
        <v>1335.6224489795918</v>
      </c>
      <c r="X16" s="40">
        <f t="shared" si="1"/>
        <v>1364.2205215419501</v>
      </c>
      <c r="Y16" s="40">
        <f t="shared" si="1"/>
        <v>1377.7772108843535</v>
      </c>
      <c r="Z16" s="40">
        <f t="shared" si="1"/>
        <v>1399.3792517006802</v>
      </c>
      <c r="AA16" s="40">
        <f t="shared" si="1"/>
        <v>1397.5085034013605</v>
      </c>
      <c r="AB16" s="40">
        <f t="shared" si="1"/>
        <v>1417.0861678004535</v>
      </c>
      <c r="AC16" s="39">
        <f t="shared" si="2"/>
        <v>1358.6760204081631</v>
      </c>
      <c r="AD16" s="223">
        <f t="shared" si="3"/>
        <v>16304.112244897959</v>
      </c>
      <c r="AF16" s="42">
        <f t="shared" si="4"/>
        <v>0.95658114760632873</v>
      </c>
      <c r="AG16" s="39">
        <f t="shared" si="5"/>
        <v>15596.206401926884</v>
      </c>
    </row>
    <row r="17" spans="1:33" outlineLevel="2" x14ac:dyDescent="0.25">
      <c r="A17" s="36" t="s">
        <v>39</v>
      </c>
      <c r="B17" s="36" t="s">
        <v>40</v>
      </c>
      <c r="C17" s="37">
        <f>IFERROR(VLOOKUP($A17,'[25]Rates Pre-030118'!$BC$1:$BE$114,3,FALSE),0)</f>
        <v>24.65</v>
      </c>
      <c r="D17" s="38">
        <v>6048.5</v>
      </c>
      <c r="E17" s="38">
        <v>5993.03</v>
      </c>
      <c r="F17" s="38">
        <v>6027.87</v>
      </c>
      <c r="G17" s="38">
        <v>6034.04</v>
      </c>
      <c r="H17" s="38">
        <v>5798.6600000000008</v>
      </c>
      <c r="I17" s="38">
        <v>5994.4500000000007</v>
      </c>
      <c r="J17" s="38">
        <v>6005.36</v>
      </c>
      <c r="K17" s="38">
        <v>6153.2699999999995</v>
      </c>
      <c r="L17" s="38">
        <v>6230.51</v>
      </c>
      <c r="M17" s="38">
        <v>6498.39</v>
      </c>
      <c r="N17" s="38">
        <v>6541.72</v>
      </c>
      <c r="O17" s="38">
        <v>6341.6900000000005</v>
      </c>
      <c r="P17" s="39">
        <f t="shared" si="0"/>
        <v>73667.490000000005</v>
      </c>
      <c r="Q17" s="40">
        <f t="shared" ref="Q17:AB20" si="6">+IFERROR(D17/$C17,0)</f>
        <v>245.37525354969574</v>
      </c>
      <c r="R17" s="40">
        <f t="shared" si="6"/>
        <v>243.12494929006087</v>
      </c>
      <c r="S17" s="40">
        <f t="shared" si="6"/>
        <v>244.53833671399596</v>
      </c>
      <c r="T17" s="40">
        <f t="shared" si="6"/>
        <v>244.78864097363083</v>
      </c>
      <c r="U17" s="40">
        <f t="shared" si="6"/>
        <v>235.23975659229214</v>
      </c>
      <c r="V17" s="40">
        <f t="shared" si="6"/>
        <v>243.18255578093311</v>
      </c>
      <c r="W17" s="40">
        <f t="shared" si="6"/>
        <v>243.62515212981745</v>
      </c>
      <c r="X17" s="40">
        <f t="shared" si="6"/>
        <v>249.62555780933062</v>
      </c>
      <c r="Y17" s="40">
        <f t="shared" si="6"/>
        <v>252.75902636916837</v>
      </c>
      <c r="Z17" s="40">
        <f t="shared" si="6"/>
        <v>263.62636916835703</v>
      </c>
      <c r="AA17" s="40">
        <f t="shared" si="6"/>
        <v>265.38417849898582</v>
      </c>
      <c r="AB17" s="40">
        <f t="shared" si="6"/>
        <v>257.26937119675461</v>
      </c>
      <c r="AC17" s="39">
        <f t="shared" si="2"/>
        <v>249.04492900608523</v>
      </c>
      <c r="AD17" s="223">
        <f t="shared" si="3"/>
        <v>2988.5391480730227</v>
      </c>
      <c r="AF17" s="42">
        <f t="shared" si="4"/>
        <v>1.3367191206630387</v>
      </c>
      <c r="AG17" s="39">
        <f t="shared" si="5"/>
        <v>3994.8374220792375</v>
      </c>
    </row>
    <row r="18" spans="1:33" outlineLevel="2" x14ac:dyDescent="0.25">
      <c r="A18" s="36" t="s">
        <v>41</v>
      </c>
      <c r="B18" s="36" t="s">
        <v>42</v>
      </c>
      <c r="C18" s="37">
        <f>IFERROR(VLOOKUP($A18,'[25]Rates Pre-030118'!$BC$1:$BE$114,3,FALSE),0)</f>
        <v>33.229999999999997</v>
      </c>
      <c r="D18" s="38">
        <v>498.45</v>
      </c>
      <c r="E18" s="38">
        <v>465.21999999999997</v>
      </c>
      <c r="F18" s="38">
        <v>465.22</v>
      </c>
      <c r="G18" s="38">
        <v>465.22</v>
      </c>
      <c r="H18" s="38">
        <v>415.38</v>
      </c>
      <c r="I18" s="38">
        <v>432</v>
      </c>
      <c r="J18" s="38">
        <v>494.3</v>
      </c>
      <c r="K18" s="38">
        <v>427.84000000000003</v>
      </c>
      <c r="L18" s="38">
        <v>465.22</v>
      </c>
      <c r="M18" s="38">
        <v>465.22</v>
      </c>
      <c r="N18" s="38">
        <v>465.22</v>
      </c>
      <c r="O18" s="38">
        <v>465.22</v>
      </c>
      <c r="P18" s="39">
        <f t="shared" si="0"/>
        <v>5524.5100000000011</v>
      </c>
      <c r="Q18" s="40">
        <f t="shared" si="6"/>
        <v>15.000000000000002</v>
      </c>
      <c r="R18" s="40">
        <f t="shared" si="6"/>
        <v>14</v>
      </c>
      <c r="S18" s="40">
        <f t="shared" si="6"/>
        <v>14.000000000000002</v>
      </c>
      <c r="T18" s="40">
        <f t="shared" si="6"/>
        <v>14.000000000000002</v>
      </c>
      <c r="U18" s="40">
        <f t="shared" si="6"/>
        <v>12.500150466445984</v>
      </c>
      <c r="V18" s="40">
        <f t="shared" si="6"/>
        <v>13.000300932891966</v>
      </c>
      <c r="W18" s="40">
        <f t="shared" si="6"/>
        <v>14.875112849834489</v>
      </c>
      <c r="X18" s="40">
        <f t="shared" si="6"/>
        <v>12.875112849834489</v>
      </c>
      <c r="Y18" s="40">
        <f t="shared" si="6"/>
        <v>14.000000000000002</v>
      </c>
      <c r="Z18" s="40">
        <f t="shared" si="6"/>
        <v>14.000000000000002</v>
      </c>
      <c r="AA18" s="40">
        <f t="shared" si="6"/>
        <v>14.000000000000002</v>
      </c>
      <c r="AB18" s="40">
        <f t="shared" si="6"/>
        <v>14.000000000000002</v>
      </c>
      <c r="AC18" s="39">
        <f t="shared" si="2"/>
        <v>13.854223091583911</v>
      </c>
      <c r="AD18" s="223">
        <f t="shared" si="3"/>
        <v>166.25067709900694</v>
      </c>
      <c r="AF18" s="42">
        <f t="shared" si="4"/>
        <v>1.8019949849749604</v>
      </c>
      <c r="AG18" s="39">
        <f t="shared" si="5"/>
        <v>299.58288638110201</v>
      </c>
    </row>
    <row r="19" spans="1:33" outlineLevel="2" x14ac:dyDescent="0.25">
      <c r="A19" s="36" t="s">
        <v>43</v>
      </c>
      <c r="B19" s="36" t="s">
        <v>44</v>
      </c>
      <c r="C19" s="37">
        <f>IFERROR(VLOOKUP($A19,'[25]Rates Pre-030118'!$BC$1:$BE$114,3,FALSE),0)</f>
        <v>41.59</v>
      </c>
      <c r="D19" s="38">
        <v>83.18</v>
      </c>
      <c r="E19" s="38">
        <v>83.18</v>
      </c>
      <c r="F19" s="38">
        <v>83.18</v>
      </c>
      <c r="G19" s="38">
        <v>83.18</v>
      </c>
      <c r="H19" s="38">
        <v>83.18</v>
      </c>
      <c r="I19" s="38">
        <v>83.18</v>
      </c>
      <c r="J19" s="38">
        <v>83.18</v>
      </c>
      <c r="K19" s="38">
        <v>83.18</v>
      </c>
      <c r="L19" s="38">
        <v>83.18</v>
      </c>
      <c r="M19" s="38">
        <v>83.18</v>
      </c>
      <c r="N19" s="38">
        <v>88.38</v>
      </c>
      <c r="O19" s="38">
        <v>88.38</v>
      </c>
      <c r="P19" s="39">
        <f t="shared" si="0"/>
        <v>1008.5600000000002</v>
      </c>
      <c r="Q19" s="40">
        <f t="shared" si="6"/>
        <v>2</v>
      </c>
      <c r="R19" s="40">
        <f t="shared" si="6"/>
        <v>2</v>
      </c>
      <c r="S19" s="40">
        <f t="shared" si="6"/>
        <v>2</v>
      </c>
      <c r="T19" s="40">
        <f t="shared" si="6"/>
        <v>2</v>
      </c>
      <c r="U19" s="40">
        <f t="shared" si="6"/>
        <v>2</v>
      </c>
      <c r="V19" s="40">
        <f t="shared" si="6"/>
        <v>2</v>
      </c>
      <c r="W19" s="40">
        <f t="shared" si="6"/>
        <v>2</v>
      </c>
      <c r="X19" s="40">
        <f t="shared" si="6"/>
        <v>2</v>
      </c>
      <c r="Y19" s="40">
        <f t="shared" si="6"/>
        <v>2</v>
      </c>
      <c r="Z19" s="40">
        <f t="shared" si="6"/>
        <v>2</v>
      </c>
      <c r="AA19" s="40">
        <f t="shared" si="6"/>
        <v>2.1250300553017549</v>
      </c>
      <c r="AB19" s="40">
        <f t="shared" si="6"/>
        <v>2.1250300553017549</v>
      </c>
      <c r="AC19" s="39">
        <f t="shared" si="2"/>
        <v>2.0208383425502929</v>
      </c>
      <c r="AD19" s="223">
        <f t="shared" si="3"/>
        <v>24.250060110603513</v>
      </c>
      <c r="AF19" s="42">
        <f t="shared" si="4"/>
        <v>2.2553406989199098</v>
      </c>
      <c r="AG19" s="39">
        <f t="shared" si="5"/>
        <v>54.692147518698363</v>
      </c>
    </row>
    <row r="20" spans="1:33" outlineLevel="2" x14ac:dyDescent="0.25">
      <c r="A20" s="36" t="s">
        <v>45</v>
      </c>
      <c r="B20" s="36" t="s">
        <v>46</v>
      </c>
      <c r="C20" s="37">
        <f>IFERROR(VLOOKUP($A20,'[25]Rates Pre-030118'!$BC$1:$BE$114,3,FALSE),0)</f>
        <v>0</v>
      </c>
      <c r="D20" s="38">
        <v>-8.14</v>
      </c>
      <c r="E20" s="38">
        <v>0</v>
      </c>
      <c r="F20" s="38">
        <v>0</v>
      </c>
      <c r="G20" s="38">
        <v>-279.54000000000002</v>
      </c>
      <c r="H20" s="38">
        <v>-4.08</v>
      </c>
      <c r="I20" s="38">
        <v>-134.03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9">
        <f t="shared" si="0"/>
        <v>-425.78999999999996</v>
      </c>
      <c r="Q20" s="40">
        <f t="shared" si="6"/>
        <v>0</v>
      </c>
      <c r="R20" s="40">
        <f t="shared" si="6"/>
        <v>0</v>
      </c>
      <c r="S20" s="40">
        <f t="shared" si="6"/>
        <v>0</v>
      </c>
      <c r="T20" s="40">
        <f t="shared" si="6"/>
        <v>0</v>
      </c>
      <c r="U20" s="40">
        <f t="shared" si="6"/>
        <v>0</v>
      </c>
      <c r="V20" s="40">
        <f t="shared" si="6"/>
        <v>0</v>
      </c>
      <c r="W20" s="40">
        <f t="shared" si="6"/>
        <v>0</v>
      </c>
      <c r="X20" s="40">
        <f t="shared" si="6"/>
        <v>0</v>
      </c>
      <c r="Y20" s="40">
        <f t="shared" si="6"/>
        <v>0</v>
      </c>
      <c r="Z20" s="40">
        <f t="shared" si="6"/>
        <v>0</v>
      </c>
      <c r="AA20" s="40">
        <f t="shared" si="6"/>
        <v>0</v>
      </c>
      <c r="AB20" s="40">
        <f t="shared" si="6"/>
        <v>0</v>
      </c>
      <c r="AC20" s="39">
        <f t="shared" si="2"/>
        <v>0</v>
      </c>
      <c r="AD20" s="223">
        <f t="shared" si="3"/>
        <v>0</v>
      </c>
      <c r="AF20" s="42">
        <f t="shared" si="4"/>
        <v>0</v>
      </c>
      <c r="AG20" s="39">
        <f t="shared" si="5"/>
        <v>0</v>
      </c>
    </row>
    <row r="21" spans="1:33" outlineLevel="2" x14ac:dyDescent="0.25">
      <c r="A21" s="36" t="s">
        <v>47</v>
      </c>
      <c r="B21" s="36" t="s">
        <v>48</v>
      </c>
      <c r="C21" s="37">
        <f>IFERROR(VLOOKUP($A21,'[25]Rates Pre-030118'!$BC$1:$BE$114,3,FALSE),0)</f>
        <v>0</v>
      </c>
      <c r="D21" s="38">
        <v>0</v>
      </c>
      <c r="E21" s="38">
        <v>0</v>
      </c>
      <c r="F21" s="38">
        <v>0</v>
      </c>
      <c r="G21" s="38">
        <v>-3.96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9">
        <f t="shared" si="0"/>
        <v>-3.96</v>
      </c>
      <c r="Q21" s="40">
        <f t="shared" ref="Q21:AB35" si="7">+IFERROR(D21/$C21,0)</f>
        <v>0</v>
      </c>
      <c r="R21" s="40">
        <f t="shared" si="7"/>
        <v>0</v>
      </c>
      <c r="S21" s="40">
        <f t="shared" si="7"/>
        <v>0</v>
      </c>
      <c r="T21" s="40">
        <f t="shared" si="7"/>
        <v>0</v>
      </c>
      <c r="U21" s="40">
        <f t="shared" si="7"/>
        <v>0</v>
      </c>
      <c r="V21" s="40">
        <f t="shared" si="7"/>
        <v>0</v>
      </c>
      <c r="W21" s="40">
        <f t="shared" si="7"/>
        <v>0</v>
      </c>
      <c r="X21" s="40">
        <f t="shared" si="7"/>
        <v>0</v>
      </c>
      <c r="Y21" s="40">
        <f t="shared" si="7"/>
        <v>0</v>
      </c>
      <c r="Z21" s="40">
        <f t="shared" si="7"/>
        <v>0</v>
      </c>
      <c r="AA21" s="40">
        <f t="shared" si="7"/>
        <v>0</v>
      </c>
      <c r="AB21" s="40">
        <f t="shared" si="7"/>
        <v>0</v>
      </c>
      <c r="AC21" s="39">
        <f t="shared" ref="AC21:AC36" si="8">+SUM(Q21:AB21)/$AB$3</f>
        <v>0</v>
      </c>
      <c r="AD21" s="41">
        <f t="shared" si="3"/>
        <v>0</v>
      </c>
      <c r="AF21" s="42">
        <f t="shared" si="4"/>
        <v>0</v>
      </c>
      <c r="AG21" s="39">
        <f t="shared" si="5"/>
        <v>0</v>
      </c>
    </row>
    <row r="22" spans="1:33" outlineLevel="2" x14ac:dyDescent="0.25">
      <c r="A22" s="36" t="s">
        <v>49</v>
      </c>
      <c r="B22" s="36" t="s">
        <v>50</v>
      </c>
      <c r="C22" s="37">
        <f>IFERROR(VLOOKUP($A22,'[25]Rates Pre-030118'!$BC$1:$BE$114,3,FALSE),0)</f>
        <v>2.29</v>
      </c>
      <c r="D22" s="38">
        <v>36.119999999999997</v>
      </c>
      <c r="E22" s="38">
        <v>36.119999999999997</v>
      </c>
      <c r="F22" s="38">
        <v>45.32</v>
      </c>
      <c r="G22" s="38">
        <v>46.38</v>
      </c>
      <c r="H22" s="38">
        <v>34.89</v>
      </c>
      <c r="I22" s="38">
        <v>34.89</v>
      </c>
      <c r="J22" s="38">
        <v>25.69</v>
      </c>
      <c r="K22" s="38">
        <v>30.270000000000003</v>
      </c>
      <c r="L22" s="38">
        <v>30.27</v>
      </c>
      <c r="M22" s="38">
        <v>29.13</v>
      </c>
      <c r="N22" s="38">
        <v>32.56</v>
      </c>
      <c r="O22" s="38">
        <v>32.56</v>
      </c>
      <c r="P22" s="39">
        <f t="shared" si="0"/>
        <v>414.19999999999993</v>
      </c>
      <c r="Q22" s="40">
        <f t="shared" si="7"/>
        <v>15.772925764192138</v>
      </c>
      <c r="R22" s="40">
        <f t="shared" si="7"/>
        <v>15.772925764192138</v>
      </c>
      <c r="S22" s="40">
        <f t="shared" si="7"/>
        <v>19.790393013100438</v>
      </c>
      <c r="T22" s="40">
        <f t="shared" si="7"/>
        <v>20.253275109170307</v>
      </c>
      <c r="U22" s="40">
        <f t="shared" si="7"/>
        <v>15.235807860262009</v>
      </c>
      <c r="V22" s="40">
        <f t="shared" si="7"/>
        <v>15.235807860262009</v>
      </c>
      <c r="W22" s="40">
        <f t="shared" si="7"/>
        <v>11.218340611353712</v>
      </c>
      <c r="X22" s="40">
        <f t="shared" si="7"/>
        <v>13.218340611353712</v>
      </c>
      <c r="Y22" s="40">
        <f t="shared" si="7"/>
        <v>13.218340611353712</v>
      </c>
      <c r="Z22" s="40">
        <f t="shared" si="7"/>
        <v>12.720524017467248</v>
      </c>
      <c r="AA22" s="40">
        <f t="shared" si="7"/>
        <v>14.218340611353712</v>
      </c>
      <c r="AB22" s="40">
        <f t="shared" si="7"/>
        <v>14.218340611353712</v>
      </c>
      <c r="AC22" s="39">
        <f t="shared" si="8"/>
        <v>15.072780203784573</v>
      </c>
      <c r="AD22" s="41">
        <f t="shared" si="3"/>
        <v>180.87336244541487</v>
      </c>
      <c r="AF22" s="42">
        <f t="shared" si="4"/>
        <v>0.1241820197289395</v>
      </c>
      <c r="AG22" s="39">
        <f t="shared" si="5"/>
        <v>22.461219463636134</v>
      </c>
    </row>
    <row r="23" spans="1:33" outlineLevel="2" x14ac:dyDescent="0.25">
      <c r="A23" s="36" t="s">
        <v>51</v>
      </c>
      <c r="B23" s="36" t="s">
        <v>52</v>
      </c>
      <c r="C23" s="37">
        <f>IFERROR(VLOOKUP($A23,'[25]Rates Pre-030118'!$BC$1:$BE$114,3,FALSE),0)</f>
        <v>5.31</v>
      </c>
      <c r="D23" s="38">
        <v>26.55</v>
      </c>
      <c r="E23" s="38">
        <v>29.2</v>
      </c>
      <c r="F23" s="38">
        <v>30.54</v>
      </c>
      <c r="G23" s="38">
        <v>30.54</v>
      </c>
      <c r="H23" s="38">
        <v>31.86</v>
      </c>
      <c r="I23" s="38">
        <v>31.86</v>
      </c>
      <c r="J23" s="38">
        <v>31.86</v>
      </c>
      <c r="K23" s="38">
        <v>31.86</v>
      </c>
      <c r="L23" s="38">
        <v>34.520000000000003</v>
      </c>
      <c r="M23" s="38">
        <v>34.520000000000003</v>
      </c>
      <c r="N23" s="38">
        <v>37.17</v>
      </c>
      <c r="O23" s="38">
        <v>37.17</v>
      </c>
      <c r="P23" s="39">
        <f t="shared" si="0"/>
        <v>387.65000000000003</v>
      </c>
      <c r="Q23" s="40">
        <f t="shared" si="7"/>
        <v>5.0000000000000009</v>
      </c>
      <c r="R23" s="40">
        <f t="shared" si="7"/>
        <v>5.4990583804143132</v>
      </c>
      <c r="S23" s="40">
        <f t="shared" si="7"/>
        <v>5.7514124293785311</v>
      </c>
      <c r="T23" s="40">
        <f t="shared" si="7"/>
        <v>5.7514124293785311</v>
      </c>
      <c r="U23" s="40">
        <f t="shared" si="7"/>
        <v>6</v>
      </c>
      <c r="V23" s="40">
        <f t="shared" si="7"/>
        <v>6</v>
      </c>
      <c r="W23" s="40">
        <f t="shared" si="7"/>
        <v>6</v>
      </c>
      <c r="X23" s="40">
        <f t="shared" si="7"/>
        <v>6</v>
      </c>
      <c r="Y23" s="40">
        <f t="shared" si="7"/>
        <v>6.5009416195856886</v>
      </c>
      <c r="Z23" s="40">
        <f t="shared" si="7"/>
        <v>6.5009416195856886</v>
      </c>
      <c r="AA23" s="40">
        <f t="shared" si="7"/>
        <v>7.0000000000000009</v>
      </c>
      <c r="AB23" s="40">
        <f t="shared" si="7"/>
        <v>7.0000000000000009</v>
      </c>
      <c r="AC23" s="39">
        <f t="shared" si="8"/>
        <v>6.0836472065285632</v>
      </c>
      <c r="AD23" s="41">
        <f t="shared" si="3"/>
        <v>73.003766478342754</v>
      </c>
      <c r="AF23" s="42">
        <f t="shared" si="4"/>
        <v>0.28795044749374177</v>
      </c>
      <c r="AG23" s="39">
        <f t="shared" si="5"/>
        <v>21.02146722616742</v>
      </c>
    </row>
    <row r="24" spans="1:33" outlineLevel="2" x14ac:dyDescent="0.25">
      <c r="A24" s="36" t="s">
        <v>53</v>
      </c>
      <c r="B24" s="36" t="s">
        <v>54</v>
      </c>
      <c r="C24" s="37">
        <f>IFERROR(VLOOKUP($A24,'[25]Rates Pre-030118'!$BC$1:$BE$114,3,FALSE),0)</f>
        <v>2.66</v>
      </c>
      <c r="D24" s="38">
        <v>33.25</v>
      </c>
      <c r="E24" s="38">
        <v>38.57</v>
      </c>
      <c r="F24" s="38">
        <v>39.24</v>
      </c>
      <c r="G24" s="38">
        <v>39.24</v>
      </c>
      <c r="H24" s="38">
        <v>37.24</v>
      </c>
      <c r="I24" s="38">
        <v>37.24</v>
      </c>
      <c r="J24" s="38">
        <v>37.24</v>
      </c>
      <c r="K24" s="38">
        <v>37.24</v>
      </c>
      <c r="L24" s="38">
        <v>39.9</v>
      </c>
      <c r="M24" s="38">
        <v>39.9</v>
      </c>
      <c r="N24" s="38">
        <v>39.9</v>
      </c>
      <c r="O24" s="38">
        <v>39.9</v>
      </c>
      <c r="P24" s="39">
        <f t="shared" si="0"/>
        <v>458.85999999999996</v>
      </c>
      <c r="Q24" s="40">
        <f t="shared" si="7"/>
        <v>12.5</v>
      </c>
      <c r="R24" s="40">
        <f t="shared" si="7"/>
        <v>14.5</v>
      </c>
      <c r="S24" s="40">
        <f t="shared" si="7"/>
        <v>14.75187969924812</v>
      </c>
      <c r="T24" s="40">
        <f t="shared" si="7"/>
        <v>14.75187969924812</v>
      </c>
      <c r="U24" s="40">
        <f t="shared" si="7"/>
        <v>14</v>
      </c>
      <c r="V24" s="40">
        <f t="shared" si="7"/>
        <v>14</v>
      </c>
      <c r="W24" s="40">
        <f t="shared" si="7"/>
        <v>14</v>
      </c>
      <c r="X24" s="40">
        <f t="shared" si="7"/>
        <v>14</v>
      </c>
      <c r="Y24" s="40">
        <f t="shared" si="7"/>
        <v>14.999999999999998</v>
      </c>
      <c r="Z24" s="40">
        <f t="shared" si="7"/>
        <v>14.999999999999998</v>
      </c>
      <c r="AA24" s="40">
        <f t="shared" si="7"/>
        <v>14.999999999999998</v>
      </c>
      <c r="AB24" s="40">
        <f t="shared" si="7"/>
        <v>14.999999999999998</v>
      </c>
      <c r="AC24" s="39">
        <f t="shared" si="8"/>
        <v>14.375313283208021</v>
      </c>
      <c r="AD24" s="41">
        <f t="shared" si="3"/>
        <v>172.50375939849624</v>
      </c>
      <c r="AF24" s="42">
        <f t="shared" si="4"/>
        <v>0.14424636352793846</v>
      </c>
      <c r="AG24" s="39">
        <f t="shared" si="5"/>
        <v>24.883039988131518</v>
      </c>
    </row>
    <row r="25" spans="1:33" outlineLevel="2" x14ac:dyDescent="0.25">
      <c r="A25" s="36" t="s">
        <v>55</v>
      </c>
      <c r="B25" s="36" t="s">
        <v>56</v>
      </c>
      <c r="C25" s="37">
        <f>IFERROR(VLOOKUP($A25,'[25]Rates Pre-030118'!$BC$1:$BE$114,3,FALSE),0)</f>
        <v>2.66</v>
      </c>
      <c r="D25" s="38">
        <v>115.71</v>
      </c>
      <c r="E25" s="38">
        <v>116.38</v>
      </c>
      <c r="F25" s="38">
        <v>114.38</v>
      </c>
      <c r="G25" s="38">
        <v>117.03999999999999</v>
      </c>
      <c r="H25" s="38">
        <v>117.04</v>
      </c>
      <c r="I25" s="38">
        <v>122.52</v>
      </c>
      <c r="J25" s="38">
        <v>126.35</v>
      </c>
      <c r="K25" s="38">
        <v>126.35</v>
      </c>
      <c r="L25" s="38">
        <v>119.37</v>
      </c>
      <c r="M25" s="38">
        <v>123.36</v>
      </c>
      <c r="N25" s="38">
        <v>118.06</v>
      </c>
      <c r="O25" s="38">
        <v>122.36</v>
      </c>
      <c r="P25" s="39">
        <f t="shared" si="0"/>
        <v>1438.9199999999996</v>
      </c>
      <c r="Q25" s="40">
        <f t="shared" si="7"/>
        <v>43.499999999999993</v>
      </c>
      <c r="R25" s="40">
        <f t="shared" si="7"/>
        <v>43.751879699248114</v>
      </c>
      <c r="S25" s="40">
        <f t="shared" si="7"/>
        <v>42.999999999999993</v>
      </c>
      <c r="T25" s="40">
        <f t="shared" si="7"/>
        <v>43.999999999999993</v>
      </c>
      <c r="U25" s="40">
        <f t="shared" si="7"/>
        <v>44</v>
      </c>
      <c r="V25" s="40">
        <f t="shared" si="7"/>
        <v>46.060150375939848</v>
      </c>
      <c r="W25" s="40">
        <f t="shared" si="7"/>
        <v>47.499999999999993</v>
      </c>
      <c r="X25" s="40">
        <f t="shared" si="7"/>
        <v>47.499999999999993</v>
      </c>
      <c r="Y25" s="40">
        <f t="shared" si="7"/>
        <v>44.875939849624061</v>
      </c>
      <c r="Z25" s="40">
        <f t="shared" si="7"/>
        <v>46.375939849624061</v>
      </c>
      <c r="AA25" s="40">
        <f t="shared" si="7"/>
        <v>44.383458646616539</v>
      </c>
      <c r="AB25" s="40">
        <f t="shared" si="7"/>
        <v>46</v>
      </c>
      <c r="AC25" s="39">
        <f t="shared" si="8"/>
        <v>45.078947368421041</v>
      </c>
      <c r="AD25" s="41">
        <f t="shared" si="3"/>
        <v>540.94736842105249</v>
      </c>
      <c r="AF25" s="42">
        <f t="shared" si="4"/>
        <v>0.14424636352793846</v>
      </c>
      <c r="AG25" s="39">
        <f t="shared" si="5"/>
        <v>78.029690754744792</v>
      </c>
    </row>
    <row r="26" spans="1:33" outlineLevel="2" x14ac:dyDescent="0.25">
      <c r="A26" s="36" t="s">
        <v>57</v>
      </c>
      <c r="B26" s="36" t="s">
        <v>58</v>
      </c>
      <c r="C26" s="37">
        <f>IFERROR(VLOOKUP($A26,'[25]Rates Pre-030118'!$BC$1:$BE$114,3,FALSE),0)</f>
        <v>2.66</v>
      </c>
      <c r="D26" s="38">
        <v>13.3</v>
      </c>
      <c r="E26" s="38">
        <v>13.3</v>
      </c>
      <c r="F26" s="38">
        <v>15.3</v>
      </c>
      <c r="G26" s="38">
        <v>15.3</v>
      </c>
      <c r="H26" s="38">
        <v>15.63</v>
      </c>
      <c r="I26" s="38">
        <v>15.63</v>
      </c>
      <c r="J26" s="38">
        <v>15.96</v>
      </c>
      <c r="K26" s="38">
        <v>15.96</v>
      </c>
      <c r="L26" s="38">
        <v>21.28</v>
      </c>
      <c r="M26" s="38">
        <v>21.28</v>
      </c>
      <c r="N26" s="38">
        <v>21.28</v>
      </c>
      <c r="O26" s="38">
        <v>21.28</v>
      </c>
      <c r="P26" s="39">
        <f t="shared" si="0"/>
        <v>205.5</v>
      </c>
      <c r="Q26" s="40">
        <f t="shared" si="7"/>
        <v>5</v>
      </c>
      <c r="R26" s="40">
        <f t="shared" si="7"/>
        <v>5</v>
      </c>
      <c r="S26" s="40">
        <f t="shared" si="7"/>
        <v>5.7518796992481205</v>
      </c>
      <c r="T26" s="40">
        <f t="shared" si="7"/>
        <v>5.7518796992481205</v>
      </c>
      <c r="U26" s="40">
        <f t="shared" si="7"/>
        <v>5.8759398496240598</v>
      </c>
      <c r="V26" s="40">
        <f t="shared" si="7"/>
        <v>5.8759398496240598</v>
      </c>
      <c r="W26" s="40">
        <f t="shared" si="7"/>
        <v>6</v>
      </c>
      <c r="X26" s="40">
        <f t="shared" si="7"/>
        <v>6</v>
      </c>
      <c r="Y26" s="40">
        <f t="shared" si="7"/>
        <v>8</v>
      </c>
      <c r="Z26" s="40">
        <f t="shared" si="7"/>
        <v>8</v>
      </c>
      <c r="AA26" s="40">
        <f t="shared" si="7"/>
        <v>8</v>
      </c>
      <c r="AB26" s="40">
        <f t="shared" si="7"/>
        <v>8</v>
      </c>
      <c r="AC26" s="39">
        <f t="shared" si="8"/>
        <v>6.4379699248120303</v>
      </c>
      <c r="AD26" s="41">
        <f t="shared" si="3"/>
        <v>77.255639097744364</v>
      </c>
      <c r="AF26" s="42">
        <f t="shared" si="4"/>
        <v>0.14424636352793846</v>
      </c>
      <c r="AG26" s="39">
        <f t="shared" si="5"/>
        <v>11.14384500187645</v>
      </c>
    </row>
    <row r="27" spans="1:33" outlineLevel="2" x14ac:dyDescent="0.25">
      <c r="A27" s="36" t="s">
        <v>59</v>
      </c>
      <c r="B27" s="36" t="s">
        <v>60</v>
      </c>
      <c r="C27" s="37">
        <f>IFERROR(VLOOKUP($A27,'[25]Rates Pre-030118'!$BC$1:$BE$114,3,FALSE),0)</f>
        <v>0</v>
      </c>
      <c r="D27" s="38">
        <v>0</v>
      </c>
      <c r="E27" s="38">
        <v>0</v>
      </c>
      <c r="F27" s="38">
        <v>-15</v>
      </c>
      <c r="G27" s="38">
        <v>-35</v>
      </c>
      <c r="H27" s="38">
        <v>0</v>
      </c>
      <c r="I27" s="38">
        <v>0</v>
      </c>
      <c r="J27" s="38">
        <v>0</v>
      </c>
      <c r="K27" s="38">
        <v>-15</v>
      </c>
      <c r="L27" s="38">
        <v>0</v>
      </c>
      <c r="M27" s="38">
        <v>0</v>
      </c>
      <c r="N27" s="38">
        <v>0</v>
      </c>
      <c r="O27" s="38">
        <v>0</v>
      </c>
      <c r="P27" s="39">
        <f t="shared" si="0"/>
        <v>-65</v>
      </c>
      <c r="Q27" s="40">
        <f t="shared" si="7"/>
        <v>0</v>
      </c>
      <c r="R27" s="40">
        <f t="shared" si="7"/>
        <v>0</v>
      </c>
      <c r="S27" s="40">
        <f t="shared" si="7"/>
        <v>0</v>
      </c>
      <c r="T27" s="40">
        <f t="shared" si="7"/>
        <v>0</v>
      </c>
      <c r="U27" s="40">
        <f t="shared" si="7"/>
        <v>0</v>
      </c>
      <c r="V27" s="40">
        <f t="shared" si="7"/>
        <v>0</v>
      </c>
      <c r="W27" s="40">
        <f t="shared" si="7"/>
        <v>0</v>
      </c>
      <c r="X27" s="40">
        <f t="shared" si="7"/>
        <v>0</v>
      </c>
      <c r="Y27" s="40">
        <f t="shared" si="7"/>
        <v>0</v>
      </c>
      <c r="Z27" s="40">
        <f t="shared" si="7"/>
        <v>0</v>
      </c>
      <c r="AA27" s="40">
        <f t="shared" si="7"/>
        <v>0</v>
      </c>
      <c r="AB27" s="40">
        <f t="shared" si="7"/>
        <v>0</v>
      </c>
      <c r="AC27" s="39">
        <f t="shared" si="8"/>
        <v>0</v>
      </c>
      <c r="AD27" s="41">
        <f t="shared" si="3"/>
        <v>0</v>
      </c>
      <c r="AF27" s="42">
        <f t="shared" si="4"/>
        <v>0</v>
      </c>
      <c r="AG27" s="39">
        <f t="shared" si="5"/>
        <v>0</v>
      </c>
    </row>
    <row r="28" spans="1:33" outlineLevel="2" x14ac:dyDescent="0.25">
      <c r="A28" s="36" t="s">
        <v>61</v>
      </c>
      <c r="B28" s="36" t="s">
        <v>62</v>
      </c>
      <c r="C28" s="37">
        <f>IFERROR(VLOOKUP($A28,'[25]Rates Pre-030118'!$BC$1:$BE$114,3,FALSE),0)</f>
        <v>1.06</v>
      </c>
      <c r="D28" s="38">
        <v>4.7200000000000006</v>
      </c>
      <c r="E28" s="38">
        <v>4.7200000000000006</v>
      </c>
      <c r="F28" s="38">
        <v>4.7200000000000006</v>
      </c>
      <c r="G28" s="38">
        <v>4.7200000000000006</v>
      </c>
      <c r="H28" s="38">
        <v>4.7200000000000006</v>
      </c>
      <c r="I28" s="38">
        <v>4.7200000000000006</v>
      </c>
      <c r="J28" s="38">
        <v>4.7200000000000006</v>
      </c>
      <c r="K28" s="38">
        <v>4.7200000000000006</v>
      </c>
      <c r="L28" s="38">
        <v>4.7200000000000006</v>
      </c>
      <c r="M28" s="38">
        <v>4.7200000000000006</v>
      </c>
      <c r="N28" s="38">
        <v>5.78</v>
      </c>
      <c r="O28" s="38">
        <v>5.78</v>
      </c>
      <c r="P28" s="39">
        <f t="shared" si="0"/>
        <v>58.76</v>
      </c>
      <c r="Q28" s="40">
        <f t="shared" si="7"/>
        <v>4.4528301886792461</v>
      </c>
      <c r="R28" s="40">
        <f t="shared" si="7"/>
        <v>4.4528301886792461</v>
      </c>
      <c r="S28" s="40">
        <f t="shared" si="7"/>
        <v>4.4528301886792461</v>
      </c>
      <c r="T28" s="40">
        <f t="shared" si="7"/>
        <v>4.4528301886792461</v>
      </c>
      <c r="U28" s="40">
        <f t="shared" si="7"/>
        <v>4.4528301886792461</v>
      </c>
      <c r="V28" s="40">
        <f t="shared" si="7"/>
        <v>4.4528301886792461</v>
      </c>
      <c r="W28" s="40">
        <f t="shared" si="7"/>
        <v>4.4528301886792461</v>
      </c>
      <c r="X28" s="40">
        <f t="shared" si="7"/>
        <v>4.4528301886792461</v>
      </c>
      <c r="Y28" s="40">
        <f t="shared" si="7"/>
        <v>4.4528301886792461</v>
      </c>
      <c r="Z28" s="40">
        <f t="shared" si="7"/>
        <v>4.4528301886792461</v>
      </c>
      <c r="AA28" s="40">
        <f t="shared" si="7"/>
        <v>5.4528301886792452</v>
      </c>
      <c r="AB28" s="40">
        <f t="shared" si="7"/>
        <v>5.4528301886792452</v>
      </c>
      <c r="AC28" s="39">
        <f t="shared" si="8"/>
        <v>4.6194968553459121</v>
      </c>
      <c r="AD28" s="41">
        <f t="shared" si="3"/>
        <v>55.433962264150949</v>
      </c>
      <c r="AF28" s="42">
        <f t="shared" si="4"/>
        <v>5.7481633586321343E-2</v>
      </c>
      <c r="AG28" s="39">
        <f t="shared" si="5"/>
        <v>3.1864347071058887</v>
      </c>
    </row>
    <row r="29" spans="1:33" outlineLevel="2" x14ac:dyDescent="0.25">
      <c r="A29" s="36" t="s">
        <v>63</v>
      </c>
      <c r="B29" s="36" t="s">
        <v>64</v>
      </c>
      <c r="C29" s="37">
        <f>IFERROR(VLOOKUP($A29,'[25]Rates Pre-030118'!$BC$1:$BE$114,3,FALSE),0)</f>
        <v>2.56</v>
      </c>
      <c r="D29" s="38">
        <v>217.6</v>
      </c>
      <c r="E29" s="38">
        <v>273.92</v>
      </c>
      <c r="F29" s="38">
        <v>276.48</v>
      </c>
      <c r="G29" s="38">
        <v>368.64</v>
      </c>
      <c r="H29" s="38">
        <v>276.48</v>
      </c>
      <c r="I29" s="38">
        <v>348.16</v>
      </c>
      <c r="J29" s="38">
        <v>299.52</v>
      </c>
      <c r="K29" s="38">
        <v>343.04</v>
      </c>
      <c r="L29" s="38">
        <v>366.08</v>
      </c>
      <c r="M29" s="38">
        <v>399.36</v>
      </c>
      <c r="N29" s="38">
        <v>442.92</v>
      </c>
      <c r="O29" s="38">
        <v>320</v>
      </c>
      <c r="P29" s="39">
        <f t="shared" si="0"/>
        <v>3932.2000000000003</v>
      </c>
      <c r="Q29" s="40">
        <f t="shared" si="7"/>
        <v>85</v>
      </c>
      <c r="R29" s="40">
        <f t="shared" si="7"/>
        <v>107</v>
      </c>
      <c r="S29" s="40">
        <f t="shared" si="7"/>
        <v>108</v>
      </c>
      <c r="T29" s="40">
        <f t="shared" si="7"/>
        <v>144</v>
      </c>
      <c r="U29" s="40">
        <f t="shared" si="7"/>
        <v>108</v>
      </c>
      <c r="V29" s="40">
        <f t="shared" si="7"/>
        <v>136</v>
      </c>
      <c r="W29" s="40">
        <f t="shared" si="7"/>
        <v>116.99999999999999</v>
      </c>
      <c r="X29" s="40">
        <f t="shared" si="7"/>
        <v>134</v>
      </c>
      <c r="Y29" s="40">
        <f t="shared" si="7"/>
        <v>143</v>
      </c>
      <c r="Z29" s="40">
        <f t="shared" si="7"/>
        <v>156</v>
      </c>
      <c r="AA29" s="40">
        <f t="shared" si="7"/>
        <v>173.015625</v>
      </c>
      <c r="AB29" s="40">
        <f t="shared" si="7"/>
        <v>125</v>
      </c>
      <c r="AC29" s="39">
        <f t="shared" si="8"/>
        <v>128.00130208333334</v>
      </c>
      <c r="AD29" s="223">
        <f t="shared" si="3"/>
        <v>1536.015625</v>
      </c>
      <c r="AF29" s="42">
        <f t="shared" si="4"/>
        <v>0.1388235679065874</v>
      </c>
      <c r="AG29" s="39">
        <f t="shared" si="5"/>
        <v>213.2351694227668</v>
      </c>
    </row>
    <row r="30" spans="1:33" outlineLevel="2" x14ac:dyDescent="0.25">
      <c r="A30" s="36" t="s">
        <v>65</v>
      </c>
      <c r="B30" s="36" t="s">
        <v>66</v>
      </c>
      <c r="C30" s="37">
        <f>IFERROR(VLOOKUP($A30,'[25]Rates Pre-030118'!$BC$1:$BE$114,3,FALSE),0)</f>
        <v>2.56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9">
        <f t="shared" si="0"/>
        <v>0</v>
      </c>
      <c r="Q30" s="40">
        <f t="shared" si="7"/>
        <v>0</v>
      </c>
      <c r="R30" s="40">
        <f t="shared" si="7"/>
        <v>0</v>
      </c>
      <c r="S30" s="40">
        <f t="shared" si="7"/>
        <v>0</v>
      </c>
      <c r="T30" s="40">
        <f t="shared" si="7"/>
        <v>0</v>
      </c>
      <c r="U30" s="40">
        <f t="shared" si="7"/>
        <v>0</v>
      </c>
      <c r="V30" s="40">
        <f t="shared" si="7"/>
        <v>0</v>
      </c>
      <c r="W30" s="40">
        <f t="shared" si="7"/>
        <v>0</v>
      </c>
      <c r="X30" s="40">
        <f t="shared" si="7"/>
        <v>0</v>
      </c>
      <c r="Y30" s="40">
        <f t="shared" si="7"/>
        <v>0</v>
      </c>
      <c r="Z30" s="40">
        <f t="shared" si="7"/>
        <v>0</v>
      </c>
      <c r="AA30" s="40">
        <f t="shared" si="7"/>
        <v>0</v>
      </c>
      <c r="AB30" s="40">
        <f t="shared" si="7"/>
        <v>0</v>
      </c>
      <c r="AC30" s="39">
        <f t="shared" si="8"/>
        <v>0</v>
      </c>
      <c r="AD30" s="223">
        <f t="shared" si="3"/>
        <v>0</v>
      </c>
      <c r="AF30" s="42">
        <f t="shared" si="4"/>
        <v>0.1388235679065874</v>
      </c>
      <c r="AG30" s="39">
        <f t="shared" si="5"/>
        <v>0</v>
      </c>
    </row>
    <row r="31" spans="1:33" outlineLevel="2" x14ac:dyDescent="0.25">
      <c r="A31" s="36" t="s">
        <v>67</v>
      </c>
      <c r="B31" s="36" t="s">
        <v>68</v>
      </c>
      <c r="C31" s="37">
        <f>IFERROR(VLOOKUP($A31,'[25]Rates Pre-030118'!$BC$1:$BE$114,3,FALSE),0)</f>
        <v>2.56</v>
      </c>
      <c r="D31" s="38">
        <v>174.08</v>
      </c>
      <c r="E31" s="38">
        <v>327.68</v>
      </c>
      <c r="F31" s="38">
        <v>153.6</v>
      </c>
      <c r="G31" s="38">
        <v>204.8</v>
      </c>
      <c r="H31" s="38">
        <v>153.6</v>
      </c>
      <c r="I31" s="38">
        <v>94.72</v>
      </c>
      <c r="J31" s="38">
        <v>135.68</v>
      </c>
      <c r="K31" s="38">
        <v>176.64000000000001</v>
      </c>
      <c r="L31" s="38">
        <v>207.36</v>
      </c>
      <c r="M31" s="38">
        <v>212.48000000000002</v>
      </c>
      <c r="N31" s="38">
        <v>188.14000000000001</v>
      </c>
      <c r="O31" s="38">
        <v>215.04</v>
      </c>
      <c r="P31" s="39">
        <f t="shared" si="0"/>
        <v>2243.8200000000006</v>
      </c>
      <c r="Q31" s="40">
        <f t="shared" si="7"/>
        <v>68</v>
      </c>
      <c r="R31" s="40">
        <f t="shared" si="7"/>
        <v>128</v>
      </c>
      <c r="S31" s="40">
        <f t="shared" si="7"/>
        <v>60</v>
      </c>
      <c r="T31" s="40">
        <f t="shared" si="7"/>
        <v>80</v>
      </c>
      <c r="U31" s="40">
        <f t="shared" si="7"/>
        <v>60</v>
      </c>
      <c r="V31" s="40">
        <f t="shared" si="7"/>
        <v>37</v>
      </c>
      <c r="W31" s="40">
        <f t="shared" si="7"/>
        <v>53</v>
      </c>
      <c r="X31" s="40">
        <f t="shared" si="7"/>
        <v>69</v>
      </c>
      <c r="Y31" s="40">
        <f t="shared" si="7"/>
        <v>81</v>
      </c>
      <c r="Z31" s="40">
        <f t="shared" si="7"/>
        <v>83</v>
      </c>
      <c r="AA31" s="40">
        <f t="shared" si="7"/>
        <v>73.4921875</v>
      </c>
      <c r="AB31" s="40">
        <f t="shared" si="7"/>
        <v>84</v>
      </c>
      <c r="AC31" s="39">
        <f t="shared" si="8"/>
        <v>73.041015625</v>
      </c>
      <c r="AD31" s="223">
        <f t="shared" si="3"/>
        <v>876.4921875</v>
      </c>
      <c r="AF31" s="42">
        <f t="shared" si="4"/>
        <v>0.1388235679065874</v>
      </c>
      <c r="AG31" s="39">
        <f t="shared" si="5"/>
        <v>121.67777271099959</v>
      </c>
    </row>
    <row r="32" spans="1:33" outlineLevel="2" x14ac:dyDescent="0.25">
      <c r="A32" s="36" t="s">
        <v>69</v>
      </c>
      <c r="B32" s="36" t="s">
        <v>70</v>
      </c>
      <c r="C32" s="37">
        <f>IFERROR(VLOOKUP($A32,'[25]Rates Pre-030118'!$BC$1:$BE$114,3,FALSE),0)</f>
        <v>0</v>
      </c>
      <c r="D32" s="38">
        <v>74.03</v>
      </c>
      <c r="E32" s="38">
        <v>75.09</v>
      </c>
      <c r="F32" s="38">
        <v>78</v>
      </c>
      <c r="G32" s="38">
        <v>75.7</v>
      </c>
      <c r="H32" s="38">
        <v>72.790000000000006</v>
      </c>
      <c r="I32" s="38">
        <v>72.790000000000006</v>
      </c>
      <c r="J32" s="38">
        <v>76.540000000000006</v>
      </c>
      <c r="K32" s="38">
        <v>74.25</v>
      </c>
      <c r="L32" s="38">
        <v>73.59</v>
      </c>
      <c r="M32" s="38">
        <v>73.59</v>
      </c>
      <c r="N32" s="38">
        <v>73.59</v>
      </c>
      <c r="O32" s="38">
        <v>74.17</v>
      </c>
      <c r="P32" s="39">
        <f t="shared" si="0"/>
        <v>894.13000000000011</v>
      </c>
      <c r="Q32" s="40">
        <f t="shared" si="7"/>
        <v>0</v>
      </c>
      <c r="R32" s="40">
        <f t="shared" si="7"/>
        <v>0</v>
      </c>
      <c r="S32" s="40">
        <f t="shared" si="7"/>
        <v>0</v>
      </c>
      <c r="T32" s="40">
        <f t="shared" si="7"/>
        <v>0</v>
      </c>
      <c r="U32" s="40">
        <f t="shared" si="7"/>
        <v>0</v>
      </c>
      <c r="V32" s="40">
        <f t="shared" si="7"/>
        <v>0</v>
      </c>
      <c r="W32" s="40">
        <f t="shared" si="7"/>
        <v>0</v>
      </c>
      <c r="X32" s="40">
        <f t="shared" si="7"/>
        <v>0</v>
      </c>
      <c r="Y32" s="40">
        <f t="shared" si="7"/>
        <v>0</v>
      </c>
      <c r="Z32" s="40">
        <f t="shared" si="7"/>
        <v>0</v>
      </c>
      <c r="AA32" s="40">
        <f t="shared" si="7"/>
        <v>0</v>
      </c>
      <c r="AB32" s="40">
        <f t="shared" si="7"/>
        <v>0</v>
      </c>
      <c r="AC32" s="39">
        <f t="shared" si="8"/>
        <v>0</v>
      </c>
      <c r="AD32" s="41">
        <f t="shared" si="3"/>
        <v>0</v>
      </c>
      <c r="AF32" s="42">
        <f t="shared" si="4"/>
        <v>0</v>
      </c>
      <c r="AG32" s="39">
        <f t="shared" si="5"/>
        <v>0</v>
      </c>
    </row>
    <row r="33" spans="1:36" outlineLevel="2" x14ac:dyDescent="0.25">
      <c r="A33" s="36" t="s">
        <v>71</v>
      </c>
      <c r="B33" s="36" t="s">
        <v>71</v>
      </c>
      <c r="C33" s="37">
        <f>IFERROR(VLOOKUP($A33,'[25]Rates Pre-030118'!$BC$1:$BE$114,3,FALSE),0)</f>
        <v>15</v>
      </c>
      <c r="D33" s="38">
        <v>30</v>
      </c>
      <c r="E33" s="38">
        <v>235.38</v>
      </c>
      <c r="F33" s="38">
        <v>25.380000000000003</v>
      </c>
      <c r="G33" s="38">
        <v>205.38</v>
      </c>
      <c r="H33" s="38">
        <v>10.38</v>
      </c>
      <c r="I33" s="38">
        <v>180</v>
      </c>
      <c r="J33" s="38">
        <v>45</v>
      </c>
      <c r="K33" s="38">
        <v>180</v>
      </c>
      <c r="L33" s="38">
        <v>60</v>
      </c>
      <c r="M33" s="38">
        <v>165</v>
      </c>
      <c r="N33" s="38">
        <v>40.380000000000003</v>
      </c>
      <c r="O33" s="38">
        <v>270</v>
      </c>
      <c r="P33" s="39">
        <f t="shared" si="0"/>
        <v>1446.9</v>
      </c>
      <c r="Q33" s="40">
        <f t="shared" si="7"/>
        <v>2</v>
      </c>
      <c r="R33" s="40">
        <f t="shared" si="7"/>
        <v>15.692</v>
      </c>
      <c r="S33" s="40">
        <f t="shared" si="7"/>
        <v>1.6920000000000002</v>
      </c>
      <c r="T33" s="40">
        <f t="shared" si="7"/>
        <v>13.692</v>
      </c>
      <c r="U33" s="40">
        <f t="shared" si="7"/>
        <v>0.69200000000000006</v>
      </c>
      <c r="V33" s="40">
        <f t="shared" si="7"/>
        <v>12</v>
      </c>
      <c r="W33" s="40">
        <f t="shared" si="7"/>
        <v>3</v>
      </c>
      <c r="X33" s="40">
        <f t="shared" si="7"/>
        <v>12</v>
      </c>
      <c r="Y33" s="40">
        <f t="shared" si="7"/>
        <v>4</v>
      </c>
      <c r="Z33" s="40">
        <f t="shared" si="7"/>
        <v>11</v>
      </c>
      <c r="AA33" s="40">
        <f t="shared" si="7"/>
        <v>2.6920000000000002</v>
      </c>
      <c r="AB33" s="40">
        <f t="shared" si="7"/>
        <v>18</v>
      </c>
      <c r="AC33" s="39">
        <f t="shared" si="8"/>
        <v>8.038333333333334</v>
      </c>
      <c r="AD33" s="41">
        <f t="shared" si="3"/>
        <v>96.460000000000008</v>
      </c>
      <c r="AF33" s="42">
        <f t="shared" si="4"/>
        <v>0.81341934320266041</v>
      </c>
      <c r="AG33" s="39">
        <f t="shared" si="5"/>
        <v>78.462429845328629</v>
      </c>
    </row>
    <row r="34" spans="1:36" outlineLevel="2" x14ac:dyDescent="0.25">
      <c r="A34" s="36" t="s">
        <v>72</v>
      </c>
      <c r="B34" s="36" t="s">
        <v>73</v>
      </c>
      <c r="C34" s="37">
        <f>IFERROR(VLOOKUP($A34,'[25]Rates Pre-030118'!$BC$1:$BE$114,3,FALSE),0)</f>
        <v>3.82</v>
      </c>
      <c r="D34" s="38">
        <v>1680.8</v>
      </c>
      <c r="E34" s="38">
        <v>1625.32</v>
      </c>
      <c r="F34" s="38">
        <v>1569.49</v>
      </c>
      <c r="G34" s="38">
        <v>2078.08</v>
      </c>
      <c r="H34" s="38">
        <v>1293.1600000000001</v>
      </c>
      <c r="I34" s="38">
        <v>1573.79</v>
      </c>
      <c r="J34" s="38">
        <v>1736.1899999999998</v>
      </c>
      <c r="K34" s="38">
        <v>2275.7200000000003</v>
      </c>
      <c r="L34" s="38">
        <v>2238.52</v>
      </c>
      <c r="M34" s="38">
        <v>2589.9599999999996</v>
      </c>
      <c r="N34" s="38">
        <v>2782.8700000000003</v>
      </c>
      <c r="O34" s="38">
        <v>2120.1</v>
      </c>
      <c r="P34" s="39">
        <f t="shared" si="0"/>
        <v>23563.999999999996</v>
      </c>
      <c r="Q34" s="40">
        <f t="shared" si="7"/>
        <v>440</v>
      </c>
      <c r="R34" s="40">
        <f t="shared" si="7"/>
        <v>425.47643979057591</v>
      </c>
      <c r="S34" s="40">
        <f t="shared" si="7"/>
        <v>410.86125654450262</v>
      </c>
      <c r="T34" s="40">
        <f t="shared" si="7"/>
        <v>544</v>
      </c>
      <c r="U34" s="40">
        <f t="shared" si="7"/>
        <v>338.52356020942415</v>
      </c>
      <c r="V34" s="40">
        <f t="shared" si="7"/>
        <v>411.9869109947644</v>
      </c>
      <c r="W34" s="40">
        <f t="shared" si="7"/>
        <v>454.5</v>
      </c>
      <c r="X34" s="40">
        <f t="shared" si="7"/>
        <v>595.73821989528801</v>
      </c>
      <c r="Y34" s="40">
        <f t="shared" si="7"/>
        <v>586</v>
      </c>
      <c r="Z34" s="40">
        <f t="shared" si="7"/>
        <v>677.99999999999989</v>
      </c>
      <c r="AA34" s="40">
        <f t="shared" si="7"/>
        <v>728.50000000000011</v>
      </c>
      <c r="AB34" s="40">
        <f t="shared" si="7"/>
        <v>555</v>
      </c>
      <c r="AC34" s="39">
        <f>+SUM(Q34:AB34)/$AB$3</f>
        <v>514.04886561954629</v>
      </c>
      <c r="AD34" s="223">
        <f t="shared" si="3"/>
        <v>6168.5863874345559</v>
      </c>
      <c r="AF34" s="42">
        <f t="shared" si="4"/>
        <v>0.20715079273561085</v>
      </c>
      <c r="AG34" s="39">
        <f t="shared" si="5"/>
        <v>1277.8275602151662</v>
      </c>
      <c r="AI34" s="43"/>
    </row>
    <row r="35" spans="1:36" outlineLevel="2" x14ac:dyDescent="0.25">
      <c r="A35" s="36" t="s">
        <v>74</v>
      </c>
      <c r="B35" s="36" t="s">
        <v>75</v>
      </c>
      <c r="C35" s="37">
        <f>IFERROR(VLOOKUP($A35,'[25]Rates Pre-030118'!$BC$1:$BE$114,3,FALSE),0)</f>
        <v>1.06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9">
        <f t="shared" si="0"/>
        <v>0</v>
      </c>
      <c r="Q35" s="40">
        <f t="shared" si="7"/>
        <v>0</v>
      </c>
      <c r="R35" s="40">
        <f t="shared" si="7"/>
        <v>0</v>
      </c>
      <c r="S35" s="40">
        <f t="shared" si="7"/>
        <v>0</v>
      </c>
      <c r="T35" s="40">
        <f t="shared" si="7"/>
        <v>0</v>
      </c>
      <c r="U35" s="40">
        <f t="shared" si="7"/>
        <v>0</v>
      </c>
      <c r="V35" s="40">
        <f t="shared" si="7"/>
        <v>0</v>
      </c>
      <c r="W35" s="40">
        <f t="shared" ref="W35:AB36" si="9">+IFERROR(J35/$C35,0)</f>
        <v>0</v>
      </c>
      <c r="X35" s="40">
        <f t="shared" si="9"/>
        <v>0</v>
      </c>
      <c r="Y35" s="40">
        <f t="shared" si="9"/>
        <v>0</v>
      </c>
      <c r="Z35" s="40">
        <f t="shared" si="9"/>
        <v>0</v>
      </c>
      <c r="AA35" s="40">
        <f t="shared" si="9"/>
        <v>0</v>
      </c>
      <c r="AB35" s="40">
        <f t="shared" si="9"/>
        <v>0</v>
      </c>
      <c r="AC35" s="39">
        <f t="shared" si="8"/>
        <v>0</v>
      </c>
      <c r="AD35" s="41">
        <f t="shared" si="3"/>
        <v>0</v>
      </c>
      <c r="AF35" s="42">
        <f t="shared" si="4"/>
        <v>5.7481633586321343E-2</v>
      </c>
      <c r="AG35" s="39">
        <f t="shared" si="5"/>
        <v>0</v>
      </c>
    </row>
    <row r="36" spans="1:36" outlineLevel="2" x14ac:dyDescent="0.25">
      <c r="A36" s="36" t="s">
        <v>76</v>
      </c>
      <c r="B36" s="36" t="s">
        <v>77</v>
      </c>
      <c r="C36" s="37">
        <f>IFERROR(VLOOKUP($A36,'[25]Rates Pre-030118'!$BC$1:$BE$114,3,FALSE),0)</f>
        <v>2.66</v>
      </c>
      <c r="D36" s="38">
        <v>10.64</v>
      </c>
      <c r="E36" s="38">
        <v>15.96</v>
      </c>
      <c r="F36" s="38">
        <v>5.32</v>
      </c>
      <c r="G36" s="38">
        <v>10.64</v>
      </c>
      <c r="H36" s="38">
        <v>15.96</v>
      </c>
      <c r="I36" s="38">
        <v>5.32</v>
      </c>
      <c r="J36" s="38">
        <v>2.66</v>
      </c>
      <c r="K36" s="38">
        <v>2.66</v>
      </c>
      <c r="L36" s="38">
        <v>7.98</v>
      </c>
      <c r="M36" s="38">
        <v>7.98</v>
      </c>
      <c r="N36" s="38">
        <v>2.66</v>
      </c>
      <c r="O36" s="38">
        <v>2.66</v>
      </c>
      <c r="P36" s="39">
        <f t="shared" si="0"/>
        <v>90.44</v>
      </c>
      <c r="Q36" s="40">
        <f t="shared" ref="Q36:V36" si="10">+IFERROR(D36/$C36,0)</f>
        <v>4</v>
      </c>
      <c r="R36" s="40">
        <f t="shared" si="10"/>
        <v>6</v>
      </c>
      <c r="S36" s="40">
        <f t="shared" si="10"/>
        <v>2</v>
      </c>
      <c r="T36" s="40">
        <f t="shared" si="10"/>
        <v>4</v>
      </c>
      <c r="U36" s="40">
        <f t="shared" si="10"/>
        <v>6</v>
      </c>
      <c r="V36" s="40">
        <f t="shared" si="10"/>
        <v>2</v>
      </c>
      <c r="W36" s="40">
        <f t="shared" si="9"/>
        <v>1</v>
      </c>
      <c r="X36" s="40">
        <f t="shared" si="9"/>
        <v>1</v>
      </c>
      <c r="Y36" s="40">
        <f t="shared" si="9"/>
        <v>3</v>
      </c>
      <c r="Z36" s="40">
        <f t="shared" si="9"/>
        <v>3</v>
      </c>
      <c r="AA36" s="40">
        <f t="shared" si="9"/>
        <v>1</v>
      </c>
      <c r="AB36" s="40">
        <f t="shared" si="9"/>
        <v>1</v>
      </c>
      <c r="AC36" s="39">
        <f t="shared" si="8"/>
        <v>2.8333333333333335</v>
      </c>
      <c r="AD36" s="41">
        <f t="shared" si="3"/>
        <v>34</v>
      </c>
      <c r="AF36" s="42">
        <f t="shared" si="4"/>
        <v>0.14424636352793846</v>
      </c>
      <c r="AG36" s="39">
        <f t="shared" si="5"/>
        <v>4.9043763599499082</v>
      </c>
    </row>
    <row r="37" spans="1:36" outlineLevel="1" x14ac:dyDescent="0.25">
      <c r="A37" s="36"/>
      <c r="B37" s="44" t="s">
        <v>78</v>
      </c>
      <c r="C37" s="37"/>
      <c r="D37" s="45">
        <f t="shared" ref="D37:P37" si="11">SUM(D11:D36)</f>
        <v>37526.62000000001</v>
      </c>
      <c r="E37" s="45">
        <f t="shared" si="11"/>
        <v>38151.249999999993</v>
      </c>
      <c r="F37" s="45">
        <f t="shared" si="11"/>
        <v>37422.659999999996</v>
      </c>
      <c r="G37" s="45">
        <f t="shared" si="11"/>
        <v>38041.03</v>
      </c>
      <c r="H37" s="45">
        <f t="shared" si="11"/>
        <v>36964.74</v>
      </c>
      <c r="I37" s="45">
        <f t="shared" si="11"/>
        <v>37890.99</v>
      </c>
      <c r="J37" s="45">
        <f t="shared" si="11"/>
        <v>37913.220000000008</v>
      </c>
      <c r="K37" s="45">
        <f t="shared" si="11"/>
        <v>39303.67</v>
      </c>
      <c r="L37" s="45">
        <f t="shared" si="11"/>
        <v>39724.239999999998</v>
      </c>
      <c r="M37" s="45">
        <f t="shared" si="11"/>
        <v>40869.980000000003</v>
      </c>
      <c r="N37" s="45">
        <f t="shared" si="11"/>
        <v>41015.51999999999</v>
      </c>
      <c r="O37" s="45">
        <f t="shared" si="11"/>
        <v>40756.42</v>
      </c>
      <c r="P37" s="45">
        <f t="shared" si="11"/>
        <v>465580.34</v>
      </c>
      <c r="Q37" s="45">
        <f t="shared" ref="Q37:AC37" si="12">SUM(Q11:Q20)</f>
        <v>1971.1827704686091</v>
      </c>
      <c r="R37" s="45">
        <f t="shared" si="12"/>
        <v>1990.1651598468777</v>
      </c>
      <c r="S37" s="45">
        <f t="shared" si="12"/>
        <v>1974.6133642400343</v>
      </c>
      <c r="T37" s="45">
        <f t="shared" si="12"/>
        <v>1978.5383733429089</v>
      </c>
      <c r="U37" s="45">
        <f t="shared" si="12"/>
        <v>1971.1873078409374</v>
      </c>
      <c r="V37" s="45">
        <f t="shared" si="12"/>
        <v>2001.8398564677184</v>
      </c>
      <c r="W37" s="45">
        <f t="shared" si="12"/>
        <v>1991.8737584893615</v>
      </c>
      <c r="X37" s="45">
        <f t="shared" si="12"/>
        <v>2029.0034393437529</v>
      </c>
      <c r="Y37" s="45">
        <f t="shared" si="12"/>
        <v>2060.7383989829054</v>
      </c>
      <c r="Z37" s="45">
        <f t="shared" si="12"/>
        <v>2092.8807209491015</v>
      </c>
      <c r="AA37" s="45">
        <f t="shared" si="12"/>
        <v>2094.8938362765016</v>
      </c>
      <c r="AB37" s="45">
        <f t="shared" si="12"/>
        <v>2115.3566496438862</v>
      </c>
      <c r="AC37" s="45">
        <f t="shared" si="12"/>
        <v>2022.689469657716</v>
      </c>
      <c r="AD37" s="46"/>
      <c r="AF37" s="45">
        <f>SUM(AF11:AF36)</f>
        <v>11.247420398244261</v>
      </c>
      <c r="AG37" s="45">
        <f>SUM(AG11:AG36)</f>
        <v>25226.682004376962</v>
      </c>
    </row>
    <row r="38" spans="1:36" s="5" customFormat="1" x14ac:dyDescent="0.25"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9">
        <f t="shared" ref="P38:P50" si="13">SUM(D38:O38)</f>
        <v>0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39"/>
      <c r="AD38" s="39"/>
      <c r="AF38" s="39"/>
      <c r="AG38" s="39"/>
      <c r="AH38" s="2"/>
      <c r="AI38" s="2"/>
      <c r="AJ38" s="2"/>
    </row>
    <row r="39" spans="1:36" outlineLevel="1" x14ac:dyDescent="0.25">
      <c r="A39" s="30" t="s">
        <v>79</v>
      </c>
      <c r="B39" s="3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9">
        <f t="shared" si="13"/>
        <v>0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39"/>
      <c r="AD39" s="39"/>
      <c r="AF39" s="39"/>
      <c r="AG39" s="39"/>
    </row>
    <row r="40" spans="1:36" outlineLevel="1" x14ac:dyDescent="0.25">
      <c r="A40" s="30"/>
      <c r="B40" s="31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>
        <f t="shared" si="13"/>
        <v>0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39"/>
      <c r="AD40" s="39"/>
      <c r="AF40" s="39"/>
      <c r="AG40" s="39"/>
    </row>
    <row r="41" spans="1:36" outlineLevel="2" x14ac:dyDescent="0.25">
      <c r="A41" s="35" t="s">
        <v>80</v>
      </c>
      <c r="B41" s="31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9">
        <f t="shared" si="13"/>
        <v>0</v>
      </c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39"/>
      <c r="AD41" s="39"/>
      <c r="AF41" s="39"/>
      <c r="AG41" s="39"/>
    </row>
    <row r="42" spans="1:36" s="258" customFormat="1" outlineLevel="2" x14ac:dyDescent="0.25">
      <c r="A42" s="253" t="s">
        <v>81</v>
      </c>
      <c r="B42" s="253" t="s">
        <v>82</v>
      </c>
      <c r="C42" s="254">
        <f>IFERROR(VLOOKUP($A42,'[25]Rates Pre-030118'!$BC$1:$BE$114,3,FALSE),0)</f>
        <v>14.49</v>
      </c>
      <c r="D42" s="255">
        <v>43.47</v>
      </c>
      <c r="E42" s="255">
        <v>43.47</v>
      </c>
      <c r="F42" s="255">
        <v>43.47</v>
      </c>
      <c r="G42" s="255">
        <v>43.47</v>
      </c>
      <c r="H42" s="255">
        <v>43.47</v>
      </c>
      <c r="I42" s="255">
        <v>43.47</v>
      </c>
      <c r="J42" s="255">
        <v>43.47</v>
      </c>
      <c r="K42" s="255">
        <v>43.47</v>
      </c>
      <c r="L42" s="255">
        <v>43.47</v>
      </c>
      <c r="M42" s="255">
        <v>43.47</v>
      </c>
      <c r="N42" s="255">
        <v>43.47</v>
      </c>
      <c r="O42" s="255">
        <v>43.47</v>
      </c>
      <c r="P42" s="256">
        <f t="shared" si="13"/>
        <v>521.6400000000001</v>
      </c>
      <c r="Q42" s="257">
        <f t="shared" ref="Q42:AB46" si="14">+IFERROR(D42/$C42,0)</f>
        <v>3</v>
      </c>
      <c r="R42" s="257">
        <f t="shared" si="14"/>
        <v>3</v>
      </c>
      <c r="S42" s="257">
        <f t="shared" si="14"/>
        <v>3</v>
      </c>
      <c r="T42" s="257">
        <f t="shared" si="14"/>
        <v>3</v>
      </c>
      <c r="U42" s="257">
        <f t="shared" si="14"/>
        <v>3</v>
      </c>
      <c r="V42" s="257">
        <f t="shared" si="14"/>
        <v>3</v>
      </c>
      <c r="W42" s="257">
        <f t="shared" si="14"/>
        <v>3</v>
      </c>
      <c r="X42" s="257">
        <f t="shared" si="14"/>
        <v>3</v>
      </c>
      <c r="Y42" s="257">
        <f t="shared" si="14"/>
        <v>3</v>
      </c>
      <c r="Z42" s="257">
        <f t="shared" si="14"/>
        <v>3</v>
      </c>
      <c r="AA42" s="257">
        <f t="shared" si="14"/>
        <v>3</v>
      </c>
      <c r="AB42" s="257">
        <f t="shared" si="14"/>
        <v>3</v>
      </c>
      <c r="AC42" s="256">
        <f t="shared" ref="AC42:AC46" si="15">+SUM(Q42:AB42)/$AB$3</f>
        <v>3</v>
      </c>
      <c r="AD42" s="223">
        <f t="shared" ref="AD42:AD67" si="16">AC42*12</f>
        <v>36</v>
      </c>
      <c r="AF42" s="259">
        <f t="shared" ref="AF42:AF67" si="17">C42*$AI$2</f>
        <v>0.78576308553376994</v>
      </c>
      <c r="AG42" s="256">
        <f t="shared" ref="AG42:AG67" si="18">AC42*AF42*12</f>
        <v>28.287471079215717</v>
      </c>
    </row>
    <row r="43" spans="1:36" s="258" customFormat="1" outlineLevel="2" x14ac:dyDescent="0.25">
      <c r="A43" s="253" t="s">
        <v>83</v>
      </c>
      <c r="B43" s="253" t="s">
        <v>38</v>
      </c>
      <c r="C43" s="254">
        <f>IFERROR(VLOOKUP($A43,'[25]Rates Pre-030118'!$BC$1:$BE$114,3,FALSE),0)</f>
        <v>14.73</v>
      </c>
      <c r="D43" s="255">
        <v>162.03</v>
      </c>
      <c r="E43" s="255">
        <v>150.97999999999999</v>
      </c>
      <c r="F43" s="255">
        <v>147.30000000000001</v>
      </c>
      <c r="G43" s="255">
        <v>147.30000000000001</v>
      </c>
      <c r="H43" s="255">
        <v>147.30000000000001</v>
      </c>
      <c r="I43" s="255">
        <v>147.30000000000001</v>
      </c>
      <c r="J43" s="255">
        <v>147.30000000000001</v>
      </c>
      <c r="K43" s="255">
        <v>147.30000000000001</v>
      </c>
      <c r="L43" s="255">
        <v>162.03</v>
      </c>
      <c r="M43" s="255">
        <v>162.03</v>
      </c>
      <c r="N43" s="255">
        <v>162.03</v>
      </c>
      <c r="O43" s="255">
        <v>162.03</v>
      </c>
      <c r="P43" s="256">
        <f t="shared" si="13"/>
        <v>1844.9299999999998</v>
      </c>
      <c r="Q43" s="257">
        <f t="shared" si="14"/>
        <v>11</v>
      </c>
      <c r="R43" s="257">
        <f t="shared" si="14"/>
        <v>10.249830278343516</v>
      </c>
      <c r="S43" s="257">
        <f t="shared" si="14"/>
        <v>10</v>
      </c>
      <c r="T43" s="257">
        <f t="shared" si="14"/>
        <v>10</v>
      </c>
      <c r="U43" s="257">
        <f t="shared" si="14"/>
        <v>10</v>
      </c>
      <c r="V43" s="257">
        <f t="shared" si="14"/>
        <v>10</v>
      </c>
      <c r="W43" s="257">
        <f t="shared" si="14"/>
        <v>10</v>
      </c>
      <c r="X43" s="257">
        <f t="shared" si="14"/>
        <v>10</v>
      </c>
      <c r="Y43" s="257">
        <f t="shared" si="14"/>
        <v>11</v>
      </c>
      <c r="Z43" s="257">
        <f t="shared" si="14"/>
        <v>11</v>
      </c>
      <c r="AA43" s="257">
        <f t="shared" si="14"/>
        <v>11</v>
      </c>
      <c r="AB43" s="257">
        <f t="shared" si="14"/>
        <v>11</v>
      </c>
      <c r="AC43" s="256">
        <f t="shared" si="15"/>
        <v>10.437485856528626</v>
      </c>
      <c r="AD43" s="223">
        <f t="shared" si="16"/>
        <v>125.24983027834352</v>
      </c>
      <c r="AF43" s="259">
        <f t="shared" si="17"/>
        <v>0.79877779502501256</v>
      </c>
      <c r="AG43" s="256">
        <f t="shared" si="18"/>
        <v>100.0467832569923</v>
      </c>
    </row>
    <row r="44" spans="1:36" s="258" customFormat="1" outlineLevel="2" x14ac:dyDescent="0.25">
      <c r="A44" s="253" t="s">
        <v>84</v>
      </c>
      <c r="B44" s="253" t="s">
        <v>85</v>
      </c>
      <c r="C44" s="254">
        <f>IFERROR(VLOOKUP($A44,'[25]Rates Pre-030118'!$BC$1:$BE$114,3,FALSE),0)</f>
        <v>29.03</v>
      </c>
      <c r="D44" s="255">
        <v>87.09</v>
      </c>
      <c r="E44" s="255">
        <v>137.88999999999999</v>
      </c>
      <c r="F44" s="255">
        <v>145.15</v>
      </c>
      <c r="G44" s="255">
        <v>145.15</v>
      </c>
      <c r="H44" s="255">
        <v>87.09</v>
      </c>
      <c r="I44" s="255">
        <v>145.15</v>
      </c>
      <c r="J44" s="255">
        <v>145.15</v>
      </c>
      <c r="K44" s="255">
        <v>145.15</v>
      </c>
      <c r="L44" s="255">
        <v>145.15</v>
      </c>
      <c r="M44" s="255">
        <v>137.88999999999999</v>
      </c>
      <c r="N44" s="255">
        <v>145.15</v>
      </c>
      <c r="O44" s="255">
        <v>145.15</v>
      </c>
      <c r="P44" s="256">
        <f t="shared" si="13"/>
        <v>1611.1600000000003</v>
      </c>
      <c r="Q44" s="257">
        <f t="shared" si="14"/>
        <v>3</v>
      </c>
      <c r="R44" s="257">
        <f t="shared" si="14"/>
        <v>4.7499138821908362</v>
      </c>
      <c r="S44" s="257">
        <f t="shared" si="14"/>
        <v>5</v>
      </c>
      <c r="T44" s="257">
        <f t="shared" si="14"/>
        <v>5</v>
      </c>
      <c r="U44" s="257">
        <f t="shared" si="14"/>
        <v>3</v>
      </c>
      <c r="V44" s="257">
        <f t="shared" si="14"/>
        <v>5</v>
      </c>
      <c r="W44" s="257">
        <f t="shared" si="14"/>
        <v>5</v>
      </c>
      <c r="X44" s="257">
        <f t="shared" si="14"/>
        <v>5</v>
      </c>
      <c r="Y44" s="257">
        <f t="shared" si="14"/>
        <v>5</v>
      </c>
      <c r="Z44" s="257">
        <f t="shared" si="14"/>
        <v>4.7499138821908362</v>
      </c>
      <c r="AA44" s="257">
        <f t="shared" si="14"/>
        <v>5</v>
      </c>
      <c r="AB44" s="257">
        <f t="shared" si="14"/>
        <v>5</v>
      </c>
      <c r="AC44" s="256">
        <f t="shared" si="15"/>
        <v>4.6249856470318065</v>
      </c>
      <c r="AD44" s="223">
        <f t="shared" si="16"/>
        <v>55.499827764381678</v>
      </c>
      <c r="AF44" s="259">
        <f t="shared" si="17"/>
        <v>1.5742375688782155</v>
      </c>
      <c r="AG44" s="256">
        <f t="shared" si="18"/>
        <v>87.369913932959889</v>
      </c>
    </row>
    <row r="45" spans="1:36" s="258" customFormat="1" outlineLevel="2" x14ac:dyDescent="0.25">
      <c r="A45" s="253" t="s">
        <v>86</v>
      </c>
      <c r="B45" s="253" t="s">
        <v>87</v>
      </c>
      <c r="C45" s="254">
        <f>IFERROR(VLOOKUP($A45,'[25]Rates Pre-030118'!$BC$1:$BE$114,3,FALSE),0)</f>
        <v>43.55</v>
      </c>
      <c r="D45" s="255">
        <v>130.65</v>
      </c>
      <c r="E45" s="255">
        <v>130.65</v>
      </c>
      <c r="F45" s="255">
        <v>130.65</v>
      </c>
      <c r="G45" s="255">
        <v>130.65</v>
      </c>
      <c r="H45" s="255">
        <v>130.65</v>
      </c>
      <c r="I45" s="255">
        <v>130.65</v>
      </c>
      <c r="J45" s="255">
        <v>130.65</v>
      </c>
      <c r="K45" s="255">
        <v>130.65</v>
      </c>
      <c r="L45" s="255">
        <v>130.65</v>
      </c>
      <c r="M45" s="255">
        <v>130.65</v>
      </c>
      <c r="N45" s="255">
        <v>130.65</v>
      </c>
      <c r="O45" s="255">
        <v>130.65</v>
      </c>
      <c r="P45" s="256">
        <f t="shared" si="13"/>
        <v>1567.8000000000004</v>
      </c>
      <c r="Q45" s="257">
        <f t="shared" si="14"/>
        <v>3.0000000000000004</v>
      </c>
      <c r="R45" s="257">
        <f t="shared" si="14"/>
        <v>3.0000000000000004</v>
      </c>
      <c r="S45" s="257">
        <f t="shared" si="14"/>
        <v>3.0000000000000004</v>
      </c>
      <c r="T45" s="257">
        <f t="shared" si="14"/>
        <v>3.0000000000000004</v>
      </c>
      <c r="U45" s="257">
        <f t="shared" si="14"/>
        <v>3.0000000000000004</v>
      </c>
      <c r="V45" s="257">
        <f t="shared" si="14"/>
        <v>3.0000000000000004</v>
      </c>
      <c r="W45" s="257">
        <f t="shared" si="14"/>
        <v>3.0000000000000004</v>
      </c>
      <c r="X45" s="257">
        <f t="shared" si="14"/>
        <v>3.0000000000000004</v>
      </c>
      <c r="Y45" s="257">
        <f t="shared" si="14"/>
        <v>3.0000000000000004</v>
      </c>
      <c r="Z45" s="257">
        <f t="shared" si="14"/>
        <v>3.0000000000000004</v>
      </c>
      <c r="AA45" s="257">
        <f t="shared" si="14"/>
        <v>3.0000000000000004</v>
      </c>
      <c r="AB45" s="257">
        <f t="shared" si="14"/>
        <v>3.0000000000000004</v>
      </c>
      <c r="AC45" s="256">
        <f t="shared" si="15"/>
        <v>3.0000000000000004</v>
      </c>
      <c r="AD45" s="223">
        <f t="shared" si="16"/>
        <v>36.000000000000007</v>
      </c>
      <c r="AF45" s="259">
        <f t="shared" si="17"/>
        <v>2.3616274930983905</v>
      </c>
      <c r="AG45" s="256">
        <f t="shared" si="18"/>
        <v>85.018589751542066</v>
      </c>
    </row>
    <row r="46" spans="1:36" s="258" customFormat="1" outlineLevel="2" x14ac:dyDescent="0.25">
      <c r="A46" s="253" t="s">
        <v>88</v>
      </c>
      <c r="B46" s="253" t="s">
        <v>89</v>
      </c>
      <c r="C46" s="254">
        <f>IFERROR(VLOOKUP($A46,'[25]Rates Pre-030118'!$BC$1:$BE$114,3,FALSE),0)</f>
        <v>58.07</v>
      </c>
      <c r="D46" s="255">
        <v>58.07</v>
      </c>
      <c r="E46" s="255">
        <v>58.07</v>
      </c>
      <c r="F46" s="255">
        <v>58.07</v>
      </c>
      <c r="G46" s="255">
        <v>58.07</v>
      </c>
      <c r="H46" s="255">
        <v>58.07</v>
      </c>
      <c r="I46" s="255">
        <v>58.07</v>
      </c>
      <c r="J46" s="255">
        <v>58.07</v>
      </c>
      <c r="K46" s="255">
        <v>58.07</v>
      </c>
      <c r="L46" s="255">
        <v>58.07</v>
      </c>
      <c r="M46" s="255">
        <v>58.07</v>
      </c>
      <c r="N46" s="255">
        <v>58.07</v>
      </c>
      <c r="O46" s="255">
        <v>58.07</v>
      </c>
      <c r="P46" s="256">
        <f t="shared" si="13"/>
        <v>696.84000000000015</v>
      </c>
      <c r="Q46" s="257">
        <f t="shared" si="14"/>
        <v>1</v>
      </c>
      <c r="R46" s="257">
        <f t="shared" si="14"/>
        <v>1</v>
      </c>
      <c r="S46" s="257">
        <f t="shared" si="14"/>
        <v>1</v>
      </c>
      <c r="T46" s="257">
        <f t="shared" si="14"/>
        <v>1</v>
      </c>
      <c r="U46" s="257">
        <f t="shared" si="14"/>
        <v>1</v>
      </c>
      <c r="V46" s="257">
        <f t="shared" si="14"/>
        <v>1</v>
      </c>
      <c r="W46" s="257">
        <f t="shared" si="14"/>
        <v>1</v>
      </c>
      <c r="X46" s="257">
        <f t="shared" si="14"/>
        <v>1</v>
      </c>
      <c r="Y46" s="257">
        <f t="shared" si="14"/>
        <v>1</v>
      </c>
      <c r="Z46" s="257">
        <f t="shared" si="14"/>
        <v>1</v>
      </c>
      <c r="AA46" s="257">
        <f t="shared" si="14"/>
        <v>1</v>
      </c>
      <c r="AB46" s="257">
        <f t="shared" si="14"/>
        <v>1</v>
      </c>
      <c r="AC46" s="256">
        <f t="shared" si="15"/>
        <v>1</v>
      </c>
      <c r="AD46" s="223">
        <f t="shared" si="16"/>
        <v>12</v>
      </c>
      <c r="AF46" s="259">
        <f t="shared" si="17"/>
        <v>3.1490174173185661</v>
      </c>
      <c r="AG46" s="256">
        <f t="shared" si="18"/>
        <v>37.788209007822793</v>
      </c>
    </row>
    <row r="47" spans="1:36" s="258" customFormat="1" outlineLevel="2" x14ac:dyDescent="0.25">
      <c r="A47" s="253" t="s">
        <v>92</v>
      </c>
      <c r="B47" s="253" t="s">
        <v>93</v>
      </c>
      <c r="C47" s="254">
        <f>IFERROR(VLOOKUP($A47,'[25]Rates Pre-030118'!$BC$1:$BE$114,3,FALSE),0)</f>
        <v>0</v>
      </c>
      <c r="D47" s="255">
        <v>4.16</v>
      </c>
      <c r="E47" s="255">
        <v>4.16</v>
      </c>
      <c r="F47" s="255">
        <v>4.16</v>
      </c>
      <c r="G47" s="255">
        <v>4.16</v>
      </c>
      <c r="H47" s="255">
        <v>4.16</v>
      </c>
      <c r="I47" s="255">
        <v>4.16</v>
      </c>
      <c r="J47" s="255">
        <v>4.16</v>
      </c>
      <c r="K47" s="255">
        <v>4.16</v>
      </c>
      <c r="L47" s="255">
        <v>4.16</v>
      </c>
      <c r="M47" s="255">
        <v>4.16</v>
      </c>
      <c r="N47" s="255">
        <v>4.16</v>
      </c>
      <c r="O47" s="255">
        <v>4.16</v>
      </c>
      <c r="P47" s="256">
        <f t="shared" si="13"/>
        <v>49.919999999999987</v>
      </c>
      <c r="Q47" s="257">
        <f t="shared" ref="Q47:AB63" si="19">+IFERROR(D47/$C47,0)</f>
        <v>0</v>
      </c>
      <c r="R47" s="257">
        <f t="shared" si="19"/>
        <v>0</v>
      </c>
      <c r="S47" s="257">
        <f t="shared" si="19"/>
        <v>0</v>
      </c>
      <c r="T47" s="257">
        <f t="shared" si="19"/>
        <v>0</v>
      </c>
      <c r="U47" s="257">
        <f t="shared" si="19"/>
        <v>0</v>
      </c>
      <c r="V47" s="257">
        <f t="shared" si="19"/>
        <v>0</v>
      </c>
      <c r="W47" s="257">
        <f t="shared" si="19"/>
        <v>0</v>
      </c>
      <c r="X47" s="257">
        <f t="shared" si="19"/>
        <v>0</v>
      </c>
      <c r="Y47" s="257">
        <f t="shared" si="19"/>
        <v>0</v>
      </c>
      <c r="Z47" s="257">
        <f t="shared" si="19"/>
        <v>0</v>
      </c>
      <c r="AA47" s="257">
        <f t="shared" si="19"/>
        <v>0</v>
      </c>
      <c r="AB47" s="257">
        <f t="shared" si="19"/>
        <v>0</v>
      </c>
      <c r="AC47" s="256">
        <f t="shared" ref="AC47:AC77" si="20">+SUM(Q47:AB47)/$AB$3</f>
        <v>0</v>
      </c>
      <c r="AD47" s="223">
        <f t="shared" si="16"/>
        <v>0</v>
      </c>
      <c r="AF47" s="259">
        <f t="shared" si="17"/>
        <v>0</v>
      </c>
      <c r="AG47" s="256">
        <f t="shared" si="18"/>
        <v>0</v>
      </c>
    </row>
    <row r="48" spans="1:36" s="258" customFormat="1" outlineLevel="2" x14ac:dyDescent="0.25">
      <c r="A48" s="253" t="s">
        <v>94</v>
      </c>
      <c r="B48" s="253" t="s">
        <v>95</v>
      </c>
      <c r="C48" s="254">
        <f>IFERROR(VLOOKUP($A48,'[25]Rates Pre-030118'!$BC$1:$BE$114,3,FALSE),0)</f>
        <v>99.15</v>
      </c>
      <c r="D48" s="255">
        <v>1388.1</v>
      </c>
      <c r="E48" s="255">
        <v>1512.04</v>
      </c>
      <c r="F48" s="255">
        <v>1586.4</v>
      </c>
      <c r="G48" s="255">
        <v>1536.83</v>
      </c>
      <c r="H48" s="255">
        <v>1586.4</v>
      </c>
      <c r="I48" s="255">
        <v>1586.4</v>
      </c>
      <c r="J48" s="255">
        <v>1586.4</v>
      </c>
      <c r="K48" s="255">
        <v>1487.26</v>
      </c>
      <c r="L48" s="255">
        <v>1487.25</v>
      </c>
      <c r="M48" s="255">
        <v>1462.48</v>
      </c>
      <c r="N48" s="255">
        <v>1586.4</v>
      </c>
      <c r="O48" s="255">
        <v>1635.98</v>
      </c>
      <c r="P48" s="256">
        <f t="shared" si="13"/>
        <v>18441.939999999999</v>
      </c>
      <c r="Q48" s="257">
        <f t="shared" si="19"/>
        <v>13.999999999999998</v>
      </c>
      <c r="R48" s="257">
        <f t="shared" si="19"/>
        <v>15.250025214321733</v>
      </c>
      <c r="S48" s="257">
        <f t="shared" si="19"/>
        <v>16</v>
      </c>
      <c r="T48" s="257">
        <f t="shared" si="19"/>
        <v>15.500050428643467</v>
      </c>
      <c r="U48" s="257">
        <f t="shared" si="19"/>
        <v>16</v>
      </c>
      <c r="V48" s="257">
        <f t="shared" si="19"/>
        <v>16</v>
      </c>
      <c r="W48" s="257">
        <f t="shared" si="19"/>
        <v>16</v>
      </c>
      <c r="X48" s="257">
        <f t="shared" si="19"/>
        <v>15.000100857286938</v>
      </c>
      <c r="Y48" s="257">
        <f t="shared" si="19"/>
        <v>15</v>
      </c>
      <c r="Z48" s="257">
        <f t="shared" si="19"/>
        <v>14.750176500252143</v>
      </c>
      <c r="AA48" s="257">
        <f t="shared" si="19"/>
        <v>16</v>
      </c>
      <c r="AB48" s="257">
        <f t="shared" si="19"/>
        <v>16.500050428643469</v>
      </c>
      <c r="AC48" s="256">
        <f t="shared" si="20"/>
        <v>15.500033619095646</v>
      </c>
      <c r="AD48" s="223">
        <f t="shared" si="16"/>
        <v>186.00040342914775</v>
      </c>
      <c r="AF48" s="259">
        <f t="shared" si="17"/>
        <v>5.3767018585695858</v>
      </c>
      <c r="AG48" s="256">
        <f t="shared" si="18"/>
        <v>1000.0687148121915</v>
      </c>
    </row>
    <row r="49" spans="1:36" s="258" customFormat="1" outlineLevel="2" x14ac:dyDescent="0.25">
      <c r="A49" s="253" t="s">
        <v>96</v>
      </c>
      <c r="B49" s="253" t="s">
        <v>97</v>
      </c>
      <c r="C49" s="254">
        <f>IFERROR(VLOOKUP($A49,'[25]Rates Pre-030118'!$BC$1:$BE$114,3,FALSE),0)</f>
        <v>198.29</v>
      </c>
      <c r="D49" s="255">
        <v>793.16</v>
      </c>
      <c r="E49" s="255">
        <v>396.58</v>
      </c>
      <c r="F49" s="255">
        <v>570.08000000000004</v>
      </c>
      <c r="G49" s="255">
        <v>594.87</v>
      </c>
      <c r="H49" s="255">
        <v>594.87</v>
      </c>
      <c r="I49" s="255">
        <v>495.73</v>
      </c>
      <c r="J49" s="255">
        <v>396.58</v>
      </c>
      <c r="K49" s="255">
        <v>495.73</v>
      </c>
      <c r="L49" s="255">
        <v>594.87</v>
      </c>
      <c r="M49" s="255">
        <v>594.87</v>
      </c>
      <c r="N49" s="255">
        <v>594.87</v>
      </c>
      <c r="O49" s="255">
        <v>594.87</v>
      </c>
      <c r="P49" s="256">
        <f t="shared" si="13"/>
        <v>6717.08</v>
      </c>
      <c r="Q49" s="257">
        <f t="shared" si="19"/>
        <v>4</v>
      </c>
      <c r="R49" s="257">
        <f t="shared" si="19"/>
        <v>2</v>
      </c>
      <c r="S49" s="257">
        <f t="shared" si="19"/>
        <v>2.8749810883050082</v>
      </c>
      <c r="T49" s="257">
        <f t="shared" si="19"/>
        <v>3</v>
      </c>
      <c r="U49" s="257">
        <f t="shared" si="19"/>
        <v>3</v>
      </c>
      <c r="V49" s="257">
        <f t="shared" si="19"/>
        <v>2.5000252155933231</v>
      </c>
      <c r="W49" s="257">
        <f t="shared" si="19"/>
        <v>2</v>
      </c>
      <c r="X49" s="257">
        <f t="shared" si="19"/>
        <v>2.5000252155933231</v>
      </c>
      <c r="Y49" s="257">
        <f t="shared" si="19"/>
        <v>3</v>
      </c>
      <c r="Z49" s="257">
        <f t="shared" si="19"/>
        <v>3</v>
      </c>
      <c r="AA49" s="257">
        <f t="shared" si="19"/>
        <v>3</v>
      </c>
      <c r="AB49" s="257">
        <f t="shared" si="19"/>
        <v>3</v>
      </c>
      <c r="AC49" s="256">
        <f t="shared" si="20"/>
        <v>2.8229192932909712</v>
      </c>
      <c r="AD49" s="223">
        <f t="shared" si="16"/>
        <v>33.875031519491657</v>
      </c>
      <c r="AF49" s="259">
        <f t="shared" si="17"/>
        <v>10.752861437577035</v>
      </c>
      <c r="AG49" s="256">
        <f t="shared" si="18"/>
        <v>364.25352012264841</v>
      </c>
    </row>
    <row r="50" spans="1:36" s="258" customFormat="1" outlineLevel="2" x14ac:dyDescent="0.25">
      <c r="A50" s="253" t="s">
        <v>98</v>
      </c>
      <c r="B50" s="253" t="s">
        <v>99</v>
      </c>
      <c r="C50" s="254">
        <f>IFERROR(VLOOKUP($A50,'[25]Rates Pre-030118'!$BC$1:$BE$114,3,FALSE),0)</f>
        <v>297.44</v>
      </c>
      <c r="D50" s="255">
        <v>0</v>
      </c>
      <c r="E50" s="255">
        <v>0</v>
      </c>
      <c r="F50" s="255">
        <v>0</v>
      </c>
      <c r="G50" s="255">
        <v>0</v>
      </c>
      <c r="H50" s="255">
        <v>0</v>
      </c>
      <c r="I50" s="255">
        <v>0</v>
      </c>
      <c r="J50" s="255">
        <v>0</v>
      </c>
      <c r="K50" s="255">
        <v>0</v>
      </c>
      <c r="L50" s="255">
        <v>0</v>
      </c>
      <c r="M50" s="255">
        <v>0</v>
      </c>
      <c r="N50" s="255">
        <v>0</v>
      </c>
      <c r="O50" s="255">
        <v>0</v>
      </c>
      <c r="P50" s="256">
        <f t="shared" si="13"/>
        <v>0</v>
      </c>
      <c r="Q50" s="257">
        <f t="shared" si="19"/>
        <v>0</v>
      </c>
      <c r="R50" s="257">
        <f t="shared" si="19"/>
        <v>0</v>
      </c>
      <c r="S50" s="257">
        <f t="shared" si="19"/>
        <v>0</v>
      </c>
      <c r="T50" s="257">
        <f t="shared" si="19"/>
        <v>0</v>
      </c>
      <c r="U50" s="257">
        <f t="shared" si="19"/>
        <v>0</v>
      </c>
      <c r="V50" s="257">
        <f t="shared" si="19"/>
        <v>0</v>
      </c>
      <c r="W50" s="257">
        <f t="shared" si="19"/>
        <v>0</v>
      </c>
      <c r="X50" s="257">
        <f t="shared" si="19"/>
        <v>0</v>
      </c>
      <c r="Y50" s="257">
        <f t="shared" si="19"/>
        <v>0</v>
      </c>
      <c r="Z50" s="257">
        <f t="shared" si="19"/>
        <v>0</v>
      </c>
      <c r="AA50" s="257">
        <f t="shared" si="19"/>
        <v>0</v>
      </c>
      <c r="AB50" s="257">
        <f t="shared" si="19"/>
        <v>0</v>
      </c>
      <c r="AC50" s="256">
        <f t="shared" si="20"/>
        <v>0</v>
      </c>
      <c r="AD50" s="223">
        <f t="shared" si="16"/>
        <v>0</v>
      </c>
      <c r="AF50" s="259">
        <f t="shared" si="17"/>
        <v>16.129563296146621</v>
      </c>
      <c r="AG50" s="256">
        <f t="shared" si="18"/>
        <v>0</v>
      </c>
    </row>
    <row r="51" spans="1:36" s="258" customFormat="1" outlineLevel="2" x14ac:dyDescent="0.25">
      <c r="A51" s="253" t="s">
        <v>100</v>
      </c>
      <c r="B51" s="253" t="s">
        <v>101</v>
      </c>
      <c r="C51" s="254">
        <f>IFERROR(VLOOKUP($A51,'[25]Rates Pre-030118'!$BC$1:$BE$114,3,FALSE),0)</f>
        <v>49.66</v>
      </c>
      <c r="D51" s="255">
        <v>148.97999999999999</v>
      </c>
      <c r="E51" s="255">
        <v>99.32</v>
      </c>
      <c r="F51" s="255">
        <v>173.81</v>
      </c>
      <c r="G51" s="255">
        <v>124.15</v>
      </c>
      <c r="H51" s="255">
        <v>148.97999999999999</v>
      </c>
      <c r="I51" s="255">
        <v>148.97999999999999</v>
      </c>
      <c r="J51" s="255">
        <v>124.14999999999999</v>
      </c>
      <c r="K51" s="255">
        <v>148.97999999999999</v>
      </c>
      <c r="L51" s="255">
        <v>148.97999999999999</v>
      </c>
      <c r="M51" s="255">
        <v>148.97999999999999</v>
      </c>
      <c r="N51" s="255">
        <v>148.97999999999999</v>
      </c>
      <c r="O51" s="255">
        <v>124.15</v>
      </c>
      <c r="P51" s="256">
        <f t="shared" ref="P51:P80" si="21">SUM(D51:O51)</f>
        <v>1688.44</v>
      </c>
      <c r="Q51" s="257">
        <f t="shared" si="19"/>
        <v>3</v>
      </c>
      <c r="R51" s="257">
        <f t="shared" si="19"/>
        <v>2</v>
      </c>
      <c r="S51" s="257">
        <f t="shared" si="19"/>
        <v>3.5000000000000004</v>
      </c>
      <c r="T51" s="257">
        <f t="shared" si="19"/>
        <v>2.5000000000000004</v>
      </c>
      <c r="U51" s="257">
        <f t="shared" si="19"/>
        <v>3</v>
      </c>
      <c r="V51" s="257">
        <f t="shared" si="19"/>
        <v>3</v>
      </c>
      <c r="W51" s="257">
        <f t="shared" si="19"/>
        <v>2.5</v>
      </c>
      <c r="X51" s="257">
        <f t="shared" si="19"/>
        <v>3</v>
      </c>
      <c r="Y51" s="257">
        <f t="shared" si="19"/>
        <v>3</v>
      </c>
      <c r="Z51" s="257">
        <f t="shared" si="19"/>
        <v>3</v>
      </c>
      <c r="AA51" s="257">
        <f t="shared" si="19"/>
        <v>3</v>
      </c>
      <c r="AB51" s="257">
        <f t="shared" si="19"/>
        <v>2.5000000000000004</v>
      </c>
      <c r="AC51" s="256">
        <f t="shared" si="20"/>
        <v>2.8333333333333335</v>
      </c>
      <c r="AD51" s="223">
        <f t="shared" si="16"/>
        <v>34</v>
      </c>
      <c r="AF51" s="259">
        <f t="shared" si="17"/>
        <v>2.692960305562941</v>
      </c>
      <c r="AG51" s="256">
        <f t="shared" si="18"/>
        <v>91.560650389139994</v>
      </c>
    </row>
    <row r="52" spans="1:36" s="258" customFormat="1" outlineLevel="2" x14ac:dyDescent="0.25">
      <c r="A52" s="253" t="s">
        <v>102</v>
      </c>
      <c r="B52" s="253" t="s">
        <v>103</v>
      </c>
      <c r="C52" s="254">
        <f>IFERROR(VLOOKUP($A52,'[25]Rates Pre-030118'!$BC$1:$BE$114,3,FALSE),0)</f>
        <v>22.88</v>
      </c>
      <c r="D52" s="255">
        <v>0</v>
      </c>
      <c r="E52" s="255">
        <v>0</v>
      </c>
      <c r="F52" s="255">
        <v>45.76</v>
      </c>
      <c r="G52" s="255">
        <v>0</v>
      </c>
      <c r="H52" s="255">
        <v>0</v>
      </c>
      <c r="I52" s="255">
        <v>0</v>
      </c>
      <c r="J52" s="255">
        <v>0</v>
      </c>
      <c r="K52" s="255">
        <v>0</v>
      </c>
      <c r="L52" s="255">
        <v>0</v>
      </c>
      <c r="M52" s="255">
        <v>22.88</v>
      </c>
      <c r="N52" s="255">
        <v>0</v>
      </c>
      <c r="O52" s="255">
        <v>0</v>
      </c>
      <c r="P52" s="256">
        <f t="shared" si="21"/>
        <v>68.64</v>
      </c>
      <c r="Q52" s="257">
        <f t="shared" si="19"/>
        <v>0</v>
      </c>
      <c r="R52" s="257">
        <f t="shared" si="19"/>
        <v>0</v>
      </c>
      <c r="S52" s="257">
        <f t="shared" si="19"/>
        <v>2</v>
      </c>
      <c r="T52" s="257">
        <f t="shared" si="19"/>
        <v>0</v>
      </c>
      <c r="U52" s="257">
        <f t="shared" si="19"/>
        <v>0</v>
      </c>
      <c r="V52" s="257">
        <f t="shared" si="19"/>
        <v>0</v>
      </c>
      <c r="W52" s="257">
        <f t="shared" si="19"/>
        <v>0</v>
      </c>
      <c r="X52" s="257">
        <f t="shared" si="19"/>
        <v>0</v>
      </c>
      <c r="Y52" s="257">
        <f t="shared" si="19"/>
        <v>0</v>
      </c>
      <c r="Z52" s="257">
        <f t="shared" si="19"/>
        <v>1</v>
      </c>
      <c r="AA52" s="257">
        <f t="shared" si="19"/>
        <v>0</v>
      </c>
      <c r="AB52" s="257">
        <f t="shared" si="19"/>
        <v>0</v>
      </c>
      <c r="AC52" s="256">
        <f t="shared" si="20"/>
        <v>0.25</v>
      </c>
      <c r="AD52" s="223">
        <f t="shared" si="16"/>
        <v>3</v>
      </c>
      <c r="AF52" s="259">
        <f t="shared" si="17"/>
        <v>1.2407356381651247</v>
      </c>
      <c r="AG52" s="256">
        <f t="shared" si="18"/>
        <v>3.722206914495374</v>
      </c>
    </row>
    <row r="53" spans="1:36" s="258" customFormat="1" outlineLevel="2" x14ac:dyDescent="0.25">
      <c r="A53" s="253" t="s">
        <v>104</v>
      </c>
      <c r="B53" s="253" t="s">
        <v>105</v>
      </c>
      <c r="C53" s="254">
        <f>IFERROR(VLOOKUP($A53,'[25]Rates Pre-030118'!$BC$1:$BE$114,3,FALSE),0)</f>
        <v>99.52</v>
      </c>
      <c r="D53" s="255">
        <v>0</v>
      </c>
      <c r="E53" s="255">
        <v>0</v>
      </c>
      <c r="F53" s="255">
        <v>0</v>
      </c>
      <c r="G53" s="255">
        <v>0</v>
      </c>
      <c r="H53" s="255">
        <v>0</v>
      </c>
      <c r="I53" s="255">
        <v>0</v>
      </c>
      <c r="J53" s="255">
        <v>0</v>
      </c>
      <c r="K53" s="255">
        <v>0</v>
      </c>
      <c r="L53" s="255">
        <v>0</v>
      </c>
      <c r="M53" s="255">
        <v>49.76</v>
      </c>
      <c r="N53" s="255">
        <v>0</v>
      </c>
      <c r="O53" s="255">
        <v>0</v>
      </c>
      <c r="P53" s="256">
        <f t="shared" si="21"/>
        <v>49.76</v>
      </c>
      <c r="Q53" s="257">
        <f t="shared" si="19"/>
        <v>0</v>
      </c>
      <c r="R53" s="257">
        <f t="shared" si="19"/>
        <v>0</v>
      </c>
      <c r="S53" s="257">
        <f t="shared" si="19"/>
        <v>0</v>
      </c>
      <c r="T53" s="257">
        <f t="shared" si="19"/>
        <v>0</v>
      </c>
      <c r="U53" s="257">
        <f t="shared" si="19"/>
        <v>0</v>
      </c>
      <c r="V53" s="257">
        <f t="shared" si="19"/>
        <v>0</v>
      </c>
      <c r="W53" s="257">
        <f t="shared" si="19"/>
        <v>0</v>
      </c>
      <c r="X53" s="257">
        <f t="shared" si="19"/>
        <v>0</v>
      </c>
      <c r="Y53" s="257">
        <f t="shared" si="19"/>
        <v>0</v>
      </c>
      <c r="Z53" s="257">
        <f t="shared" si="19"/>
        <v>0.5</v>
      </c>
      <c r="AA53" s="257">
        <f t="shared" si="19"/>
        <v>0</v>
      </c>
      <c r="AB53" s="257">
        <f t="shared" si="19"/>
        <v>0</v>
      </c>
      <c r="AC53" s="256">
        <f t="shared" si="20"/>
        <v>4.1666666666666664E-2</v>
      </c>
      <c r="AD53" s="223">
        <f t="shared" si="16"/>
        <v>0.5</v>
      </c>
      <c r="AF53" s="259">
        <f t="shared" si="17"/>
        <v>5.3967662023685845</v>
      </c>
      <c r="AG53" s="256">
        <f t="shared" si="18"/>
        <v>2.6983831011842923</v>
      </c>
    </row>
    <row r="54" spans="1:36" s="258" customFormat="1" outlineLevel="2" x14ac:dyDescent="0.25">
      <c r="A54" s="253" t="s">
        <v>106</v>
      </c>
      <c r="B54" s="253" t="s">
        <v>107</v>
      </c>
      <c r="C54" s="254">
        <f>IFERROR(VLOOKUP($A54,'[25]Rates Pre-030118'!$BC$1:$BE$114,3,FALSE),0)</f>
        <v>78.349999999999994</v>
      </c>
      <c r="D54" s="255">
        <v>4054.61</v>
      </c>
      <c r="E54" s="255">
        <v>4015.44</v>
      </c>
      <c r="F54" s="255">
        <v>3917.5</v>
      </c>
      <c r="G54" s="255">
        <v>3976.27</v>
      </c>
      <c r="H54" s="255">
        <v>4152.55</v>
      </c>
      <c r="I54" s="255">
        <v>4132.96</v>
      </c>
      <c r="J54" s="255">
        <v>4015.45</v>
      </c>
      <c r="K54" s="255">
        <v>3956.68</v>
      </c>
      <c r="L54" s="255">
        <v>4035.03</v>
      </c>
      <c r="M54" s="255">
        <v>3917.5</v>
      </c>
      <c r="N54" s="255">
        <v>3995.85</v>
      </c>
      <c r="O54" s="255">
        <v>4132.96</v>
      </c>
      <c r="P54" s="256">
        <f t="shared" si="21"/>
        <v>48302.799999999996</v>
      </c>
      <c r="Q54" s="257">
        <f t="shared" si="19"/>
        <v>51.749968091895347</v>
      </c>
      <c r="R54" s="257">
        <f t="shared" si="19"/>
        <v>51.25003190810466</v>
      </c>
      <c r="S54" s="257">
        <f t="shared" si="19"/>
        <v>50.000000000000007</v>
      </c>
      <c r="T54" s="257">
        <f t="shared" si="19"/>
        <v>50.750095724313979</v>
      </c>
      <c r="U54" s="257">
        <f t="shared" si="19"/>
        <v>53.000000000000007</v>
      </c>
      <c r="V54" s="257">
        <f t="shared" si="19"/>
        <v>52.749968091895347</v>
      </c>
      <c r="W54" s="257">
        <f t="shared" si="19"/>
        <v>51.250159540523292</v>
      </c>
      <c r="X54" s="257">
        <f t="shared" si="19"/>
        <v>50.50006381620932</v>
      </c>
      <c r="Y54" s="257">
        <f t="shared" si="19"/>
        <v>51.500063816209327</v>
      </c>
      <c r="Z54" s="257">
        <f t="shared" si="19"/>
        <v>50.000000000000007</v>
      </c>
      <c r="AA54" s="257">
        <f t="shared" si="19"/>
        <v>51</v>
      </c>
      <c r="AB54" s="257">
        <f t="shared" si="19"/>
        <v>52.749968091895347</v>
      </c>
      <c r="AC54" s="256">
        <f t="shared" si="20"/>
        <v>51.375026590087224</v>
      </c>
      <c r="AD54" s="223">
        <f t="shared" si="16"/>
        <v>616.50031908104665</v>
      </c>
      <c r="AF54" s="259">
        <f t="shared" si="17"/>
        <v>4.2487603693285632</v>
      </c>
      <c r="AG54" s="256">
        <f t="shared" si="18"/>
        <v>2619.3621233899648</v>
      </c>
    </row>
    <row r="55" spans="1:36" s="258" customFormat="1" outlineLevel="2" x14ac:dyDescent="0.25">
      <c r="A55" s="253" t="s">
        <v>108</v>
      </c>
      <c r="B55" s="253" t="s">
        <v>109</v>
      </c>
      <c r="C55" s="254">
        <f>IFERROR(VLOOKUP($A55,'[25]Rates Pre-030118'!$BC$1:$BE$114,3,FALSE),0)</f>
        <v>156.69</v>
      </c>
      <c r="D55" s="255">
        <v>0</v>
      </c>
      <c r="E55" s="255">
        <v>0</v>
      </c>
      <c r="F55" s="255">
        <v>0</v>
      </c>
      <c r="G55" s="255">
        <v>0</v>
      </c>
      <c r="H55" s="255">
        <v>0</v>
      </c>
      <c r="I55" s="255">
        <v>0</v>
      </c>
      <c r="J55" s="255">
        <v>0</v>
      </c>
      <c r="K55" s="255">
        <v>0</v>
      </c>
      <c r="L55" s="255">
        <v>0</v>
      </c>
      <c r="M55" s="255">
        <v>0</v>
      </c>
      <c r="N55" s="255">
        <v>0</v>
      </c>
      <c r="O55" s="255">
        <v>0</v>
      </c>
      <c r="P55" s="256">
        <f t="shared" si="21"/>
        <v>0</v>
      </c>
      <c r="Q55" s="257">
        <f t="shared" si="19"/>
        <v>0</v>
      </c>
      <c r="R55" s="257">
        <f t="shared" si="19"/>
        <v>0</v>
      </c>
      <c r="S55" s="257">
        <f t="shared" si="19"/>
        <v>0</v>
      </c>
      <c r="T55" s="257">
        <f t="shared" si="19"/>
        <v>0</v>
      </c>
      <c r="U55" s="257">
        <f t="shared" si="19"/>
        <v>0</v>
      </c>
      <c r="V55" s="257">
        <f t="shared" si="19"/>
        <v>0</v>
      </c>
      <c r="W55" s="257">
        <f t="shared" si="19"/>
        <v>0</v>
      </c>
      <c r="X55" s="257">
        <f t="shared" si="19"/>
        <v>0</v>
      </c>
      <c r="Y55" s="257">
        <f t="shared" si="19"/>
        <v>0</v>
      </c>
      <c r="Z55" s="257">
        <f t="shared" si="19"/>
        <v>0</v>
      </c>
      <c r="AA55" s="257">
        <f t="shared" si="19"/>
        <v>0</v>
      </c>
      <c r="AB55" s="257">
        <f t="shared" si="19"/>
        <v>0</v>
      </c>
      <c r="AC55" s="256">
        <f t="shared" si="20"/>
        <v>0</v>
      </c>
      <c r="AD55" s="223">
        <f t="shared" si="16"/>
        <v>0</v>
      </c>
      <c r="AF55" s="259">
        <f t="shared" si="17"/>
        <v>8.4969784590949917</v>
      </c>
      <c r="AG55" s="256">
        <f t="shared" si="18"/>
        <v>0</v>
      </c>
    </row>
    <row r="56" spans="1:36" s="258" customFormat="1" outlineLevel="2" x14ac:dyDescent="0.25">
      <c r="A56" s="253" t="s">
        <v>110</v>
      </c>
      <c r="B56" s="253" t="s">
        <v>111</v>
      </c>
      <c r="C56" s="254">
        <f>IFERROR(VLOOKUP($A56,'[25]Rates Pre-030118'!$BC$1:$BE$114,3,FALSE),0)</f>
        <v>235.04</v>
      </c>
      <c r="D56" s="255">
        <v>0</v>
      </c>
      <c r="E56" s="255">
        <v>0</v>
      </c>
      <c r="F56" s="255">
        <v>0</v>
      </c>
      <c r="G56" s="255">
        <v>0</v>
      </c>
      <c r="H56" s="255">
        <v>0</v>
      </c>
      <c r="I56" s="255">
        <v>0</v>
      </c>
      <c r="J56" s="255">
        <v>0</v>
      </c>
      <c r="K56" s="255">
        <v>0</v>
      </c>
      <c r="L56" s="255">
        <v>0</v>
      </c>
      <c r="M56" s="255">
        <v>0</v>
      </c>
      <c r="N56" s="255">
        <v>0</v>
      </c>
      <c r="O56" s="255">
        <v>0</v>
      </c>
      <c r="P56" s="256">
        <f t="shared" si="21"/>
        <v>0</v>
      </c>
      <c r="Q56" s="257">
        <f t="shared" si="19"/>
        <v>0</v>
      </c>
      <c r="R56" s="257">
        <f t="shared" si="19"/>
        <v>0</v>
      </c>
      <c r="S56" s="257">
        <f t="shared" si="19"/>
        <v>0</v>
      </c>
      <c r="T56" s="257">
        <f t="shared" si="19"/>
        <v>0</v>
      </c>
      <c r="U56" s="257">
        <f t="shared" si="19"/>
        <v>0</v>
      </c>
      <c r="V56" s="257">
        <f t="shared" si="19"/>
        <v>0</v>
      </c>
      <c r="W56" s="257">
        <f t="shared" si="19"/>
        <v>0</v>
      </c>
      <c r="X56" s="257">
        <f t="shared" si="19"/>
        <v>0</v>
      </c>
      <c r="Y56" s="257">
        <f t="shared" si="19"/>
        <v>0</v>
      </c>
      <c r="Z56" s="257">
        <f t="shared" si="19"/>
        <v>0</v>
      </c>
      <c r="AA56" s="257">
        <f t="shared" si="19"/>
        <v>0</v>
      </c>
      <c r="AB56" s="257">
        <f t="shared" si="19"/>
        <v>0</v>
      </c>
      <c r="AC56" s="256">
        <f t="shared" si="20"/>
        <v>0</v>
      </c>
      <c r="AD56" s="223">
        <f t="shared" si="16"/>
        <v>0</v>
      </c>
      <c r="AF56" s="259">
        <f t="shared" si="17"/>
        <v>12.745738828423553</v>
      </c>
      <c r="AG56" s="256">
        <f t="shared" si="18"/>
        <v>0</v>
      </c>
    </row>
    <row r="57" spans="1:36" s="258" customFormat="1" outlineLevel="2" x14ac:dyDescent="0.25">
      <c r="A57" s="253" t="s">
        <v>112</v>
      </c>
      <c r="B57" s="253" t="s">
        <v>113</v>
      </c>
      <c r="C57" s="254">
        <f>IFERROR(VLOOKUP($A57,'[25]Rates Pre-030118'!$BC$1:$BE$114,3,FALSE),0)</f>
        <v>39.22</v>
      </c>
      <c r="D57" s="255">
        <v>1686.46</v>
      </c>
      <c r="E57" s="255">
        <v>1666.85</v>
      </c>
      <c r="F57" s="255">
        <v>1617.83</v>
      </c>
      <c r="G57" s="255">
        <v>1627.63</v>
      </c>
      <c r="H57" s="255">
        <v>1588.41</v>
      </c>
      <c r="I57" s="255">
        <v>1549.2</v>
      </c>
      <c r="J57" s="255">
        <v>1568.8</v>
      </c>
      <c r="K57" s="255">
        <v>1608.02</v>
      </c>
      <c r="L57" s="255">
        <v>1588.41</v>
      </c>
      <c r="M57" s="255">
        <v>1568.8</v>
      </c>
      <c r="N57" s="255">
        <v>1568.8</v>
      </c>
      <c r="O57" s="255">
        <v>1568.8</v>
      </c>
      <c r="P57" s="256">
        <f t="shared" si="21"/>
        <v>19208.009999999998</v>
      </c>
      <c r="Q57" s="257">
        <f t="shared" si="19"/>
        <v>43</v>
      </c>
      <c r="R57" s="257">
        <f t="shared" si="19"/>
        <v>42.5</v>
      </c>
      <c r="S57" s="257">
        <f t="shared" si="19"/>
        <v>41.250127485976542</v>
      </c>
      <c r="T57" s="257">
        <f t="shared" si="19"/>
        <v>41.500000000000007</v>
      </c>
      <c r="U57" s="257">
        <f t="shared" si="19"/>
        <v>40.5</v>
      </c>
      <c r="V57" s="257">
        <f t="shared" si="19"/>
        <v>39.50025497195309</v>
      </c>
      <c r="W57" s="257">
        <f t="shared" si="19"/>
        <v>40</v>
      </c>
      <c r="X57" s="257">
        <f t="shared" si="19"/>
        <v>41</v>
      </c>
      <c r="Y57" s="257">
        <f t="shared" si="19"/>
        <v>40.5</v>
      </c>
      <c r="Z57" s="257">
        <f t="shared" si="19"/>
        <v>40</v>
      </c>
      <c r="AA57" s="257">
        <f t="shared" si="19"/>
        <v>40</v>
      </c>
      <c r="AB57" s="257">
        <f t="shared" si="19"/>
        <v>40</v>
      </c>
      <c r="AC57" s="256">
        <f t="shared" si="20"/>
        <v>40.812531871494137</v>
      </c>
      <c r="AD57" s="223">
        <f t="shared" si="16"/>
        <v>489.75038245792962</v>
      </c>
      <c r="AF57" s="259">
        <f t="shared" si="17"/>
        <v>2.1268204426938895</v>
      </c>
      <c r="AG57" s="256">
        <f t="shared" si="18"/>
        <v>1041.6111252286755</v>
      </c>
    </row>
    <row r="58" spans="1:36" s="258" customFormat="1" outlineLevel="2" x14ac:dyDescent="0.25">
      <c r="A58" s="253" t="s">
        <v>114</v>
      </c>
      <c r="B58" s="253" t="s">
        <v>115</v>
      </c>
      <c r="C58" s="254">
        <f>IFERROR(VLOOKUP($A58,'[25]Rates Pre-030118'!$BC$1:$BE$114,3,FALSE),0)</f>
        <v>18.079999999999998</v>
      </c>
      <c r="D58" s="255">
        <v>0</v>
      </c>
      <c r="E58" s="255">
        <v>0</v>
      </c>
      <c r="F58" s="255">
        <v>36.159999999999997</v>
      </c>
      <c r="G58" s="255">
        <v>19.579999999999998</v>
      </c>
      <c r="H58" s="255">
        <v>0</v>
      </c>
      <c r="I58" s="255">
        <v>37.659999999999997</v>
      </c>
      <c r="J58" s="255">
        <v>19.579999999999998</v>
      </c>
      <c r="K58" s="255">
        <v>0</v>
      </c>
      <c r="L58" s="255">
        <v>0</v>
      </c>
      <c r="M58" s="255">
        <v>0</v>
      </c>
      <c r="N58" s="255">
        <v>0</v>
      </c>
      <c r="O58" s="255">
        <v>36.159999999999997</v>
      </c>
      <c r="P58" s="256">
        <f t="shared" si="21"/>
        <v>149.13999999999999</v>
      </c>
      <c r="Q58" s="257">
        <f t="shared" si="19"/>
        <v>0</v>
      </c>
      <c r="R58" s="257">
        <f t="shared" si="19"/>
        <v>0</v>
      </c>
      <c r="S58" s="257">
        <f t="shared" si="19"/>
        <v>2</v>
      </c>
      <c r="T58" s="257">
        <f t="shared" si="19"/>
        <v>1.0829646017699115</v>
      </c>
      <c r="U58" s="257">
        <f t="shared" si="19"/>
        <v>0</v>
      </c>
      <c r="V58" s="257">
        <f t="shared" si="19"/>
        <v>2.0829646017699117</v>
      </c>
      <c r="W58" s="257">
        <f t="shared" si="19"/>
        <v>1.0829646017699115</v>
      </c>
      <c r="X58" s="257">
        <f t="shared" si="19"/>
        <v>0</v>
      </c>
      <c r="Y58" s="257">
        <f t="shared" si="19"/>
        <v>0</v>
      </c>
      <c r="Z58" s="257">
        <f t="shared" si="19"/>
        <v>0</v>
      </c>
      <c r="AA58" s="257">
        <f t="shared" si="19"/>
        <v>0</v>
      </c>
      <c r="AB58" s="257">
        <f t="shared" si="19"/>
        <v>2</v>
      </c>
      <c r="AC58" s="256">
        <f t="shared" si="20"/>
        <v>0.68740781710914456</v>
      </c>
      <c r="AD58" s="223">
        <f t="shared" si="16"/>
        <v>8.2488938053097343</v>
      </c>
      <c r="AF58" s="259">
        <f t="shared" si="17"/>
        <v>0.98044144834027325</v>
      </c>
      <c r="AG58" s="256">
        <f t="shared" si="18"/>
        <v>8.0875573896829849</v>
      </c>
    </row>
    <row r="59" spans="1:36" s="258" customFormat="1" outlineLevel="2" x14ac:dyDescent="0.25">
      <c r="A59" s="253" t="s">
        <v>116</v>
      </c>
      <c r="B59" s="253" t="s">
        <v>117</v>
      </c>
      <c r="C59" s="254">
        <f>IFERROR(VLOOKUP($A59,'[25]Rates Pre-030118'!$BC$1:$BE$114,3,FALSE),0)</f>
        <v>80.319999999999993</v>
      </c>
      <c r="D59" s="255">
        <v>0</v>
      </c>
      <c r="E59" s="255">
        <v>0</v>
      </c>
      <c r="F59" s="255">
        <v>0</v>
      </c>
      <c r="G59" s="255">
        <v>0</v>
      </c>
      <c r="H59" s="255">
        <v>0</v>
      </c>
      <c r="I59" s="255">
        <v>0</v>
      </c>
      <c r="J59" s="255">
        <v>0</v>
      </c>
      <c r="K59" s="255">
        <v>0</v>
      </c>
      <c r="L59" s="255">
        <v>40.159999999999997</v>
      </c>
      <c r="M59" s="255">
        <v>120.48</v>
      </c>
      <c r="N59" s="255">
        <v>80.319999999999993</v>
      </c>
      <c r="O59" s="255">
        <v>0</v>
      </c>
      <c r="P59" s="256">
        <f t="shared" si="21"/>
        <v>240.95999999999998</v>
      </c>
      <c r="Q59" s="257">
        <f t="shared" si="19"/>
        <v>0</v>
      </c>
      <c r="R59" s="257">
        <f t="shared" si="19"/>
        <v>0</v>
      </c>
      <c r="S59" s="257">
        <f t="shared" si="19"/>
        <v>0</v>
      </c>
      <c r="T59" s="257">
        <f t="shared" si="19"/>
        <v>0</v>
      </c>
      <c r="U59" s="257">
        <f t="shared" si="19"/>
        <v>0</v>
      </c>
      <c r="V59" s="257">
        <f t="shared" si="19"/>
        <v>0</v>
      </c>
      <c r="W59" s="257">
        <f t="shared" si="19"/>
        <v>0</v>
      </c>
      <c r="X59" s="257">
        <f t="shared" si="19"/>
        <v>0</v>
      </c>
      <c r="Y59" s="257">
        <f t="shared" si="19"/>
        <v>0.5</v>
      </c>
      <c r="Z59" s="257">
        <f t="shared" si="19"/>
        <v>1.5000000000000002</v>
      </c>
      <c r="AA59" s="257">
        <f t="shared" si="19"/>
        <v>1</v>
      </c>
      <c r="AB59" s="257">
        <f t="shared" si="19"/>
        <v>0</v>
      </c>
      <c r="AC59" s="256">
        <f t="shared" si="20"/>
        <v>0.25</v>
      </c>
      <c r="AD59" s="223">
        <f t="shared" si="16"/>
        <v>3</v>
      </c>
      <c r="AF59" s="259">
        <f t="shared" si="17"/>
        <v>4.3555894430691788</v>
      </c>
      <c r="AG59" s="256">
        <f t="shared" si="18"/>
        <v>13.066768329207537</v>
      </c>
    </row>
    <row r="60" spans="1:36" s="258" customFormat="1" outlineLevel="2" x14ac:dyDescent="0.25">
      <c r="A60" s="253" t="s">
        <v>118</v>
      </c>
      <c r="B60" s="253" t="s">
        <v>119</v>
      </c>
      <c r="C60" s="254">
        <f>IFERROR(VLOOKUP($A60,'[25]Rates Pre-030118'!$BC$1:$BE$114,3,FALSE),0)</f>
        <v>137.88999999999999</v>
      </c>
      <c r="D60" s="255">
        <v>7446.06</v>
      </c>
      <c r="E60" s="255">
        <v>7446.06</v>
      </c>
      <c r="F60" s="255">
        <v>7308.17</v>
      </c>
      <c r="G60" s="255">
        <v>7273.7</v>
      </c>
      <c r="H60" s="255">
        <v>7308.17</v>
      </c>
      <c r="I60" s="255">
        <v>7170.28</v>
      </c>
      <c r="J60" s="255">
        <v>7377.13</v>
      </c>
      <c r="K60" s="255">
        <v>7549.49</v>
      </c>
      <c r="L60" s="255">
        <v>7446.06</v>
      </c>
      <c r="M60" s="255">
        <v>7308.17</v>
      </c>
      <c r="N60" s="255">
        <v>6860.03</v>
      </c>
      <c r="O60" s="255">
        <v>7549.48</v>
      </c>
      <c r="P60" s="256">
        <f t="shared" si="21"/>
        <v>88042.799999999988</v>
      </c>
      <c r="Q60" s="257">
        <f t="shared" si="19"/>
        <v>54.000000000000007</v>
      </c>
      <c r="R60" s="257">
        <f t="shared" si="19"/>
        <v>54.000000000000007</v>
      </c>
      <c r="S60" s="257">
        <f t="shared" si="19"/>
        <v>53.000000000000007</v>
      </c>
      <c r="T60" s="257">
        <f t="shared" si="19"/>
        <v>52.750018130393798</v>
      </c>
      <c r="U60" s="257">
        <f t="shared" si="19"/>
        <v>53.000000000000007</v>
      </c>
      <c r="V60" s="257">
        <f t="shared" si="19"/>
        <v>52</v>
      </c>
      <c r="W60" s="257">
        <f t="shared" si="19"/>
        <v>53.500108782362759</v>
      </c>
      <c r="X60" s="257">
        <f t="shared" si="19"/>
        <v>54.750090651968968</v>
      </c>
      <c r="Y60" s="257">
        <f t="shared" si="19"/>
        <v>54.000000000000007</v>
      </c>
      <c r="Z60" s="257">
        <f t="shared" si="19"/>
        <v>53.000000000000007</v>
      </c>
      <c r="AA60" s="257">
        <f t="shared" si="19"/>
        <v>49.750018130393798</v>
      </c>
      <c r="AB60" s="257">
        <f t="shared" si="19"/>
        <v>54.750018130393798</v>
      </c>
      <c r="AC60" s="256">
        <f t="shared" si="20"/>
        <v>53.208354485459417</v>
      </c>
      <c r="AD60" s="223">
        <f t="shared" si="16"/>
        <v>638.50025382551303</v>
      </c>
      <c r="AF60" s="259">
        <f t="shared" si="17"/>
        <v>7.4774928822809894</v>
      </c>
      <c r="AG60" s="256">
        <f t="shared" si="18"/>
        <v>4774.3811033148786</v>
      </c>
    </row>
    <row r="61" spans="1:36" s="258" customFormat="1" outlineLevel="2" x14ac:dyDescent="0.25">
      <c r="A61" s="253" t="s">
        <v>120</v>
      </c>
      <c r="B61" s="253" t="s">
        <v>121</v>
      </c>
      <c r="C61" s="254">
        <f>IFERROR(VLOOKUP($A61,'[25]Rates Pre-030118'!$BC$1:$BE$114,3,FALSE),0)</f>
        <v>275.77</v>
      </c>
      <c r="D61" s="255">
        <v>6342.71</v>
      </c>
      <c r="E61" s="255">
        <v>6066.94</v>
      </c>
      <c r="F61" s="255">
        <v>6066.94</v>
      </c>
      <c r="G61" s="255">
        <v>5998</v>
      </c>
      <c r="H61" s="255">
        <v>6066.94</v>
      </c>
      <c r="I61" s="255">
        <v>6066.94</v>
      </c>
      <c r="J61" s="255">
        <v>6066.94</v>
      </c>
      <c r="K61" s="255">
        <v>6170.36</v>
      </c>
      <c r="L61" s="255">
        <v>6342.71</v>
      </c>
      <c r="M61" s="255">
        <v>6342.71</v>
      </c>
      <c r="N61" s="255">
        <v>6273.77</v>
      </c>
      <c r="O61" s="255">
        <v>6066.94</v>
      </c>
      <c r="P61" s="256">
        <f t="shared" si="21"/>
        <v>73871.900000000009</v>
      </c>
      <c r="Q61" s="257">
        <f t="shared" si="19"/>
        <v>23</v>
      </c>
      <c r="R61" s="257">
        <f t="shared" si="19"/>
        <v>22</v>
      </c>
      <c r="S61" s="257">
        <f t="shared" si="19"/>
        <v>22</v>
      </c>
      <c r="T61" s="257">
        <f t="shared" si="19"/>
        <v>21.750009065525621</v>
      </c>
      <c r="U61" s="257">
        <f t="shared" si="19"/>
        <v>22</v>
      </c>
      <c r="V61" s="257">
        <f t="shared" si="19"/>
        <v>22</v>
      </c>
      <c r="W61" s="257">
        <f t="shared" si="19"/>
        <v>22</v>
      </c>
      <c r="X61" s="257">
        <f t="shared" si="19"/>
        <v>22.375022663814047</v>
      </c>
      <c r="Y61" s="257">
        <f t="shared" si="19"/>
        <v>23</v>
      </c>
      <c r="Z61" s="257">
        <f t="shared" si="19"/>
        <v>23</v>
      </c>
      <c r="AA61" s="257">
        <f t="shared" si="19"/>
        <v>22.750009065525621</v>
      </c>
      <c r="AB61" s="257">
        <f t="shared" si="19"/>
        <v>22</v>
      </c>
      <c r="AC61" s="256">
        <f t="shared" si="20"/>
        <v>22.322920066238776</v>
      </c>
      <c r="AD61" s="223">
        <f t="shared" si="16"/>
        <v>267.8750407948653</v>
      </c>
      <c r="AF61" s="259">
        <f t="shared" si="17"/>
        <v>14.954443484999844</v>
      </c>
      <c r="AG61" s="256">
        <f t="shared" si="18"/>
        <v>4005.9221586088415</v>
      </c>
      <c r="AH61" s="260"/>
      <c r="AI61" s="260"/>
      <c r="AJ61" s="260"/>
    </row>
    <row r="62" spans="1:36" s="258" customFormat="1" outlineLevel="2" x14ac:dyDescent="0.25">
      <c r="A62" s="253" t="s">
        <v>122</v>
      </c>
      <c r="B62" s="253" t="s">
        <v>123</v>
      </c>
      <c r="C62" s="254">
        <f>IFERROR(VLOOKUP($A62,'[25]Rates Pre-030118'!$BC$1:$BE$114,3,FALSE),0)</f>
        <v>413.66</v>
      </c>
      <c r="D62" s="255">
        <v>2481.96</v>
      </c>
      <c r="E62" s="255">
        <v>2481.96</v>
      </c>
      <c r="F62" s="255">
        <v>2481.96</v>
      </c>
      <c r="G62" s="255">
        <v>2481.96</v>
      </c>
      <c r="H62" s="255">
        <v>2481.96</v>
      </c>
      <c r="I62" s="255">
        <v>2481.96</v>
      </c>
      <c r="J62" s="255">
        <v>2481.96</v>
      </c>
      <c r="K62" s="255">
        <v>2481.96</v>
      </c>
      <c r="L62" s="255">
        <v>2481.96</v>
      </c>
      <c r="M62" s="255">
        <v>2481.96</v>
      </c>
      <c r="N62" s="255">
        <v>2895.62</v>
      </c>
      <c r="O62" s="255">
        <v>2895.62</v>
      </c>
      <c r="P62" s="256">
        <f t="shared" si="21"/>
        <v>30610.839999999993</v>
      </c>
      <c r="Q62" s="257">
        <f t="shared" si="19"/>
        <v>6</v>
      </c>
      <c r="R62" s="257">
        <f t="shared" si="19"/>
        <v>6</v>
      </c>
      <c r="S62" s="257">
        <f t="shared" si="19"/>
        <v>6</v>
      </c>
      <c r="T62" s="257">
        <f t="shared" si="19"/>
        <v>6</v>
      </c>
      <c r="U62" s="257">
        <f t="shared" si="19"/>
        <v>6</v>
      </c>
      <c r="V62" s="257">
        <f t="shared" si="19"/>
        <v>6</v>
      </c>
      <c r="W62" s="257">
        <f t="shared" si="19"/>
        <v>6</v>
      </c>
      <c r="X62" s="257">
        <f t="shared" si="19"/>
        <v>6</v>
      </c>
      <c r="Y62" s="257">
        <f t="shared" si="19"/>
        <v>6</v>
      </c>
      <c r="Z62" s="257">
        <f t="shared" si="19"/>
        <v>6</v>
      </c>
      <c r="AA62" s="257">
        <f t="shared" si="19"/>
        <v>6.9999999999999991</v>
      </c>
      <c r="AB62" s="257">
        <f t="shared" si="19"/>
        <v>6.9999999999999991</v>
      </c>
      <c r="AC62" s="256">
        <f t="shared" si="20"/>
        <v>6.166666666666667</v>
      </c>
      <c r="AD62" s="223">
        <f t="shared" si="16"/>
        <v>74</v>
      </c>
      <c r="AF62" s="259">
        <f t="shared" si="17"/>
        <v>22.431936367280837</v>
      </c>
      <c r="AG62" s="256">
        <f t="shared" si="18"/>
        <v>1659.9632911787819</v>
      </c>
      <c r="AH62" s="260"/>
      <c r="AI62" s="260"/>
      <c r="AJ62" s="260"/>
    </row>
    <row r="63" spans="1:36" s="258" customFormat="1" outlineLevel="2" x14ac:dyDescent="0.25">
      <c r="A63" s="253" t="s">
        <v>124</v>
      </c>
      <c r="B63" s="253" t="s">
        <v>125</v>
      </c>
      <c r="C63" s="254">
        <f>IFERROR(VLOOKUP($A63,'[25]Rates Pre-030118'!$BC$1:$BE$114,3,FALSE),0)</f>
        <v>551.54999999999995</v>
      </c>
      <c r="D63" s="255">
        <v>1103.0999999999999</v>
      </c>
      <c r="E63" s="255">
        <v>1103.0999999999999</v>
      </c>
      <c r="F63" s="255">
        <v>1103.0999999999999</v>
      </c>
      <c r="G63" s="255">
        <v>1103.0999999999999</v>
      </c>
      <c r="H63" s="255">
        <v>413.66</v>
      </c>
      <c r="I63" s="255">
        <v>551.54999999999995</v>
      </c>
      <c r="J63" s="255">
        <v>551.54999999999995</v>
      </c>
      <c r="K63" s="255">
        <v>551.54999999999995</v>
      </c>
      <c r="L63" s="255">
        <v>551.54999999999995</v>
      </c>
      <c r="M63" s="255">
        <v>551.54999999999995</v>
      </c>
      <c r="N63" s="255">
        <v>551.54999999999995</v>
      </c>
      <c r="O63" s="255">
        <v>551.54999999999995</v>
      </c>
      <c r="P63" s="256">
        <f t="shared" si="21"/>
        <v>8686.91</v>
      </c>
      <c r="Q63" s="257">
        <f t="shared" si="19"/>
        <v>2</v>
      </c>
      <c r="R63" s="257">
        <f t="shared" si="19"/>
        <v>2</v>
      </c>
      <c r="S63" s="257">
        <f t="shared" si="19"/>
        <v>2</v>
      </c>
      <c r="T63" s="257">
        <f t="shared" si="19"/>
        <v>2</v>
      </c>
      <c r="U63" s="257">
        <f t="shared" si="19"/>
        <v>0.74999546731937283</v>
      </c>
      <c r="V63" s="257">
        <f t="shared" si="19"/>
        <v>1</v>
      </c>
      <c r="W63" s="257">
        <f t="shared" ref="W63:AB77" si="22">+IFERROR(J63/$C63,0)</f>
        <v>1</v>
      </c>
      <c r="X63" s="257">
        <f t="shared" si="22"/>
        <v>1</v>
      </c>
      <c r="Y63" s="257">
        <f t="shared" si="22"/>
        <v>1</v>
      </c>
      <c r="Z63" s="257">
        <f t="shared" si="22"/>
        <v>1</v>
      </c>
      <c r="AA63" s="257">
        <f t="shared" si="22"/>
        <v>1</v>
      </c>
      <c r="AB63" s="257">
        <f t="shared" si="22"/>
        <v>1</v>
      </c>
      <c r="AC63" s="256">
        <f t="shared" si="20"/>
        <v>1.3124996222766143</v>
      </c>
      <c r="AD63" s="223">
        <f t="shared" si="16"/>
        <v>15.749995467319373</v>
      </c>
      <c r="AF63" s="259">
        <f t="shared" si="17"/>
        <v>29.909429249561821</v>
      </c>
      <c r="AG63" s="256">
        <f t="shared" si="18"/>
        <v>471.07337511070807</v>
      </c>
      <c r="AH63" s="260"/>
      <c r="AI63" s="260"/>
      <c r="AJ63" s="260"/>
    </row>
    <row r="64" spans="1:36" s="258" customFormat="1" outlineLevel="2" x14ac:dyDescent="0.25">
      <c r="A64" s="253" t="s">
        <v>126</v>
      </c>
      <c r="B64" s="253" t="s">
        <v>127</v>
      </c>
      <c r="C64" s="254">
        <f>IFERROR(VLOOKUP($A64,'[25]Rates Pre-030118'!$BC$1:$BE$114,3,FALSE),0)</f>
        <v>689.43</v>
      </c>
      <c r="D64" s="255">
        <v>0</v>
      </c>
      <c r="E64" s="255">
        <v>0</v>
      </c>
      <c r="F64" s="255">
        <v>0</v>
      </c>
      <c r="G64" s="255">
        <v>0</v>
      </c>
      <c r="H64" s="255">
        <v>0</v>
      </c>
      <c r="I64" s="255">
        <v>0</v>
      </c>
      <c r="J64" s="255">
        <v>0</v>
      </c>
      <c r="K64" s="255">
        <v>0</v>
      </c>
      <c r="L64" s="255">
        <v>0</v>
      </c>
      <c r="M64" s="255">
        <v>0</v>
      </c>
      <c r="N64" s="255">
        <v>0</v>
      </c>
      <c r="O64" s="255">
        <v>0</v>
      </c>
      <c r="P64" s="256">
        <f t="shared" si="21"/>
        <v>0</v>
      </c>
      <c r="Q64" s="257">
        <f t="shared" ref="Q64:V77" si="23">+IFERROR(D64/$C64,0)</f>
        <v>0</v>
      </c>
      <c r="R64" s="257">
        <f t="shared" si="23"/>
        <v>0</v>
      </c>
      <c r="S64" s="257">
        <f t="shared" si="23"/>
        <v>0</v>
      </c>
      <c r="T64" s="257">
        <f t="shared" si="23"/>
        <v>0</v>
      </c>
      <c r="U64" s="257">
        <f t="shared" si="23"/>
        <v>0</v>
      </c>
      <c r="V64" s="257">
        <f t="shared" si="23"/>
        <v>0</v>
      </c>
      <c r="W64" s="257">
        <f t="shared" si="22"/>
        <v>0</v>
      </c>
      <c r="X64" s="257">
        <f t="shared" si="22"/>
        <v>0</v>
      </c>
      <c r="Y64" s="257">
        <f t="shared" si="22"/>
        <v>0</v>
      </c>
      <c r="Z64" s="257">
        <f t="shared" si="22"/>
        <v>0</v>
      </c>
      <c r="AA64" s="257">
        <f t="shared" si="22"/>
        <v>0</v>
      </c>
      <c r="AB64" s="257">
        <f t="shared" si="22"/>
        <v>0</v>
      </c>
      <c r="AC64" s="256">
        <f t="shared" si="20"/>
        <v>0</v>
      </c>
      <c r="AD64" s="223">
        <f t="shared" si="16"/>
        <v>0</v>
      </c>
      <c r="AF64" s="259">
        <f t="shared" si="17"/>
        <v>37.386379852280676</v>
      </c>
      <c r="AG64" s="256">
        <f t="shared" si="18"/>
        <v>0</v>
      </c>
      <c r="AH64" s="260"/>
      <c r="AI64" s="260"/>
      <c r="AJ64" s="260"/>
    </row>
    <row r="65" spans="1:36" s="258" customFormat="1" outlineLevel="2" x14ac:dyDescent="0.25">
      <c r="A65" s="253" t="s">
        <v>128</v>
      </c>
      <c r="B65" s="253" t="s">
        <v>129</v>
      </c>
      <c r="C65" s="254">
        <f>IFERROR(VLOOKUP($A65,'[25]Rates Pre-030118'!$BC$1:$BE$114,3,FALSE),0)</f>
        <v>69.040000000000006</v>
      </c>
      <c r="D65" s="255">
        <v>517.79999999999995</v>
      </c>
      <c r="E65" s="255">
        <v>586.84</v>
      </c>
      <c r="F65" s="255">
        <v>621.36</v>
      </c>
      <c r="G65" s="255">
        <v>621.36</v>
      </c>
      <c r="H65" s="255">
        <v>535.05999999999995</v>
      </c>
      <c r="I65" s="255">
        <v>483.28</v>
      </c>
      <c r="J65" s="255">
        <v>483.28</v>
      </c>
      <c r="K65" s="255">
        <v>483.28</v>
      </c>
      <c r="L65" s="255">
        <v>483.28</v>
      </c>
      <c r="M65" s="255">
        <v>483.28</v>
      </c>
      <c r="N65" s="255">
        <v>707.66</v>
      </c>
      <c r="O65" s="255">
        <v>621.36</v>
      </c>
      <c r="P65" s="256">
        <f t="shared" si="21"/>
        <v>6627.8399999999983</v>
      </c>
      <c r="Q65" s="257">
        <f t="shared" si="23"/>
        <v>7.4999999999999982</v>
      </c>
      <c r="R65" s="257">
        <f t="shared" si="23"/>
        <v>8.5</v>
      </c>
      <c r="S65" s="257">
        <f t="shared" si="23"/>
        <v>9</v>
      </c>
      <c r="T65" s="257">
        <f t="shared" si="23"/>
        <v>9</v>
      </c>
      <c r="U65" s="257">
        <f t="shared" si="23"/>
        <v>7.7499999999999982</v>
      </c>
      <c r="V65" s="257">
        <f t="shared" si="23"/>
        <v>6.9999999999999991</v>
      </c>
      <c r="W65" s="257">
        <f t="shared" si="22"/>
        <v>6.9999999999999991</v>
      </c>
      <c r="X65" s="257">
        <f t="shared" si="22"/>
        <v>6.9999999999999991</v>
      </c>
      <c r="Y65" s="257">
        <f t="shared" si="22"/>
        <v>6.9999999999999991</v>
      </c>
      <c r="Z65" s="257">
        <f t="shared" si="22"/>
        <v>6.9999999999999991</v>
      </c>
      <c r="AA65" s="257">
        <f t="shared" si="22"/>
        <v>10.249999999999998</v>
      </c>
      <c r="AB65" s="257">
        <f t="shared" si="22"/>
        <v>9</v>
      </c>
      <c r="AC65" s="256">
        <f t="shared" si="20"/>
        <v>8</v>
      </c>
      <c r="AD65" s="223">
        <f t="shared" si="16"/>
        <v>96</v>
      </c>
      <c r="AF65" s="259">
        <f t="shared" si="17"/>
        <v>3.7438980969807787</v>
      </c>
      <c r="AG65" s="256">
        <f t="shared" si="18"/>
        <v>359.41421731015475</v>
      </c>
      <c r="AH65" s="260"/>
      <c r="AI65" s="260"/>
      <c r="AJ65" s="260"/>
    </row>
    <row r="66" spans="1:36" s="258" customFormat="1" outlineLevel="2" x14ac:dyDescent="0.25">
      <c r="A66" s="253" t="s">
        <v>130</v>
      </c>
      <c r="B66" s="253" t="s">
        <v>131</v>
      </c>
      <c r="C66" s="254">
        <f>IFERROR(VLOOKUP($A66,'[25]Rates Pre-030118'!$BC$1:$BE$114,3,FALSE),0)</f>
        <v>31.82</v>
      </c>
      <c r="D66" s="255">
        <v>0</v>
      </c>
      <c r="E66" s="255">
        <v>0</v>
      </c>
      <c r="F66" s="255">
        <v>0</v>
      </c>
      <c r="G66" s="255">
        <v>0</v>
      </c>
      <c r="H66" s="255">
        <v>0</v>
      </c>
      <c r="I66" s="255">
        <v>0</v>
      </c>
      <c r="J66" s="255">
        <v>31.82</v>
      </c>
      <c r="K66" s="255">
        <v>0</v>
      </c>
      <c r="L66" s="255">
        <v>0</v>
      </c>
      <c r="M66" s="255">
        <v>30.18</v>
      </c>
      <c r="N66" s="255">
        <v>0</v>
      </c>
      <c r="O66" s="255">
        <v>63.64</v>
      </c>
      <c r="P66" s="256">
        <f t="shared" si="21"/>
        <v>125.64</v>
      </c>
      <c r="Q66" s="257">
        <f t="shared" si="23"/>
        <v>0</v>
      </c>
      <c r="R66" s="257">
        <f t="shared" si="23"/>
        <v>0</v>
      </c>
      <c r="S66" s="257">
        <f t="shared" si="23"/>
        <v>0</v>
      </c>
      <c r="T66" s="257">
        <f t="shared" si="23"/>
        <v>0</v>
      </c>
      <c r="U66" s="257">
        <f t="shared" si="23"/>
        <v>0</v>
      </c>
      <c r="V66" s="257">
        <f t="shared" si="23"/>
        <v>0</v>
      </c>
      <c r="W66" s="257">
        <f t="shared" si="22"/>
        <v>1</v>
      </c>
      <c r="X66" s="257">
        <f t="shared" si="22"/>
        <v>0</v>
      </c>
      <c r="Y66" s="257">
        <f t="shared" si="22"/>
        <v>0</v>
      </c>
      <c r="Z66" s="257">
        <f t="shared" si="22"/>
        <v>0.94846008799497172</v>
      </c>
      <c r="AA66" s="257">
        <f t="shared" si="22"/>
        <v>0</v>
      </c>
      <c r="AB66" s="257">
        <f t="shared" si="22"/>
        <v>2</v>
      </c>
      <c r="AC66" s="256">
        <f t="shared" si="20"/>
        <v>0.32903834066624765</v>
      </c>
      <c r="AD66" s="223">
        <f t="shared" si="16"/>
        <v>3.9484600879949721</v>
      </c>
      <c r="AF66" s="259">
        <f t="shared" si="17"/>
        <v>1.7255335667139104</v>
      </c>
      <c r="AG66" s="256">
        <f t="shared" si="18"/>
        <v>6.8132004186654846</v>
      </c>
      <c r="AH66" s="260"/>
      <c r="AI66" s="260"/>
      <c r="AJ66" s="260"/>
    </row>
    <row r="67" spans="1:36" s="258" customFormat="1" outlineLevel="2" x14ac:dyDescent="0.25">
      <c r="A67" s="253" t="s">
        <v>132</v>
      </c>
      <c r="B67" s="253" t="s">
        <v>133</v>
      </c>
      <c r="C67" s="254">
        <f>IFERROR(VLOOKUP($A67,'[25]Rates Pre-030118'!$BC$1:$BE$114,3,FALSE),0)</f>
        <v>135.28</v>
      </c>
      <c r="D67" s="255">
        <v>0</v>
      </c>
      <c r="E67" s="255">
        <v>0</v>
      </c>
      <c r="F67" s="255">
        <v>101.46</v>
      </c>
      <c r="G67" s="255">
        <v>33.82</v>
      </c>
      <c r="H67" s="255">
        <v>0</v>
      </c>
      <c r="I67" s="255">
        <v>169.1</v>
      </c>
      <c r="J67" s="255">
        <v>0</v>
      </c>
      <c r="K67" s="255">
        <v>33.82</v>
      </c>
      <c r="L67" s="255">
        <v>67.64</v>
      </c>
      <c r="M67" s="255">
        <v>169.1</v>
      </c>
      <c r="N67" s="255">
        <v>270.56</v>
      </c>
      <c r="O67" s="255">
        <v>202.92</v>
      </c>
      <c r="P67" s="256">
        <f t="shared" si="21"/>
        <v>1048.42</v>
      </c>
      <c r="Q67" s="257">
        <f t="shared" si="23"/>
        <v>0</v>
      </c>
      <c r="R67" s="257">
        <f t="shared" si="23"/>
        <v>0</v>
      </c>
      <c r="S67" s="257">
        <f t="shared" si="23"/>
        <v>0.75</v>
      </c>
      <c r="T67" s="257">
        <f t="shared" si="23"/>
        <v>0.25</v>
      </c>
      <c r="U67" s="257">
        <f t="shared" si="23"/>
        <v>0</v>
      </c>
      <c r="V67" s="257">
        <f t="shared" si="23"/>
        <v>1.25</v>
      </c>
      <c r="W67" s="257">
        <f t="shared" si="22"/>
        <v>0</v>
      </c>
      <c r="X67" s="257">
        <f t="shared" si="22"/>
        <v>0.25</v>
      </c>
      <c r="Y67" s="257">
        <f t="shared" si="22"/>
        <v>0.5</v>
      </c>
      <c r="Z67" s="257">
        <f t="shared" si="22"/>
        <v>1.25</v>
      </c>
      <c r="AA67" s="257">
        <f t="shared" si="22"/>
        <v>2</v>
      </c>
      <c r="AB67" s="257">
        <f t="shared" si="22"/>
        <v>1.5</v>
      </c>
      <c r="AC67" s="256">
        <f t="shared" si="20"/>
        <v>0.64583333333333337</v>
      </c>
      <c r="AD67" s="223">
        <f t="shared" si="16"/>
        <v>7.75</v>
      </c>
      <c r="AF67" s="259">
        <f t="shared" si="17"/>
        <v>7.3359579165637268</v>
      </c>
      <c r="AG67" s="256">
        <f t="shared" si="18"/>
        <v>56.853673853368882</v>
      </c>
      <c r="AH67" s="260"/>
      <c r="AI67" s="260"/>
      <c r="AJ67" s="260"/>
    </row>
    <row r="68" spans="1:36" outlineLevel="2" x14ac:dyDescent="0.25">
      <c r="A68" s="36" t="s">
        <v>134</v>
      </c>
      <c r="B68" s="36" t="s">
        <v>135</v>
      </c>
      <c r="C68" s="37">
        <f>IFERROR(VLOOKUP($A68,'[25]Rates Pre-030118'!$BC$1:$BE$114,3,FALSE),0)</f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39.42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9">
        <f t="shared" si="21"/>
        <v>39.42</v>
      </c>
      <c r="Q68" s="40">
        <f t="shared" si="23"/>
        <v>0</v>
      </c>
      <c r="R68" s="40">
        <f t="shared" si="23"/>
        <v>0</v>
      </c>
      <c r="S68" s="40">
        <f t="shared" si="23"/>
        <v>0</v>
      </c>
      <c r="T68" s="40">
        <f t="shared" si="23"/>
        <v>0</v>
      </c>
      <c r="U68" s="40">
        <f t="shared" si="23"/>
        <v>0</v>
      </c>
      <c r="V68" s="40">
        <f t="shared" si="23"/>
        <v>0</v>
      </c>
      <c r="W68" s="40">
        <f t="shared" si="22"/>
        <v>0</v>
      </c>
      <c r="X68" s="40">
        <f t="shared" si="22"/>
        <v>0</v>
      </c>
      <c r="Y68" s="40">
        <f t="shared" si="22"/>
        <v>0</v>
      </c>
      <c r="Z68" s="40">
        <f t="shared" si="22"/>
        <v>0</v>
      </c>
      <c r="AA68" s="40">
        <f t="shared" si="22"/>
        <v>0</v>
      </c>
      <c r="AB68" s="40">
        <f t="shared" si="22"/>
        <v>0</v>
      </c>
      <c r="AC68" s="39">
        <f t="shared" si="20"/>
        <v>0</v>
      </c>
      <c r="AD68" s="41">
        <f t="shared" ref="AD68:AD77" si="24">AC68*12</f>
        <v>0</v>
      </c>
      <c r="AF68" s="42">
        <f t="shared" ref="AF68:AF78" si="25">C68*$AI$2</f>
        <v>0</v>
      </c>
      <c r="AG68" s="39">
        <f t="shared" ref="AG68:AG78" si="26">AC68*AF68*12</f>
        <v>0</v>
      </c>
      <c r="AH68" s="1"/>
      <c r="AI68" s="1"/>
      <c r="AJ68" s="1"/>
    </row>
    <row r="69" spans="1:36" s="258" customFormat="1" outlineLevel="2" x14ac:dyDescent="0.25">
      <c r="A69" s="253" t="s">
        <v>136</v>
      </c>
      <c r="B69" s="253" t="s">
        <v>137</v>
      </c>
      <c r="C69" s="254">
        <f>IFERROR(VLOOKUP($A69,'[25]Rates Pre-030118'!$BC$1:$BE$114,3,FALSE),0)</f>
        <v>3.82</v>
      </c>
      <c r="D69" s="255">
        <v>494.16</v>
      </c>
      <c r="E69" s="255">
        <v>471.24</v>
      </c>
      <c r="F69" s="255">
        <v>537.44000000000005</v>
      </c>
      <c r="G69" s="255">
        <v>672.80000000000007</v>
      </c>
      <c r="H69" s="255">
        <v>406.22</v>
      </c>
      <c r="I69" s="255">
        <v>449.58</v>
      </c>
      <c r="J69" s="255">
        <v>299.3</v>
      </c>
      <c r="K69" s="255">
        <v>647.37</v>
      </c>
      <c r="L69" s="255">
        <v>462.38</v>
      </c>
      <c r="M69" s="255">
        <v>653.26</v>
      </c>
      <c r="N69" s="255">
        <v>584.54</v>
      </c>
      <c r="O69" s="255">
        <v>526.16</v>
      </c>
      <c r="P69" s="256">
        <f t="shared" si="21"/>
        <v>6204.4500000000007</v>
      </c>
      <c r="Q69" s="257">
        <f t="shared" si="23"/>
        <v>129.36125654450262</v>
      </c>
      <c r="R69" s="257">
        <f t="shared" si="23"/>
        <v>123.36125654450262</v>
      </c>
      <c r="S69" s="257">
        <f t="shared" si="23"/>
        <v>140.6910994764398</v>
      </c>
      <c r="T69" s="257">
        <f t="shared" si="23"/>
        <v>176.12565445026181</v>
      </c>
      <c r="U69" s="257">
        <f t="shared" si="23"/>
        <v>106.34031413612567</v>
      </c>
      <c r="V69" s="257">
        <f t="shared" si="23"/>
        <v>117.69109947643979</v>
      </c>
      <c r="W69" s="257">
        <f t="shared" si="22"/>
        <v>78.350785340314147</v>
      </c>
      <c r="X69" s="257">
        <f t="shared" si="22"/>
        <v>169.46858638743456</v>
      </c>
      <c r="Y69" s="257">
        <f t="shared" si="22"/>
        <v>121.04188481675394</v>
      </c>
      <c r="Z69" s="257">
        <f t="shared" si="22"/>
        <v>171.01047120418849</v>
      </c>
      <c r="AA69" s="257">
        <f t="shared" si="22"/>
        <v>153.02094240837695</v>
      </c>
      <c r="AB69" s="257">
        <f t="shared" si="22"/>
        <v>137.73821989528795</v>
      </c>
      <c r="AC69" s="256">
        <f t="shared" si="20"/>
        <v>135.35013089005236</v>
      </c>
      <c r="AD69" s="223">
        <f t="shared" si="24"/>
        <v>1624.2015706806283</v>
      </c>
      <c r="AF69" s="259">
        <f t="shared" si="25"/>
        <v>0.20715079273561085</v>
      </c>
      <c r="AG69" s="256">
        <f t="shared" si="26"/>
        <v>336.45464292891643</v>
      </c>
      <c r="AH69" s="260"/>
      <c r="AI69" s="260"/>
      <c r="AJ69" s="260"/>
    </row>
    <row r="70" spans="1:36" s="258" customFormat="1" outlineLevel="2" x14ac:dyDescent="0.25">
      <c r="A70" s="253" t="s">
        <v>138</v>
      </c>
      <c r="B70" s="253" t="s">
        <v>139</v>
      </c>
      <c r="C70" s="254">
        <f>IFERROR(VLOOKUP($A70,'[25]Rates Pre-030118'!$BC$1:$BE$114,3,FALSE),0)</f>
        <v>16.41</v>
      </c>
      <c r="D70" s="255">
        <v>16.41</v>
      </c>
      <c r="E70" s="255">
        <v>0</v>
      </c>
      <c r="F70" s="255">
        <v>0</v>
      </c>
      <c r="G70" s="255">
        <v>90.26</v>
      </c>
      <c r="H70" s="255">
        <v>32.82</v>
      </c>
      <c r="I70" s="255">
        <v>0</v>
      </c>
      <c r="J70" s="255">
        <v>0</v>
      </c>
      <c r="K70" s="255">
        <v>131.28</v>
      </c>
      <c r="L70" s="255">
        <v>0</v>
      </c>
      <c r="M70" s="255">
        <v>16.41</v>
      </c>
      <c r="N70" s="255">
        <v>0</v>
      </c>
      <c r="O70" s="255">
        <v>32.82</v>
      </c>
      <c r="P70" s="256">
        <f t="shared" si="21"/>
        <v>320</v>
      </c>
      <c r="Q70" s="257">
        <f t="shared" si="23"/>
        <v>1</v>
      </c>
      <c r="R70" s="257">
        <f t="shared" si="23"/>
        <v>0</v>
      </c>
      <c r="S70" s="257">
        <f t="shared" si="23"/>
        <v>0</v>
      </c>
      <c r="T70" s="257">
        <f t="shared" si="23"/>
        <v>5.5003046922608165</v>
      </c>
      <c r="U70" s="257">
        <f t="shared" si="23"/>
        <v>2</v>
      </c>
      <c r="V70" s="257">
        <f t="shared" si="23"/>
        <v>0</v>
      </c>
      <c r="W70" s="257">
        <f t="shared" si="22"/>
        <v>0</v>
      </c>
      <c r="X70" s="257">
        <f t="shared" si="22"/>
        <v>8</v>
      </c>
      <c r="Y70" s="257">
        <f t="shared" si="22"/>
        <v>0</v>
      </c>
      <c r="Z70" s="257">
        <f t="shared" si="22"/>
        <v>1</v>
      </c>
      <c r="AA70" s="257">
        <f t="shared" si="22"/>
        <v>0</v>
      </c>
      <c r="AB70" s="257">
        <f t="shared" si="22"/>
        <v>2</v>
      </c>
      <c r="AC70" s="256">
        <f t="shared" si="20"/>
        <v>1.6250253910217347</v>
      </c>
      <c r="AD70" s="223">
        <f t="shared" si="24"/>
        <v>19.500304692260816</v>
      </c>
      <c r="AF70" s="259">
        <f t="shared" si="25"/>
        <v>0.88988076146371053</v>
      </c>
      <c r="AG70" s="256">
        <f t="shared" si="26"/>
        <v>17.352945988323423</v>
      </c>
      <c r="AH70" s="260"/>
      <c r="AI70" s="260"/>
      <c r="AJ70" s="260"/>
    </row>
    <row r="71" spans="1:36" outlineLevel="2" x14ac:dyDescent="0.25">
      <c r="A71" s="36" t="s">
        <v>140</v>
      </c>
      <c r="B71" s="36" t="s">
        <v>141</v>
      </c>
      <c r="C71" s="37">
        <f>IFERROR(VLOOKUP($A71,'[25]Rates Pre-030118'!$BC$1:$BE$114,3,FALSE),0)</f>
        <v>4.59</v>
      </c>
      <c r="D71" s="38">
        <v>20.53</v>
      </c>
      <c r="E71" s="38">
        <v>18.36</v>
      </c>
      <c r="F71" s="38">
        <v>22.95</v>
      </c>
      <c r="G71" s="38">
        <v>18.36</v>
      </c>
      <c r="H71" s="38">
        <v>18.36</v>
      </c>
      <c r="I71" s="38">
        <v>18.36</v>
      </c>
      <c r="J71" s="38">
        <v>18.36</v>
      </c>
      <c r="K71" s="38">
        <v>18.36</v>
      </c>
      <c r="L71" s="38">
        <v>18.36</v>
      </c>
      <c r="M71" s="38">
        <v>18.36</v>
      </c>
      <c r="N71" s="38">
        <v>18.36</v>
      </c>
      <c r="O71" s="38">
        <v>18.36</v>
      </c>
      <c r="P71" s="39">
        <f t="shared" si="21"/>
        <v>227.08000000000004</v>
      </c>
      <c r="Q71" s="40">
        <f t="shared" si="23"/>
        <v>4.4727668845315911</v>
      </c>
      <c r="R71" s="40">
        <f t="shared" si="23"/>
        <v>4</v>
      </c>
      <c r="S71" s="40">
        <f t="shared" si="23"/>
        <v>5</v>
      </c>
      <c r="T71" s="40">
        <f t="shared" si="23"/>
        <v>4</v>
      </c>
      <c r="U71" s="40">
        <f t="shared" si="23"/>
        <v>4</v>
      </c>
      <c r="V71" s="40">
        <f t="shared" si="23"/>
        <v>4</v>
      </c>
      <c r="W71" s="40">
        <f t="shared" si="22"/>
        <v>4</v>
      </c>
      <c r="X71" s="40">
        <f t="shared" si="22"/>
        <v>4</v>
      </c>
      <c r="Y71" s="40">
        <f t="shared" si="22"/>
        <v>4</v>
      </c>
      <c r="Z71" s="40">
        <f t="shared" si="22"/>
        <v>4</v>
      </c>
      <c r="AA71" s="40">
        <f t="shared" si="22"/>
        <v>4</v>
      </c>
      <c r="AB71" s="40">
        <f t="shared" si="22"/>
        <v>4</v>
      </c>
      <c r="AC71" s="39">
        <f t="shared" si="20"/>
        <v>4.1227305737109665</v>
      </c>
      <c r="AD71" s="41">
        <f t="shared" si="24"/>
        <v>49.472766884531595</v>
      </c>
      <c r="AF71" s="42">
        <f t="shared" si="25"/>
        <v>0.24890631902001409</v>
      </c>
      <c r="AG71" s="39">
        <f t="shared" si="26"/>
        <v>12.314084296964008</v>
      </c>
      <c r="AH71" s="1"/>
      <c r="AI71" s="1"/>
      <c r="AJ71" s="1"/>
    </row>
    <row r="72" spans="1:36" outlineLevel="2" x14ac:dyDescent="0.25">
      <c r="A72" s="36" t="s">
        <v>142</v>
      </c>
      <c r="B72" s="36" t="s">
        <v>143</v>
      </c>
      <c r="C72" s="37">
        <f>IFERROR(VLOOKUP($A72,'[25]Rates Pre-030118'!$BC$1:$BE$114,3,FALSE),0)</f>
        <v>22.99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9">
        <f t="shared" si="21"/>
        <v>0</v>
      </c>
      <c r="Q72" s="40">
        <f t="shared" si="23"/>
        <v>0</v>
      </c>
      <c r="R72" s="40">
        <f t="shared" si="23"/>
        <v>0</v>
      </c>
      <c r="S72" s="40">
        <f t="shared" si="23"/>
        <v>0</v>
      </c>
      <c r="T72" s="40">
        <f t="shared" si="23"/>
        <v>0</v>
      </c>
      <c r="U72" s="40">
        <f t="shared" si="23"/>
        <v>0</v>
      </c>
      <c r="V72" s="40">
        <f t="shared" si="23"/>
        <v>0</v>
      </c>
      <c r="W72" s="40">
        <f t="shared" si="22"/>
        <v>0</v>
      </c>
      <c r="X72" s="40">
        <f t="shared" si="22"/>
        <v>0</v>
      </c>
      <c r="Y72" s="40">
        <f t="shared" si="22"/>
        <v>0</v>
      </c>
      <c r="Z72" s="40">
        <f t="shared" si="22"/>
        <v>0</v>
      </c>
      <c r="AA72" s="40">
        <f t="shared" si="22"/>
        <v>0</v>
      </c>
      <c r="AB72" s="40">
        <f t="shared" si="22"/>
        <v>0</v>
      </c>
      <c r="AC72" s="39">
        <f t="shared" si="20"/>
        <v>0</v>
      </c>
      <c r="AD72" s="41">
        <f t="shared" si="24"/>
        <v>0</v>
      </c>
      <c r="AF72" s="42">
        <f t="shared" si="25"/>
        <v>1.2467007133486108</v>
      </c>
      <c r="AG72" s="39">
        <f t="shared" si="26"/>
        <v>0</v>
      </c>
      <c r="AH72" s="1"/>
      <c r="AI72" s="1"/>
      <c r="AJ72" s="1"/>
    </row>
    <row r="73" spans="1:36" outlineLevel="2" x14ac:dyDescent="0.25">
      <c r="A73" s="36" t="s">
        <v>144</v>
      </c>
      <c r="B73" s="36" t="s">
        <v>145</v>
      </c>
      <c r="C73" s="37">
        <f>IFERROR(VLOOKUP($A73,'[25]Rates Pre-030118'!$BC$1:$BE$114,3,FALSE),0)</f>
        <v>26.56</v>
      </c>
      <c r="D73" s="38">
        <v>0</v>
      </c>
      <c r="E73" s="38">
        <v>0</v>
      </c>
      <c r="F73" s="38">
        <v>79.680000000000007</v>
      </c>
      <c r="G73" s="38">
        <v>0</v>
      </c>
      <c r="H73" s="38">
        <v>26.56</v>
      </c>
      <c r="I73" s="38">
        <v>0</v>
      </c>
      <c r="J73" s="38">
        <v>0</v>
      </c>
      <c r="K73" s="38">
        <v>26.56</v>
      </c>
      <c r="L73" s="38">
        <v>79.680000000000007</v>
      </c>
      <c r="M73" s="38">
        <v>79.680000000000007</v>
      </c>
      <c r="N73" s="38">
        <v>106.24</v>
      </c>
      <c r="O73" s="38">
        <v>26.56</v>
      </c>
      <c r="P73" s="39">
        <f t="shared" si="21"/>
        <v>424.96000000000004</v>
      </c>
      <c r="Q73" s="40">
        <f t="shared" si="23"/>
        <v>0</v>
      </c>
      <c r="R73" s="40">
        <f t="shared" si="23"/>
        <v>0</v>
      </c>
      <c r="S73" s="40">
        <f t="shared" si="23"/>
        <v>3.0000000000000004</v>
      </c>
      <c r="T73" s="40">
        <f t="shared" si="23"/>
        <v>0</v>
      </c>
      <c r="U73" s="40">
        <f t="shared" si="23"/>
        <v>1</v>
      </c>
      <c r="V73" s="40">
        <f t="shared" si="23"/>
        <v>0</v>
      </c>
      <c r="W73" s="40">
        <f t="shared" si="22"/>
        <v>0</v>
      </c>
      <c r="X73" s="40">
        <f t="shared" si="22"/>
        <v>1</v>
      </c>
      <c r="Y73" s="40">
        <f t="shared" si="22"/>
        <v>3.0000000000000004</v>
      </c>
      <c r="Z73" s="40">
        <f t="shared" si="22"/>
        <v>3.0000000000000004</v>
      </c>
      <c r="AA73" s="40">
        <f t="shared" si="22"/>
        <v>4</v>
      </c>
      <c r="AB73" s="40">
        <f t="shared" si="22"/>
        <v>1</v>
      </c>
      <c r="AC73" s="39">
        <f t="shared" si="20"/>
        <v>1.3333333333333333</v>
      </c>
      <c r="AD73" s="41">
        <f t="shared" si="24"/>
        <v>16</v>
      </c>
      <c r="AF73" s="42">
        <f t="shared" si="25"/>
        <v>1.4402945170308441</v>
      </c>
      <c r="AG73" s="39">
        <f t="shared" si="26"/>
        <v>23.044712272493506</v>
      </c>
      <c r="AH73" s="1"/>
      <c r="AI73" s="1"/>
      <c r="AJ73" s="1"/>
    </row>
    <row r="74" spans="1:36" outlineLevel="2" x14ac:dyDescent="0.25">
      <c r="A74" s="36" t="s">
        <v>146</v>
      </c>
      <c r="B74" s="36" t="s">
        <v>147</v>
      </c>
      <c r="C74" s="37">
        <f>IFERROR(VLOOKUP($A74,'[25]Rates Pre-030118'!$BC$1:$BE$114,3,FALSE),0)</f>
        <v>5.31</v>
      </c>
      <c r="D74" s="38">
        <v>0</v>
      </c>
      <c r="E74" s="38">
        <v>5.31</v>
      </c>
      <c r="F74" s="38">
        <v>5.31</v>
      </c>
      <c r="G74" s="38">
        <v>0</v>
      </c>
      <c r="H74" s="38">
        <v>5.31</v>
      </c>
      <c r="I74" s="38">
        <v>5.31</v>
      </c>
      <c r="J74" s="38">
        <v>-5.31</v>
      </c>
      <c r="K74" s="38">
        <v>18.079999999999998</v>
      </c>
      <c r="L74" s="38">
        <v>0</v>
      </c>
      <c r="M74" s="38">
        <v>0</v>
      </c>
      <c r="N74" s="38">
        <v>0</v>
      </c>
      <c r="O74" s="38">
        <v>0</v>
      </c>
      <c r="P74" s="39">
        <f t="shared" si="21"/>
        <v>34.01</v>
      </c>
      <c r="Q74" s="40">
        <f t="shared" si="23"/>
        <v>0</v>
      </c>
      <c r="R74" s="40">
        <f t="shared" si="23"/>
        <v>1</v>
      </c>
      <c r="S74" s="40">
        <f t="shared" si="23"/>
        <v>1</v>
      </c>
      <c r="T74" s="40">
        <f t="shared" si="23"/>
        <v>0</v>
      </c>
      <c r="U74" s="40">
        <f t="shared" si="23"/>
        <v>1</v>
      </c>
      <c r="V74" s="40">
        <f t="shared" si="23"/>
        <v>1</v>
      </c>
      <c r="W74" s="40">
        <f t="shared" si="22"/>
        <v>-1</v>
      </c>
      <c r="X74" s="40">
        <f t="shared" si="22"/>
        <v>3.4048964218455744</v>
      </c>
      <c r="Y74" s="40">
        <f t="shared" si="22"/>
        <v>0</v>
      </c>
      <c r="Z74" s="40">
        <f t="shared" si="22"/>
        <v>0</v>
      </c>
      <c r="AA74" s="40">
        <f t="shared" si="22"/>
        <v>0</v>
      </c>
      <c r="AB74" s="40">
        <f t="shared" si="22"/>
        <v>0</v>
      </c>
      <c r="AC74" s="39">
        <f t="shared" si="20"/>
        <v>0.53374136848713116</v>
      </c>
      <c r="AD74" s="41">
        <f t="shared" si="24"/>
        <v>6.4048964218455744</v>
      </c>
      <c r="AF74" s="42">
        <f t="shared" si="25"/>
        <v>0.28795044749374177</v>
      </c>
      <c r="AG74" s="39">
        <f t="shared" si="26"/>
        <v>1.8442927908214986</v>
      </c>
      <c r="AH74" s="1"/>
      <c r="AI74" s="1"/>
      <c r="AJ74" s="1"/>
    </row>
    <row r="75" spans="1:36" outlineLevel="2" x14ac:dyDescent="0.25">
      <c r="A75" s="36" t="s">
        <v>148</v>
      </c>
      <c r="B75" s="36" t="s">
        <v>149</v>
      </c>
      <c r="C75" s="37">
        <f>IFERROR(VLOOKUP($A75,'[25]Rates Pre-030118'!$BC$1:$BE$114,3,FALSE),0)</f>
        <v>0</v>
      </c>
      <c r="D75" s="38">
        <v>4</v>
      </c>
      <c r="E75" s="38">
        <v>4</v>
      </c>
      <c r="F75" s="38">
        <v>4</v>
      </c>
      <c r="G75" s="38">
        <v>4</v>
      </c>
      <c r="H75" s="38">
        <v>4</v>
      </c>
      <c r="I75" s="38">
        <v>4</v>
      </c>
      <c r="J75" s="38">
        <v>4</v>
      </c>
      <c r="K75" s="38">
        <v>4</v>
      </c>
      <c r="L75" s="38">
        <v>4</v>
      </c>
      <c r="M75" s="38">
        <v>4</v>
      </c>
      <c r="N75" s="38">
        <v>4</v>
      </c>
      <c r="O75" s="38">
        <v>4</v>
      </c>
      <c r="P75" s="39">
        <f t="shared" si="21"/>
        <v>48</v>
      </c>
      <c r="Q75" s="40">
        <f t="shared" si="23"/>
        <v>0</v>
      </c>
      <c r="R75" s="40">
        <f t="shared" si="23"/>
        <v>0</v>
      </c>
      <c r="S75" s="40">
        <f t="shared" si="23"/>
        <v>0</v>
      </c>
      <c r="T75" s="40">
        <f t="shared" si="23"/>
        <v>0</v>
      </c>
      <c r="U75" s="40">
        <f t="shared" si="23"/>
        <v>0</v>
      </c>
      <c r="V75" s="40">
        <f t="shared" si="23"/>
        <v>0</v>
      </c>
      <c r="W75" s="40">
        <f t="shared" si="22"/>
        <v>0</v>
      </c>
      <c r="X75" s="40">
        <f t="shared" si="22"/>
        <v>0</v>
      </c>
      <c r="Y75" s="40">
        <f t="shared" si="22"/>
        <v>0</v>
      </c>
      <c r="Z75" s="40">
        <f t="shared" si="22"/>
        <v>0</v>
      </c>
      <c r="AA75" s="40">
        <f t="shared" si="22"/>
        <v>0</v>
      </c>
      <c r="AB75" s="40">
        <f t="shared" si="22"/>
        <v>0</v>
      </c>
      <c r="AC75" s="39">
        <f t="shared" si="20"/>
        <v>0</v>
      </c>
      <c r="AD75" s="41">
        <f t="shared" si="24"/>
        <v>0</v>
      </c>
      <c r="AF75" s="42">
        <f t="shared" si="25"/>
        <v>0</v>
      </c>
      <c r="AG75" s="39">
        <f t="shared" si="26"/>
        <v>0</v>
      </c>
      <c r="AH75" s="1"/>
      <c r="AI75" s="1"/>
      <c r="AJ75" s="1"/>
    </row>
    <row r="76" spans="1:36" outlineLevel="2" x14ac:dyDescent="0.25">
      <c r="A76" s="36" t="s">
        <v>150</v>
      </c>
      <c r="B76" s="36" t="s">
        <v>151</v>
      </c>
      <c r="C76" s="37">
        <f>IFERROR(VLOOKUP($A76,'[25]Rates Pre-030118'!$BC$1:$BE$114,3,FALSE),0)</f>
        <v>2.77</v>
      </c>
      <c r="D76" s="38">
        <v>8.32</v>
      </c>
      <c r="E76" s="38">
        <v>8.32</v>
      </c>
      <c r="F76" s="38">
        <v>8.32</v>
      </c>
      <c r="G76" s="38">
        <v>8.32</v>
      </c>
      <c r="H76" s="38">
        <v>8.32</v>
      </c>
      <c r="I76" s="38">
        <v>8.32</v>
      </c>
      <c r="J76" s="38">
        <v>8.32</v>
      </c>
      <c r="K76" s="38">
        <v>8.32</v>
      </c>
      <c r="L76" s="38">
        <v>8.32</v>
      </c>
      <c r="M76" s="38">
        <v>8.32</v>
      </c>
      <c r="N76" s="38">
        <v>8.32</v>
      </c>
      <c r="O76" s="38">
        <v>11.09</v>
      </c>
      <c r="P76" s="39">
        <f t="shared" si="21"/>
        <v>102.60999999999999</v>
      </c>
      <c r="Q76" s="40">
        <f t="shared" si="23"/>
        <v>3.0036101083032491</v>
      </c>
      <c r="R76" s="40">
        <f t="shared" si="23"/>
        <v>3.0036101083032491</v>
      </c>
      <c r="S76" s="40">
        <f t="shared" si="23"/>
        <v>3.0036101083032491</v>
      </c>
      <c r="T76" s="40">
        <f t="shared" si="23"/>
        <v>3.0036101083032491</v>
      </c>
      <c r="U76" s="40">
        <f t="shared" si="23"/>
        <v>3.0036101083032491</v>
      </c>
      <c r="V76" s="40">
        <f t="shared" si="23"/>
        <v>3.0036101083032491</v>
      </c>
      <c r="W76" s="40">
        <f t="shared" si="22"/>
        <v>3.0036101083032491</v>
      </c>
      <c r="X76" s="40">
        <f t="shared" si="22"/>
        <v>3.0036101083032491</v>
      </c>
      <c r="Y76" s="40">
        <f t="shared" si="22"/>
        <v>3.0036101083032491</v>
      </c>
      <c r="Z76" s="40">
        <f t="shared" si="22"/>
        <v>3.0036101083032491</v>
      </c>
      <c r="AA76" s="40">
        <f t="shared" si="22"/>
        <v>3.0036101083032491</v>
      </c>
      <c r="AB76" s="40">
        <f t="shared" si="22"/>
        <v>4.0036101083032491</v>
      </c>
      <c r="AC76" s="39">
        <f t="shared" si="20"/>
        <v>3.0869434416365826</v>
      </c>
      <c r="AD76" s="41">
        <f t="shared" si="24"/>
        <v>37.04332129963899</v>
      </c>
      <c r="AF76" s="42">
        <f t="shared" si="25"/>
        <v>0.15021143871142462</v>
      </c>
      <c r="AG76" s="39">
        <f t="shared" si="26"/>
        <v>5.5643305870683317</v>
      </c>
      <c r="AH76" s="1"/>
      <c r="AI76" s="1"/>
      <c r="AJ76" s="1"/>
    </row>
    <row r="77" spans="1:36" outlineLevel="2" x14ac:dyDescent="0.25">
      <c r="A77" s="36" t="s">
        <v>152</v>
      </c>
      <c r="B77" s="36" t="s">
        <v>153</v>
      </c>
      <c r="C77" s="37">
        <f>IFERROR(VLOOKUP($A77,'[25]Rates Pre-030118'!$BC$1:$BE$114,3,FALSE),0)</f>
        <v>5.76</v>
      </c>
      <c r="D77" s="38">
        <v>5.76</v>
      </c>
      <c r="E77" s="38">
        <v>5.76</v>
      </c>
      <c r="F77" s="38">
        <v>5.76</v>
      </c>
      <c r="G77" s="38">
        <v>5.76</v>
      </c>
      <c r="H77" s="38">
        <v>5.76</v>
      </c>
      <c r="I77" s="38">
        <v>5.76</v>
      </c>
      <c r="J77" s="38">
        <v>5.76</v>
      </c>
      <c r="K77" s="38">
        <v>5.76</v>
      </c>
      <c r="L77" s="38">
        <v>5.76</v>
      </c>
      <c r="M77" s="38">
        <v>5.76</v>
      </c>
      <c r="N77" s="38">
        <v>5.76</v>
      </c>
      <c r="O77" s="38">
        <v>5.76</v>
      </c>
      <c r="P77" s="39">
        <f t="shared" si="21"/>
        <v>69.11999999999999</v>
      </c>
      <c r="Q77" s="40">
        <f t="shared" si="23"/>
        <v>1</v>
      </c>
      <c r="R77" s="40">
        <f t="shared" si="23"/>
        <v>1</v>
      </c>
      <c r="S77" s="40">
        <f t="shared" si="23"/>
        <v>1</v>
      </c>
      <c r="T77" s="40">
        <f t="shared" si="23"/>
        <v>1</v>
      </c>
      <c r="U77" s="40">
        <f t="shared" si="23"/>
        <v>1</v>
      </c>
      <c r="V77" s="40">
        <f t="shared" si="23"/>
        <v>1</v>
      </c>
      <c r="W77" s="40">
        <f t="shared" si="22"/>
        <v>1</v>
      </c>
      <c r="X77" s="40">
        <f t="shared" si="22"/>
        <v>1</v>
      </c>
      <c r="Y77" s="40">
        <f t="shared" si="22"/>
        <v>1</v>
      </c>
      <c r="Z77" s="40">
        <f t="shared" si="22"/>
        <v>1</v>
      </c>
      <c r="AA77" s="40">
        <f t="shared" si="22"/>
        <v>1</v>
      </c>
      <c r="AB77" s="40">
        <f t="shared" si="22"/>
        <v>1</v>
      </c>
      <c r="AC77" s="39">
        <f t="shared" si="20"/>
        <v>1</v>
      </c>
      <c r="AD77" s="41">
        <f t="shared" si="24"/>
        <v>12</v>
      </c>
      <c r="AF77" s="42">
        <f t="shared" si="25"/>
        <v>0.3123530277898216</v>
      </c>
      <c r="AG77" s="39">
        <f t="shared" si="26"/>
        <v>3.748236333477859</v>
      </c>
      <c r="AH77" s="1"/>
      <c r="AI77" s="1"/>
      <c r="AJ77" s="1"/>
    </row>
    <row r="78" spans="1:36" outlineLevel="2" x14ac:dyDescent="0.25">
      <c r="A78" s="49"/>
      <c r="B78" s="36"/>
      <c r="C78" s="37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>
        <f t="shared" si="21"/>
        <v>0</v>
      </c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39"/>
      <c r="AD78" s="39"/>
      <c r="AF78" s="42">
        <f t="shared" si="25"/>
        <v>0</v>
      </c>
      <c r="AG78" s="39">
        <f t="shared" si="26"/>
        <v>0</v>
      </c>
      <c r="AH78" s="1"/>
      <c r="AI78" s="1"/>
      <c r="AJ78" s="1"/>
    </row>
    <row r="79" spans="1:36" outlineLevel="1" x14ac:dyDescent="0.25">
      <c r="A79" s="36"/>
      <c r="B79" s="44" t="s">
        <v>154</v>
      </c>
      <c r="C79" s="37"/>
      <c r="D79" s="45">
        <f t="shared" ref="D79:P79" si="27">SUM(D42:D78)</f>
        <v>26997.589999999993</v>
      </c>
      <c r="E79" s="45">
        <f t="shared" si="27"/>
        <v>26413.34</v>
      </c>
      <c r="F79" s="45">
        <f t="shared" si="27"/>
        <v>26822.789999999997</v>
      </c>
      <c r="G79" s="45">
        <f t="shared" si="27"/>
        <v>26719.569999999992</v>
      </c>
      <c r="H79" s="45">
        <f t="shared" si="27"/>
        <v>25855.090000000004</v>
      </c>
      <c r="I79" s="45">
        <f t="shared" si="27"/>
        <v>25894.17</v>
      </c>
      <c r="J79" s="45">
        <f t="shared" si="27"/>
        <v>25602.28999999999</v>
      </c>
      <c r="K79" s="45">
        <f t="shared" si="27"/>
        <v>26355.659999999996</v>
      </c>
      <c r="L79" s="45">
        <f t="shared" si="27"/>
        <v>26389.929999999997</v>
      </c>
      <c r="M79" s="45">
        <f t="shared" si="27"/>
        <v>26574.759999999991</v>
      </c>
      <c r="N79" s="45">
        <f t="shared" si="27"/>
        <v>26805.16</v>
      </c>
      <c r="O79" s="45">
        <f t="shared" si="27"/>
        <v>27212.709999999995</v>
      </c>
      <c r="P79" s="45">
        <f t="shared" si="27"/>
        <v>317643.06</v>
      </c>
      <c r="Q79" s="45" t="e">
        <f>SUM(Q42:Q46,#REF!,#REF!,#REF!,#REF!,Q47:Q51,Q53:Q57,Q59:Q65,Q67)</f>
        <v>#REF!</v>
      </c>
      <c r="R79" s="45" t="e">
        <f>SUM(R42:R46,#REF!,#REF!,#REF!,#REF!,R47:R51,R53:R57,R59:R65,R67)</f>
        <v>#REF!</v>
      </c>
      <c r="S79" s="45" t="e">
        <f>SUM(S42:S46,#REF!,#REF!,#REF!,#REF!,S47:S51,S53:S57,S59:S65,S67)</f>
        <v>#REF!</v>
      </c>
      <c r="T79" s="45" t="e">
        <f>SUM(T42:T46,#REF!,#REF!,#REF!,#REF!,T47:T51,T53:T57,T59:T65,T67)</f>
        <v>#REF!</v>
      </c>
      <c r="U79" s="45" t="e">
        <f>SUM(U42:U46,#REF!,#REF!,#REF!,#REF!,U47:U51,U53:U57,U59:U65,U67)</f>
        <v>#REF!</v>
      </c>
      <c r="V79" s="45" t="e">
        <f>SUM(V42:V46,#REF!,#REF!,#REF!,#REF!,V47:V51,V53:V57,V59:V65,V67)</f>
        <v>#REF!</v>
      </c>
      <c r="W79" s="45" t="e">
        <f>SUM(W42:W46,#REF!,#REF!,#REF!,#REF!,W47:W51,W53:W57,W59:W65,W67)</f>
        <v>#REF!</v>
      </c>
      <c r="X79" s="45" t="e">
        <f>SUM(X42:X46,#REF!,#REF!,#REF!,#REF!,X47:X51,X53:X57,X59:X65,X67)</f>
        <v>#REF!</v>
      </c>
      <c r="Y79" s="45" t="e">
        <f>SUM(Y42:Y46,#REF!,#REF!,#REF!,#REF!,Y47:Y51,Y53:Y57,Y59:Y65,Y67)</f>
        <v>#REF!</v>
      </c>
      <c r="Z79" s="45" t="e">
        <f>SUM(Z42:Z46,#REF!,#REF!,#REF!,#REF!,Z47:Z51,Z53:Z57,Z59:Z65,Z67)</f>
        <v>#REF!</v>
      </c>
      <c r="AA79" s="45" t="e">
        <f>SUM(AA42:AA46,#REF!,#REF!,#REF!,#REF!,AA47:AA51,AA53:AA57,AA59:AA65,AA67)</f>
        <v>#REF!</v>
      </c>
      <c r="AB79" s="45" t="e">
        <f>SUM(AB42:AB46,#REF!,#REF!,#REF!,#REF!,AB47:AB51,AB53:AB57,AB59:AB65,AB67)</f>
        <v>#REF!</v>
      </c>
      <c r="AC79" s="45">
        <f>SUM(AC42:AC78)</f>
        <v>375.67260820752068</v>
      </c>
      <c r="AD79" s="46"/>
      <c r="AF79" s="50">
        <f>SUM(AF42:AF78)</f>
        <v>212.96186052345064</v>
      </c>
      <c r="AG79" s="45">
        <f>SUM(AG42:AG78)</f>
        <v>17217.686281699189</v>
      </c>
      <c r="AH79" s="1"/>
      <c r="AI79" s="1"/>
      <c r="AJ79" s="1"/>
    </row>
    <row r="80" spans="1:36" outlineLevel="1" x14ac:dyDescent="0.25">
      <c r="A80" s="36"/>
      <c r="B80" s="44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9">
        <f t="shared" si="21"/>
        <v>0</v>
      </c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39"/>
      <c r="AD80" s="39"/>
      <c r="AF80" s="39"/>
      <c r="AG80" s="39"/>
      <c r="AH80" s="1"/>
      <c r="AI80" s="1"/>
      <c r="AJ80" s="1"/>
    </row>
    <row r="81" spans="1:36" outlineLevel="1" x14ac:dyDescent="0.25">
      <c r="A81" s="36"/>
      <c r="B81" s="44"/>
      <c r="C81" s="37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39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39"/>
      <c r="AD81" s="39"/>
      <c r="AF81" s="39"/>
      <c r="AG81" s="39"/>
    </row>
    <row r="82" spans="1:36" outlineLevel="1" x14ac:dyDescent="0.25">
      <c r="C82" s="37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9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9"/>
      <c r="AD82" s="39"/>
      <c r="AF82" s="39"/>
      <c r="AG82" s="39"/>
    </row>
    <row r="83" spans="1:36" s="51" customFormat="1" x14ac:dyDescent="0.25">
      <c r="A83" s="5" t="s">
        <v>155</v>
      </c>
      <c r="B83" s="5"/>
      <c r="C83" s="37"/>
      <c r="D83" s="48">
        <f>+D79</f>
        <v>26997.589999999993</v>
      </c>
      <c r="E83" s="48">
        <f t="shared" ref="E83:O83" si="28">+E79</f>
        <v>26413.34</v>
      </c>
      <c r="F83" s="48">
        <f t="shared" si="28"/>
        <v>26822.789999999997</v>
      </c>
      <c r="G83" s="48">
        <f t="shared" si="28"/>
        <v>26719.569999999992</v>
      </c>
      <c r="H83" s="48">
        <f t="shared" si="28"/>
        <v>25855.090000000004</v>
      </c>
      <c r="I83" s="48">
        <f t="shared" si="28"/>
        <v>25894.17</v>
      </c>
      <c r="J83" s="48">
        <f t="shared" si="28"/>
        <v>25602.28999999999</v>
      </c>
      <c r="K83" s="48">
        <f t="shared" si="28"/>
        <v>26355.659999999996</v>
      </c>
      <c r="L83" s="48">
        <f t="shared" si="28"/>
        <v>26389.929999999997</v>
      </c>
      <c r="M83" s="48">
        <f t="shared" si="28"/>
        <v>26574.759999999991</v>
      </c>
      <c r="N83" s="48">
        <f t="shared" si="28"/>
        <v>26805.16</v>
      </c>
      <c r="O83" s="48">
        <f t="shared" si="28"/>
        <v>27212.709999999995</v>
      </c>
      <c r="P83" s="39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39"/>
      <c r="AD83" s="39"/>
      <c r="AF83" s="39"/>
      <c r="AG83" s="39"/>
      <c r="AH83" s="2"/>
      <c r="AI83" s="2"/>
      <c r="AJ83" s="2"/>
    </row>
    <row r="84" spans="1:36" s="51" customFormat="1" x14ac:dyDescent="0.25">
      <c r="A84" s="5"/>
      <c r="B84" s="5"/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9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39"/>
      <c r="AD84" s="39"/>
      <c r="AF84" s="39"/>
      <c r="AG84" s="39"/>
      <c r="AH84" s="2"/>
      <c r="AI84" s="2"/>
      <c r="AJ84" s="2"/>
    </row>
    <row r="85" spans="1:36" x14ac:dyDescent="0.25"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39"/>
      <c r="AD85" s="39"/>
      <c r="AF85" s="39"/>
      <c r="AG85" s="39"/>
    </row>
    <row r="86" spans="1:36" outlineLevel="1" x14ac:dyDescent="0.25">
      <c r="A86" s="30" t="s">
        <v>156</v>
      </c>
      <c r="B86" s="31"/>
      <c r="C86" s="37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39"/>
      <c r="AD86" s="39"/>
      <c r="AF86" s="39"/>
      <c r="AG86" s="39"/>
    </row>
    <row r="87" spans="1:36" outlineLevel="1" x14ac:dyDescent="0.25">
      <c r="A87" s="31"/>
      <c r="B87" s="31"/>
      <c r="C87" s="37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39"/>
      <c r="AD87" s="39"/>
      <c r="AF87" s="39"/>
      <c r="AG87" s="39"/>
    </row>
    <row r="88" spans="1:36" outlineLevel="2" x14ac:dyDescent="0.25">
      <c r="A88" s="47" t="s">
        <v>157</v>
      </c>
      <c r="B88" s="36"/>
      <c r="C88" s="37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39"/>
      <c r="AD88" s="39"/>
      <c r="AF88" s="39"/>
      <c r="AG88" s="39"/>
    </row>
    <row r="89" spans="1:36" outlineLevel="2" x14ac:dyDescent="0.25">
      <c r="A89" s="36" t="s">
        <v>158</v>
      </c>
      <c r="B89" s="36" t="s">
        <v>159</v>
      </c>
      <c r="C89" s="37">
        <f>IFERROR(VLOOKUP($A89,'[25]Rates Pre-030118'!$BC$1:$BE$114,3,FALSE),0)</f>
        <v>137.58000000000001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9">
        <f t="shared" ref="P89:P107" si="29">SUM(D89:O89)</f>
        <v>0</v>
      </c>
      <c r="Q89" s="40">
        <f t="shared" ref="Q89:AB98" si="30">+IFERROR(D89/$C89,0)</f>
        <v>0</v>
      </c>
      <c r="R89" s="40">
        <f t="shared" si="30"/>
        <v>0</v>
      </c>
      <c r="S89" s="40">
        <f t="shared" si="30"/>
        <v>0</v>
      </c>
      <c r="T89" s="40">
        <f t="shared" si="30"/>
        <v>0</v>
      </c>
      <c r="U89" s="40">
        <f t="shared" si="30"/>
        <v>0</v>
      </c>
      <c r="V89" s="40">
        <f t="shared" si="30"/>
        <v>0</v>
      </c>
      <c r="W89" s="40">
        <f t="shared" si="30"/>
        <v>0</v>
      </c>
      <c r="X89" s="40">
        <f t="shared" si="30"/>
        <v>0</v>
      </c>
      <c r="Y89" s="40">
        <f t="shared" si="30"/>
        <v>0</v>
      </c>
      <c r="Z89" s="40">
        <f t="shared" si="30"/>
        <v>0</v>
      </c>
      <c r="AA89" s="40">
        <f t="shared" si="30"/>
        <v>0</v>
      </c>
      <c r="AB89" s="40">
        <f t="shared" si="30"/>
        <v>0</v>
      </c>
      <c r="AC89" s="39">
        <f t="shared" ref="AC89:AC106" si="31">+SUM(Q89:AB89)/$AB$3</f>
        <v>0</v>
      </c>
      <c r="AD89" s="39"/>
      <c r="AF89" s="42">
        <f t="shared" ref="AF89:AF107" si="32">C89*$AI$2</f>
        <v>7.4606822158548018</v>
      </c>
      <c r="AG89" s="39">
        <f t="shared" ref="AG89:AG107" si="33">AC89*AF89*12</f>
        <v>0</v>
      </c>
    </row>
    <row r="90" spans="1:36" outlineLevel="2" x14ac:dyDescent="0.25">
      <c r="A90" s="36" t="s">
        <v>160</v>
      </c>
      <c r="B90" s="36" t="s">
        <v>161</v>
      </c>
      <c r="C90" s="37">
        <f>IFERROR(VLOOKUP($A90,'[25]Rates Pre-030118'!$BC$1:$BE$114,3,FALSE),0)</f>
        <v>114.65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9">
        <f t="shared" si="29"/>
        <v>0</v>
      </c>
      <c r="Q90" s="40">
        <f t="shared" si="30"/>
        <v>0</v>
      </c>
      <c r="R90" s="40">
        <f t="shared" si="30"/>
        <v>0</v>
      </c>
      <c r="S90" s="40">
        <f t="shared" si="30"/>
        <v>0</v>
      </c>
      <c r="T90" s="40">
        <f t="shared" si="30"/>
        <v>0</v>
      </c>
      <c r="U90" s="40">
        <f t="shared" si="30"/>
        <v>0</v>
      </c>
      <c r="V90" s="40">
        <f t="shared" si="30"/>
        <v>0</v>
      </c>
      <c r="W90" s="40">
        <f t="shared" si="30"/>
        <v>0</v>
      </c>
      <c r="X90" s="40">
        <f t="shared" si="30"/>
        <v>0</v>
      </c>
      <c r="Y90" s="40">
        <f t="shared" si="30"/>
        <v>0</v>
      </c>
      <c r="Z90" s="40">
        <f t="shared" si="30"/>
        <v>0</v>
      </c>
      <c r="AA90" s="40">
        <f t="shared" si="30"/>
        <v>0</v>
      </c>
      <c r="AB90" s="40">
        <f t="shared" si="30"/>
        <v>0</v>
      </c>
      <c r="AC90" s="39">
        <f t="shared" si="31"/>
        <v>0</v>
      </c>
      <c r="AD90" s="39"/>
      <c r="AF90" s="42">
        <f t="shared" si="32"/>
        <v>6.217235179879002</v>
      </c>
      <c r="AG90" s="39">
        <f t="shared" si="33"/>
        <v>0</v>
      </c>
    </row>
    <row r="91" spans="1:36" outlineLevel="2" x14ac:dyDescent="0.25">
      <c r="A91" s="36" t="s">
        <v>162</v>
      </c>
      <c r="B91" s="36" t="s">
        <v>163</v>
      </c>
      <c r="C91" s="37">
        <f>IFERROR(VLOOKUP($A91,'[25]Rates Pre-030118'!$BC$1:$BE$114,3,FALSE),0)</f>
        <v>114.65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458.6</v>
      </c>
      <c r="O91" s="38">
        <v>229.3</v>
      </c>
      <c r="P91" s="39">
        <f t="shared" si="29"/>
        <v>687.90000000000009</v>
      </c>
      <c r="Q91" s="40">
        <f t="shared" si="30"/>
        <v>0</v>
      </c>
      <c r="R91" s="40">
        <f t="shared" si="30"/>
        <v>0</v>
      </c>
      <c r="S91" s="40">
        <f t="shared" si="30"/>
        <v>0</v>
      </c>
      <c r="T91" s="40">
        <f t="shared" si="30"/>
        <v>0</v>
      </c>
      <c r="U91" s="40">
        <f t="shared" si="30"/>
        <v>0</v>
      </c>
      <c r="V91" s="40">
        <f t="shared" si="30"/>
        <v>0</v>
      </c>
      <c r="W91" s="40">
        <f t="shared" si="30"/>
        <v>0</v>
      </c>
      <c r="X91" s="40">
        <f t="shared" si="30"/>
        <v>0</v>
      </c>
      <c r="Y91" s="40">
        <f t="shared" si="30"/>
        <v>0</v>
      </c>
      <c r="Z91" s="40">
        <f t="shared" si="30"/>
        <v>0</v>
      </c>
      <c r="AA91" s="40">
        <f t="shared" si="30"/>
        <v>4</v>
      </c>
      <c r="AB91" s="40">
        <f t="shared" si="30"/>
        <v>2</v>
      </c>
      <c r="AC91" s="39">
        <f t="shared" si="31"/>
        <v>0.5</v>
      </c>
      <c r="AD91" s="39"/>
      <c r="AF91" s="42">
        <f t="shared" si="32"/>
        <v>6.217235179879002</v>
      </c>
      <c r="AG91" s="39">
        <f t="shared" si="33"/>
        <v>37.303411079274014</v>
      </c>
    </row>
    <row r="92" spans="1:36" outlineLevel="2" x14ac:dyDescent="0.25">
      <c r="A92" s="36" t="s">
        <v>164</v>
      </c>
      <c r="B92" s="36" t="s">
        <v>165</v>
      </c>
      <c r="C92" s="37">
        <f>IFERROR(VLOOKUP($A92,'[25]Rates Pre-030118'!$BC$1:$BE$114,3,FALSE),0)</f>
        <v>137.58000000000001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9">
        <f t="shared" si="29"/>
        <v>0</v>
      </c>
      <c r="Q92" s="40">
        <f t="shared" si="30"/>
        <v>0</v>
      </c>
      <c r="R92" s="40">
        <f t="shared" si="30"/>
        <v>0</v>
      </c>
      <c r="S92" s="40">
        <f t="shared" si="30"/>
        <v>0</v>
      </c>
      <c r="T92" s="40">
        <f t="shared" si="30"/>
        <v>0</v>
      </c>
      <c r="U92" s="40">
        <f t="shared" si="30"/>
        <v>0</v>
      </c>
      <c r="V92" s="40">
        <f t="shared" si="30"/>
        <v>0</v>
      </c>
      <c r="W92" s="40">
        <f t="shared" si="30"/>
        <v>0</v>
      </c>
      <c r="X92" s="40">
        <f t="shared" si="30"/>
        <v>0</v>
      </c>
      <c r="Y92" s="40">
        <f t="shared" si="30"/>
        <v>0</v>
      </c>
      <c r="Z92" s="40">
        <f t="shared" si="30"/>
        <v>0</v>
      </c>
      <c r="AA92" s="40">
        <f t="shared" si="30"/>
        <v>0</v>
      </c>
      <c r="AB92" s="40">
        <f t="shared" si="30"/>
        <v>0</v>
      </c>
      <c r="AC92" s="39">
        <f t="shared" si="31"/>
        <v>0</v>
      </c>
      <c r="AD92" s="39"/>
      <c r="AF92" s="42">
        <f t="shared" si="32"/>
        <v>7.4606822158548018</v>
      </c>
      <c r="AG92" s="39">
        <f t="shared" si="33"/>
        <v>0</v>
      </c>
    </row>
    <row r="93" spans="1:36" outlineLevel="2" x14ac:dyDescent="0.25">
      <c r="A93" s="36" t="s">
        <v>166</v>
      </c>
      <c r="B93" s="36" t="s">
        <v>167</v>
      </c>
      <c r="C93" s="37">
        <f>IFERROR(VLOOKUP($A93,'[25]Rates Pre-030118'!$BC$1:$BE$114,3,FALSE),0)</f>
        <v>114.65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9">
        <f t="shared" si="29"/>
        <v>0</v>
      </c>
      <c r="Q93" s="40">
        <f t="shared" si="30"/>
        <v>0</v>
      </c>
      <c r="R93" s="40">
        <f t="shared" si="30"/>
        <v>0</v>
      </c>
      <c r="S93" s="40">
        <f t="shared" si="30"/>
        <v>0</v>
      </c>
      <c r="T93" s="40">
        <f t="shared" si="30"/>
        <v>0</v>
      </c>
      <c r="U93" s="40">
        <f t="shared" si="30"/>
        <v>0</v>
      </c>
      <c r="V93" s="40">
        <f t="shared" si="30"/>
        <v>0</v>
      </c>
      <c r="W93" s="40">
        <f t="shared" si="30"/>
        <v>0</v>
      </c>
      <c r="X93" s="40">
        <f t="shared" si="30"/>
        <v>0</v>
      </c>
      <c r="Y93" s="40">
        <f t="shared" si="30"/>
        <v>0</v>
      </c>
      <c r="Z93" s="40">
        <f t="shared" si="30"/>
        <v>0</v>
      </c>
      <c r="AA93" s="40">
        <f t="shared" si="30"/>
        <v>0</v>
      </c>
      <c r="AB93" s="40">
        <f t="shared" si="30"/>
        <v>0</v>
      </c>
      <c r="AC93" s="39">
        <f t="shared" si="31"/>
        <v>0</v>
      </c>
      <c r="AD93" s="39"/>
      <c r="AF93" s="42">
        <f t="shared" si="32"/>
        <v>6.217235179879002</v>
      </c>
      <c r="AG93" s="39">
        <f t="shared" si="33"/>
        <v>0</v>
      </c>
    </row>
    <row r="94" spans="1:36" outlineLevel="2" x14ac:dyDescent="0.25">
      <c r="A94" s="36" t="s">
        <v>168</v>
      </c>
      <c r="B94" s="36" t="s">
        <v>169</v>
      </c>
      <c r="C94" s="37">
        <f>IFERROR(VLOOKUP($A94,'[25]Rates Pre-030118'!$BC$1:$BE$114,3,FALSE),0)</f>
        <v>114.65</v>
      </c>
      <c r="D94" s="38">
        <v>229.3</v>
      </c>
      <c r="E94" s="38">
        <v>343.95</v>
      </c>
      <c r="F94" s="38">
        <v>229.3</v>
      </c>
      <c r="G94" s="38">
        <v>0</v>
      </c>
      <c r="H94" s="38">
        <v>0</v>
      </c>
      <c r="I94" s="38">
        <v>229.3</v>
      </c>
      <c r="J94" s="38">
        <v>114.65</v>
      </c>
      <c r="K94" s="38">
        <v>114.65</v>
      </c>
      <c r="L94" s="38">
        <v>343.95</v>
      </c>
      <c r="M94" s="38">
        <v>917.2</v>
      </c>
      <c r="N94" s="38">
        <v>229.3</v>
      </c>
      <c r="O94" s="38">
        <v>229.3</v>
      </c>
      <c r="P94" s="39">
        <f t="shared" si="29"/>
        <v>2980.9000000000005</v>
      </c>
      <c r="Q94" s="40">
        <f t="shared" si="30"/>
        <v>2</v>
      </c>
      <c r="R94" s="40">
        <f t="shared" si="30"/>
        <v>2.9999999999999996</v>
      </c>
      <c r="S94" s="40">
        <f t="shared" si="30"/>
        <v>2</v>
      </c>
      <c r="T94" s="40">
        <f t="shared" si="30"/>
        <v>0</v>
      </c>
      <c r="U94" s="40">
        <f t="shared" si="30"/>
        <v>0</v>
      </c>
      <c r="V94" s="40">
        <f t="shared" si="30"/>
        <v>2</v>
      </c>
      <c r="W94" s="40">
        <f t="shared" si="30"/>
        <v>1</v>
      </c>
      <c r="X94" s="40">
        <f t="shared" si="30"/>
        <v>1</v>
      </c>
      <c r="Y94" s="40">
        <f t="shared" si="30"/>
        <v>2.9999999999999996</v>
      </c>
      <c r="Z94" s="40">
        <f t="shared" si="30"/>
        <v>8</v>
      </c>
      <c r="AA94" s="40">
        <f t="shared" si="30"/>
        <v>2</v>
      </c>
      <c r="AB94" s="40">
        <f t="shared" si="30"/>
        <v>2</v>
      </c>
      <c r="AC94" s="39">
        <f t="shared" si="31"/>
        <v>2.1666666666666665</v>
      </c>
      <c r="AD94" s="39"/>
      <c r="AF94" s="42">
        <f t="shared" si="32"/>
        <v>6.217235179879002</v>
      </c>
      <c r="AG94" s="39">
        <f t="shared" si="33"/>
        <v>161.64811467685405</v>
      </c>
    </row>
    <row r="95" spans="1:36" outlineLevel="2" x14ac:dyDescent="0.25">
      <c r="A95" s="36" t="s">
        <v>170</v>
      </c>
      <c r="B95" s="36" t="s">
        <v>171</v>
      </c>
      <c r="C95" s="37">
        <f>IFERROR(VLOOKUP($A95,'[25]Rates Pre-030118'!$BC$1:$BE$114,3,FALSE),0)</f>
        <v>137.58000000000001</v>
      </c>
      <c r="D95" s="38">
        <v>0</v>
      </c>
      <c r="E95" s="38">
        <v>137.58000000000001</v>
      </c>
      <c r="F95" s="38">
        <v>0</v>
      </c>
      <c r="G95" s="38">
        <v>0</v>
      </c>
      <c r="H95" s="38">
        <v>0</v>
      </c>
      <c r="I95" s="38">
        <v>275.16000000000003</v>
      </c>
      <c r="J95" s="38">
        <v>137.58000000000001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9">
        <f t="shared" si="29"/>
        <v>550.32000000000005</v>
      </c>
      <c r="Q95" s="40">
        <f t="shared" si="30"/>
        <v>0</v>
      </c>
      <c r="R95" s="40">
        <f t="shared" si="30"/>
        <v>1</v>
      </c>
      <c r="S95" s="40">
        <f t="shared" si="30"/>
        <v>0</v>
      </c>
      <c r="T95" s="40">
        <f t="shared" si="30"/>
        <v>0</v>
      </c>
      <c r="U95" s="40">
        <f t="shared" si="30"/>
        <v>0</v>
      </c>
      <c r="V95" s="40">
        <f t="shared" si="30"/>
        <v>2</v>
      </c>
      <c r="W95" s="40">
        <f t="shared" si="30"/>
        <v>1</v>
      </c>
      <c r="X95" s="40">
        <f t="shared" si="30"/>
        <v>0</v>
      </c>
      <c r="Y95" s="40">
        <f t="shared" si="30"/>
        <v>0</v>
      </c>
      <c r="Z95" s="40">
        <f t="shared" si="30"/>
        <v>0</v>
      </c>
      <c r="AA95" s="40">
        <f t="shared" si="30"/>
        <v>0</v>
      </c>
      <c r="AB95" s="40">
        <f t="shared" si="30"/>
        <v>0</v>
      </c>
      <c r="AC95" s="39">
        <f t="shared" si="31"/>
        <v>0.33333333333333331</v>
      </c>
      <c r="AD95" s="39"/>
      <c r="AF95" s="42">
        <f t="shared" si="32"/>
        <v>7.4606822158548018</v>
      </c>
      <c r="AG95" s="39">
        <f t="shared" si="33"/>
        <v>29.842728863419207</v>
      </c>
    </row>
    <row r="96" spans="1:36" outlineLevel="2" x14ac:dyDescent="0.25">
      <c r="A96" s="36" t="s">
        <v>172</v>
      </c>
      <c r="B96" s="36" t="s">
        <v>173</v>
      </c>
      <c r="C96" s="37">
        <f>IFERROR(VLOOKUP($A96,'[25]Rates Pre-030118'!$BC$1:$BE$114,3,FALSE),0)</f>
        <v>114.65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9">
        <f t="shared" si="29"/>
        <v>0</v>
      </c>
      <c r="Q96" s="40">
        <f t="shared" si="30"/>
        <v>0</v>
      </c>
      <c r="R96" s="40">
        <f t="shared" si="30"/>
        <v>0</v>
      </c>
      <c r="S96" s="40">
        <f t="shared" si="30"/>
        <v>0</v>
      </c>
      <c r="T96" s="40">
        <f t="shared" si="30"/>
        <v>0</v>
      </c>
      <c r="U96" s="40">
        <f t="shared" si="30"/>
        <v>0</v>
      </c>
      <c r="V96" s="40">
        <f t="shared" si="30"/>
        <v>0</v>
      </c>
      <c r="W96" s="40">
        <f t="shared" si="30"/>
        <v>0</v>
      </c>
      <c r="X96" s="40">
        <f t="shared" si="30"/>
        <v>0</v>
      </c>
      <c r="Y96" s="40">
        <f t="shared" si="30"/>
        <v>0</v>
      </c>
      <c r="Z96" s="40">
        <f t="shared" si="30"/>
        <v>0</v>
      </c>
      <c r="AA96" s="40">
        <f t="shared" si="30"/>
        <v>0</v>
      </c>
      <c r="AB96" s="40">
        <f t="shared" si="30"/>
        <v>0</v>
      </c>
      <c r="AC96" s="39">
        <f t="shared" si="31"/>
        <v>0</v>
      </c>
      <c r="AD96" s="39"/>
      <c r="AF96" s="42">
        <f t="shared" si="32"/>
        <v>6.217235179879002</v>
      </c>
      <c r="AG96" s="39">
        <f t="shared" si="33"/>
        <v>0</v>
      </c>
    </row>
    <row r="97" spans="1:36" outlineLevel="2" x14ac:dyDescent="0.25">
      <c r="A97" s="36" t="s">
        <v>174</v>
      </c>
      <c r="B97" s="36" t="s">
        <v>175</v>
      </c>
      <c r="C97" s="37">
        <f>IFERROR(VLOOKUP($A97,'[25]Rates Pre-030118'!$BC$1:$BE$114,3,FALSE),0)</f>
        <v>114.65</v>
      </c>
      <c r="D97" s="38">
        <v>573.25</v>
      </c>
      <c r="E97" s="38">
        <v>458.6</v>
      </c>
      <c r="F97" s="38">
        <v>229.3</v>
      </c>
      <c r="G97" s="38">
        <v>917.2</v>
      </c>
      <c r="H97" s="38">
        <v>229.3</v>
      </c>
      <c r="I97" s="38">
        <v>573.25</v>
      </c>
      <c r="J97" s="38">
        <v>343.95</v>
      </c>
      <c r="K97" s="38">
        <v>0</v>
      </c>
      <c r="L97" s="38">
        <v>802.55</v>
      </c>
      <c r="M97" s="38">
        <v>687.9</v>
      </c>
      <c r="N97" s="38">
        <v>917.2</v>
      </c>
      <c r="O97" s="38">
        <v>1261.1500000000001</v>
      </c>
      <c r="P97" s="39">
        <f t="shared" si="29"/>
        <v>6993.65</v>
      </c>
      <c r="Q97" s="40">
        <f t="shared" si="30"/>
        <v>5</v>
      </c>
      <c r="R97" s="40">
        <f t="shared" si="30"/>
        <v>4</v>
      </c>
      <c r="S97" s="40">
        <f t="shared" si="30"/>
        <v>2</v>
      </c>
      <c r="T97" s="40">
        <f t="shared" si="30"/>
        <v>8</v>
      </c>
      <c r="U97" s="40">
        <f t="shared" si="30"/>
        <v>2</v>
      </c>
      <c r="V97" s="40">
        <f t="shared" si="30"/>
        <v>5</v>
      </c>
      <c r="W97" s="40">
        <f t="shared" si="30"/>
        <v>2.9999999999999996</v>
      </c>
      <c r="X97" s="40">
        <f t="shared" si="30"/>
        <v>0</v>
      </c>
      <c r="Y97" s="40">
        <f t="shared" si="30"/>
        <v>6.9999999999999991</v>
      </c>
      <c r="Z97" s="40">
        <f t="shared" si="30"/>
        <v>5.9999999999999991</v>
      </c>
      <c r="AA97" s="40">
        <f t="shared" si="30"/>
        <v>8</v>
      </c>
      <c r="AB97" s="40">
        <f t="shared" si="30"/>
        <v>11</v>
      </c>
      <c r="AC97" s="39">
        <f t="shared" si="31"/>
        <v>5.083333333333333</v>
      </c>
      <c r="AD97" s="39"/>
      <c r="AF97" s="42">
        <f t="shared" si="32"/>
        <v>6.217235179879002</v>
      </c>
      <c r="AG97" s="39">
        <f t="shared" si="33"/>
        <v>379.25134597261911</v>
      </c>
    </row>
    <row r="98" spans="1:36" outlineLevel="2" x14ac:dyDescent="0.25">
      <c r="A98" s="36" t="s">
        <v>176</v>
      </c>
      <c r="B98" s="36" t="s">
        <v>177</v>
      </c>
      <c r="C98" s="37">
        <f>IFERROR(VLOOKUP($A98,'[25]Rates Pre-030118'!$BC$1:$BE$114,3,FALSE),0)</f>
        <v>137.58000000000001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9">
        <f t="shared" si="29"/>
        <v>0</v>
      </c>
      <c r="Q98" s="40">
        <f t="shared" si="30"/>
        <v>0</v>
      </c>
      <c r="R98" s="40">
        <f t="shared" si="30"/>
        <v>0</v>
      </c>
      <c r="S98" s="40">
        <f t="shared" si="30"/>
        <v>0</v>
      </c>
      <c r="T98" s="40">
        <f t="shared" si="30"/>
        <v>0</v>
      </c>
      <c r="U98" s="40">
        <f t="shared" si="30"/>
        <v>0</v>
      </c>
      <c r="V98" s="40">
        <f t="shared" si="30"/>
        <v>0</v>
      </c>
      <c r="W98" s="40">
        <f t="shared" si="30"/>
        <v>0</v>
      </c>
      <c r="X98" s="40">
        <f t="shared" si="30"/>
        <v>0</v>
      </c>
      <c r="Y98" s="40">
        <f t="shared" si="30"/>
        <v>0</v>
      </c>
      <c r="Z98" s="40">
        <f t="shared" si="30"/>
        <v>0</v>
      </c>
      <c r="AA98" s="40">
        <f t="shared" si="30"/>
        <v>0</v>
      </c>
      <c r="AB98" s="40">
        <f t="shared" si="30"/>
        <v>0</v>
      </c>
      <c r="AC98" s="39">
        <f t="shared" si="31"/>
        <v>0</v>
      </c>
      <c r="AD98" s="39"/>
      <c r="AF98" s="42">
        <f t="shared" si="32"/>
        <v>7.4606822158548018</v>
      </c>
      <c r="AG98" s="39">
        <f t="shared" si="33"/>
        <v>0</v>
      </c>
    </row>
    <row r="99" spans="1:36" outlineLevel="2" x14ac:dyDescent="0.25">
      <c r="A99" s="36" t="s">
        <v>178</v>
      </c>
      <c r="B99" s="36" t="s">
        <v>179</v>
      </c>
      <c r="C99" s="37">
        <f>IFERROR(VLOOKUP($A99,'[25]Rates Pre-030118'!$BC$1:$BE$114,3,FALSE),0)</f>
        <v>143.32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9">
        <f t="shared" si="29"/>
        <v>0</v>
      </c>
      <c r="Q99" s="40">
        <f t="shared" ref="Q99:AB106" si="34">+IFERROR(D99/$C99,0)</f>
        <v>0</v>
      </c>
      <c r="R99" s="40">
        <f t="shared" si="34"/>
        <v>0</v>
      </c>
      <c r="S99" s="40">
        <f t="shared" si="34"/>
        <v>0</v>
      </c>
      <c r="T99" s="40">
        <f t="shared" si="34"/>
        <v>0</v>
      </c>
      <c r="U99" s="40">
        <f t="shared" si="34"/>
        <v>0</v>
      </c>
      <c r="V99" s="40">
        <f t="shared" si="34"/>
        <v>0</v>
      </c>
      <c r="W99" s="40">
        <f t="shared" si="34"/>
        <v>0</v>
      </c>
      <c r="X99" s="40">
        <f t="shared" si="34"/>
        <v>0</v>
      </c>
      <c r="Y99" s="40">
        <f t="shared" si="34"/>
        <v>0</v>
      </c>
      <c r="Z99" s="40">
        <f t="shared" si="34"/>
        <v>0</v>
      </c>
      <c r="AA99" s="40">
        <f t="shared" si="34"/>
        <v>0</v>
      </c>
      <c r="AB99" s="40">
        <f t="shared" si="34"/>
        <v>0</v>
      </c>
      <c r="AC99" s="39">
        <f t="shared" si="31"/>
        <v>0</v>
      </c>
      <c r="AD99" s="39"/>
      <c r="AF99" s="42">
        <f t="shared" si="32"/>
        <v>7.7719506845203528</v>
      </c>
      <c r="AG99" s="39">
        <f t="shared" si="33"/>
        <v>0</v>
      </c>
    </row>
    <row r="100" spans="1:36" outlineLevel="2" x14ac:dyDescent="0.25">
      <c r="A100" s="36" t="s">
        <v>180</v>
      </c>
      <c r="B100" s="36" t="s">
        <v>181</v>
      </c>
      <c r="C100" s="37">
        <f>IFERROR(VLOOKUP($A100,'[25]Rates Pre-030118'!$BC$1:$BE$114,3,FALSE),0)</f>
        <v>149.04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9">
        <f t="shared" si="29"/>
        <v>0</v>
      </c>
      <c r="Q100" s="40">
        <f t="shared" si="34"/>
        <v>0</v>
      </c>
      <c r="R100" s="40">
        <f t="shared" si="34"/>
        <v>0</v>
      </c>
      <c r="S100" s="40">
        <f t="shared" si="34"/>
        <v>0</v>
      </c>
      <c r="T100" s="40">
        <f t="shared" si="34"/>
        <v>0</v>
      </c>
      <c r="U100" s="40">
        <f t="shared" si="34"/>
        <v>0</v>
      </c>
      <c r="V100" s="40">
        <f t="shared" si="34"/>
        <v>0</v>
      </c>
      <c r="W100" s="40">
        <f t="shared" si="34"/>
        <v>0</v>
      </c>
      <c r="X100" s="40">
        <f t="shared" si="34"/>
        <v>0</v>
      </c>
      <c r="Y100" s="40">
        <f t="shared" si="34"/>
        <v>0</v>
      </c>
      <c r="Z100" s="40">
        <f t="shared" si="34"/>
        <v>0</v>
      </c>
      <c r="AA100" s="40">
        <f t="shared" si="34"/>
        <v>0</v>
      </c>
      <c r="AB100" s="40">
        <f t="shared" si="34"/>
        <v>0</v>
      </c>
      <c r="AC100" s="39">
        <f t="shared" si="31"/>
        <v>0</v>
      </c>
      <c r="AD100" s="39"/>
      <c r="AF100" s="42">
        <f t="shared" si="32"/>
        <v>8.0821345940616336</v>
      </c>
      <c r="AG100" s="39">
        <f t="shared" si="33"/>
        <v>0</v>
      </c>
    </row>
    <row r="101" spans="1:36" outlineLevel="2" x14ac:dyDescent="0.25">
      <c r="A101" s="36" t="s">
        <v>182</v>
      </c>
      <c r="B101" s="36" t="s">
        <v>183</v>
      </c>
      <c r="C101" s="37">
        <f>IFERROR(VLOOKUP($A101,'[25]Rates Pre-030118'!$BC$1:$BE$114,3,FALSE),0)</f>
        <v>11.47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9">
        <f t="shared" si="29"/>
        <v>0</v>
      </c>
      <c r="Q101" s="40">
        <f t="shared" si="34"/>
        <v>0</v>
      </c>
      <c r="R101" s="40">
        <f t="shared" si="34"/>
        <v>0</v>
      </c>
      <c r="S101" s="40">
        <f t="shared" si="34"/>
        <v>0</v>
      </c>
      <c r="T101" s="40">
        <f t="shared" si="34"/>
        <v>0</v>
      </c>
      <c r="U101" s="40">
        <f t="shared" si="34"/>
        <v>0</v>
      </c>
      <c r="V101" s="40">
        <f t="shared" si="34"/>
        <v>0</v>
      </c>
      <c r="W101" s="40">
        <f t="shared" si="34"/>
        <v>0</v>
      </c>
      <c r="X101" s="40">
        <f t="shared" si="34"/>
        <v>0</v>
      </c>
      <c r="Y101" s="40">
        <f t="shared" si="34"/>
        <v>0</v>
      </c>
      <c r="Z101" s="40">
        <f t="shared" si="34"/>
        <v>0</v>
      </c>
      <c r="AA101" s="40">
        <f t="shared" si="34"/>
        <v>0</v>
      </c>
      <c r="AB101" s="40">
        <f t="shared" si="34"/>
        <v>0</v>
      </c>
      <c r="AC101" s="39">
        <f t="shared" si="31"/>
        <v>0</v>
      </c>
      <c r="AD101" s="39"/>
      <c r="AF101" s="42">
        <f t="shared" si="32"/>
        <v>0.62199465776896767</v>
      </c>
      <c r="AG101" s="39">
        <f t="shared" si="33"/>
        <v>0</v>
      </c>
    </row>
    <row r="102" spans="1:36" outlineLevel="2" x14ac:dyDescent="0.25">
      <c r="A102" s="36" t="s">
        <v>184</v>
      </c>
      <c r="B102" s="36" t="s">
        <v>185</v>
      </c>
      <c r="C102" s="37">
        <f>IFERROR(VLOOKUP($A102,'[25]Rates Pre-030118'!$BC$1:$BE$114,3,FALSE),0)</f>
        <v>114.7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42.06</v>
      </c>
      <c r="M102" s="38">
        <v>122.1</v>
      </c>
      <c r="N102" s="38">
        <v>234.09</v>
      </c>
      <c r="O102" s="38">
        <v>91.76</v>
      </c>
      <c r="P102" s="39">
        <f t="shared" si="29"/>
        <v>490.01</v>
      </c>
      <c r="Q102" s="40">
        <f t="shared" si="34"/>
        <v>0</v>
      </c>
      <c r="R102" s="40">
        <f t="shared" si="34"/>
        <v>0</v>
      </c>
      <c r="S102" s="40">
        <f t="shared" si="34"/>
        <v>0</v>
      </c>
      <c r="T102" s="40">
        <f t="shared" si="34"/>
        <v>0</v>
      </c>
      <c r="U102" s="40">
        <f t="shared" si="34"/>
        <v>0</v>
      </c>
      <c r="V102" s="40">
        <f t="shared" si="34"/>
        <v>0</v>
      </c>
      <c r="W102" s="40">
        <f t="shared" si="34"/>
        <v>0</v>
      </c>
      <c r="X102" s="40">
        <f t="shared" si="34"/>
        <v>0</v>
      </c>
      <c r="Y102" s="40">
        <f t="shared" si="34"/>
        <v>0.3666957279860506</v>
      </c>
      <c r="Z102" s="40">
        <f t="shared" si="34"/>
        <v>1.064516129032258</v>
      </c>
      <c r="AA102" s="40">
        <f t="shared" si="34"/>
        <v>2.0408892763731474</v>
      </c>
      <c r="AB102" s="40">
        <f t="shared" si="34"/>
        <v>0.8</v>
      </c>
      <c r="AC102" s="39">
        <f t="shared" si="31"/>
        <v>0.35600842778262137</v>
      </c>
      <c r="AD102" s="39"/>
      <c r="AF102" s="42">
        <f t="shared" si="32"/>
        <v>6.2199465776896767</v>
      </c>
      <c r="AG102" s="39">
        <f t="shared" si="33"/>
        <v>26.572240824182376</v>
      </c>
    </row>
    <row r="103" spans="1:36" outlineLevel="2" x14ac:dyDescent="0.25">
      <c r="A103" s="36" t="s">
        <v>186</v>
      </c>
      <c r="B103" s="36" t="s">
        <v>187</v>
      </c>
      <c r="C103" s="37">
        <f>IFERROR(VLOOKUP($A103,'[25]Rates Pre-030118'!$BC$1:$BE$114,3,FALSE),0)</f>
        <v>14.33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9">
        <f t="shared" si="29"/>
        <v>0</v>
      </c>
      <c r="Q103" s="40">
        <f t="shared" si="34"/>
        <v>0</v>
      </c>
      <c r="R103" s="40">
        <f t="shared" si="34"/>
        <v>0</v>
      </c>
      <c r="S103" s="40">
        <f t="shared" si="34"/>
        <v>0</v>
      </c>
      <c r="T103" s="40">
        <f t="shared" si="34"/>
        <v>0</v>
      </c>
      <c r="U103" s="40">
        <f t="shared" si="34"/>
        <v>0</v>
      </c>
      <c r="V103" s="40">
        <f t="shared" si="34"/>
        <v>0</v>
      </c>
      <c r="W103" s="40">
        <f t="shared" si="34"/>
        <v>0</v>
      </c>
      <c r="X103" s="40">
        <f t="shared" si="34"/>
        <v>0</v>
      </c>
      <c r="Y103" s="40">
        <f t="shared" si="34"/>
        <v>0</v>
      </c>
      <c r="Z103" s="40">
        <f t="shared" si="34"/>
        <v>0</v>
      </c>
      <c r="AA103" s="40">
        <f t="shared" si="34"/>
        <v>0</v>
      </c>
      <c r="AB103" s="40">
        <f t="shared" si="34"/>
        <v>0</v>
      </c>
      <c r="AC103" s="39">
        <f t="shared" si="31"/>
        <v>0</v>
      </c>
      <c r="AD103" s="39"/>
      <c r="AF103" s="42">
        <f t="shared" si="32"/>
        <v>0.77708661253960831</v>
      </c>
      <c r="AG103" s="39">
        <f t="shared" si="33"/>
        <v>0</v>
      </c>
    </row>
    <row r="104" spans="1:36" outlineLevel="2" x14ac:dyDescent="0.25">
      <c r="A104" s="36" t="s">
        <v>188</v>
      </c>
      <c r="B104" s="36" t="s">
        <v>189</v>
      </c>
      <c r="C104" s="37">
        <f>IFERROR(VLOOKUP($A104,'[25]Rates Pre-030118'!$BC$1:$BE$114,3,FALSE),0)</f>
        <v>114.7</v>
      </c>
      <c r="D104" s="38">
        <v>302.05</v>
      </c>
      <c r="E104" s="38">
        <v>233.22</v>
      </c>
      <c r="F104" s="38">
        <v>0</v>
      </c>
      <c r="G104" s="38">
        <v>72.64</v>
      </c>
      <c r="H104" s="38">
        <v>118.52</v>
      </c>
      <c r="I104" s="38">
        <v>256.16000000000003</v>
      </c>
      <c r="J104" s="38">
        <v>208.39000000000001</v>
      </c>
      <c r="K104" s="38">
        <v>378.51</v>
      </c>
      <c r="L104" s="38">
        <v>367.04</v>
      </c>
      <c r="M104" s="38">
        <v>400.34</v>
      </c>
      <c r="N104" s="38">
        <v>-85.099999999999966</v>
      </c>
      <c r="O104" s="38">
        <v>95.589999999999989</v>
      </c>
      <c r="P104" s="39">
        <f t="shared" si="29"/>
        <v>2347.36</v>
      </c>
      <c r="Q104" s="40">
        <f t="shared" si="34"/>
        <v>2.633391455972101</v>
      </c>
      <c r="R104" s="40">
        <f t="shared" si="34"/>
        <v>2.0333042720139494</v>
      </c>
      <c r="S104" s="40">
        <f t="shared" si="34"/>
        <v>0</v>
      </c>
      <c r="T104" s="40">
        <f t="shared" si="34"/>
        <v>0.63330427201394945</v>
      </c>
      <c r="U104" s="40">
        <f t="shared" si="34"/>
        <v>1.0333042720139494</v>
      </c>
      <c r="V104" s="40">
        <f t="shared" si="34"/>
        <v>2.2333042720139495</v>
      </c>
      <c r="W104" s="40">
        <f t="shared" si="34"/>
        <v>1.8168265039232783</v>
      </c>
      <c r="X104" s="40">
        <f t="shared" si="34"/>
        <v>3.3</v>
      </c>
      <c r="Y104" s="40">
        <f t="shared" si="34"/>
        <v>3.2</v>
      </c>
      <c r="Z104" s="40">
        <f t="shared" si="34"/>
        <v>3.4903225806451608</v>
      </c>
      <c r="AA104" s="40">
        <f t="shared" si="34"/>
        <v>-0.74193548387096742</v>
      </c>
      <c r="AB104" s="40">
        <f t="shared" si="34"/>
        <v>0.83339145597210107</v>
      </c>
      <c r="AC104" s="39">
        <f t="shared" si="31"/>
        <v>1.7054344667247892</v>
      </c>
      <c r="AD104" s="39"/>
      <c r="AF104" s="42">
        <f t="shared" si="32"/>
        <v>6.2199465776896767</v>
      </c>
      <c r="AG104" s="39">
        <f t="shared" si="33"/>
        <v>127.29253529734646</v>
      </c>
    </row>
    <row r="105" spans="1:36" outlineLevel="2" x14ac:dyDescent="0.25">
      <c r="A105" s="36" t="s">
        <v>190</v>
      </c>
      <c r="B105" s="36" t="s">
        <v>191</v>
      </c>
      <c r="C105" s="37">
        <f>IFERROR(VLOOKUP($A105,'[25]Rates Pre-030118'!$BC$1:$BE$114,3,FALSE),0)</f>
        <v>17.2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9">
        <f t="shared" si="29"/>
        <v>0</v>
      </c>
      <c r="Q105" s="40">
        <f t="shared" si="34"/>
        <v>0</v>
      </c>
      <c r="R105" s="40">
        <f t="shared" si="34"/>
        <v>0</v>
      </c>
      <c r="S105" s="40">
        <f t="shared" si="34"/>
        <v>0</v>
      </c>
      <c r="T105" s="40">
        <f t="shared" si="34"/>
        <v>0</v>
      </c>
      <c r="U105" s="40">
        <f t="shared" si="34"/>
        <v>0</v>
      </c>
      <c r="V105" s="40">
        <f t="shared" si="34"/>
        <v>0</v>
      </c>
      <c r="W105" s="40">
        <f t="shared" si="34"/>
        <v>0</v>
      </c>
      <c r="X105" s="40">
        <f t="shared" si="34"/>
        <v>0</v>
      </c>
      <c r="Y105" s="40">
        <f t="shared" si="34"/>
        <v>0</v>
      </c>
      <c r="Z105" s="40">
        <f t="shared" si="34"/>
        <v>0</v>
      </c>
      <c r="AA105" s="40">
        <f t="shared" si="34"/>
        <v>0</v>
      </c>
      <c r="AB105" s="40">
        <f t="shared" si="34"/>
        <v>0</v>
      </c>
      <c r="AC105" s="39">
        <f t="shared" si="31"/>
        <v>0</v>
      </c>
      <c r="AD105" s="39"/>
      <c r="AF105" s="42">
        <f t="shared" si="32"/>
        <v>0.93272084687238388</v>
      </c>
      <c r="AG105" s="39">
        <f t="shared" si="33"/>
        <v>0</v>
      </c>
    </row>
    <row r="106" spans="1:36" outlineLevel="2" x14ac:dyDescent="0.25">
      <c r="A106" s="36" t="s">
        <v>192</v>
      </c>
      <c r="B106" s="36" t="s">
        <v>193</v>
      </c>
      <c r="C106" s="37">
        <f>IFERROR(VLOOKUP($A106,'[25]Rates Pre-030118'!$BC$1:$BE$114,3,FALSE),0)</f>
        <v>114.7</v>
      </c>
      <c r="D106" s="38">
        <v>722.61</v>
      </c>
      <c r="E106" s="38">
        <v>-82.25</v>
      </c>
      <c r="F106" s="38">
        <v>410.99</v>
      </c>
      <c r="G106" s="38">
        <v>294.37</v>
      </c>
      <c r="H106" s="38">
        <v>126.99</v>
      </c>
      <c r="I106" s="38">
        <v>294.39999999999998</v>
      </c>
      <c r="J106" s="38">
        <v>198.82</v>
      </c>
      <c r="K106" s="38">
        <v>114.7</v>
      </c>
      <c r="L106" s="38">
        <v>305.86</v>
      </c>
      <c r="M106" s="38">
        <v>753.2</v>
      </c>
      <c r="N106" s="38">
        <v>902.68</v>
      </c>
      <c r="O106" s="38">
        <v>768.49</v>
      </c>
      <c r="P106" s="39">
        <f t="shared" si="29"/>
        <v>4810.8599999999997</v>
      </c>
      <c r="Q106" s="40">
        <f t="shared" si="34"/>
        <v>6.3</v>
      </c>
      <c r="R106" s="40">
        <f t="shared" si="34"/>
        <v>-0.71708805579773316</v>
      </c>
      <c r="S106" s="40">
        <f t="shared" si="34"/>
        <v>3.5831734960767219</v>
      </c>
      <c r="T106" s="40">
        <f t="shared" si="34"/>
        <v>2.5664341761115956</v>
      </c>
      <c r="U106" s="40">
        <f t="shared" si="34"/>
        <v>1.1071490845684393</v>
      </c>
      <c r="V106" s="40">
        <f t="shared" si="34"/>
        <v>2.5666957279860503</v>
      </c>
      <c r="W106" s="40">
        <f t="shared" si="34"/>
        <v>1.7333914559721011</v>
      </c>
      <c r="X106" s="40">
        <f t="shared" si="34"/>
        <v>1</v>
      </c>
      <c r="Y106" s="40">
        <f t="shared" si="34"/>
        <v>2.6666085440278988</v>
      </c>
      <c r="Z106" s="40">
        <f t="shared" si="34"/>
        <v>6.5666957279860512</v>
      </c>
      <c r="AA106" s="40">
        <f t="shared" si="34"/>
        <v>7.8699215344376627</v>
      </c>
      <c r="AB106" s="40">
        <f t="shared" si="34"/>
        <v>6.7</v>
      </c>
      <c r="AC106" s="39">
        <f t="shared" si="31"/>
        <v>3.4952484742807326</v>
      </c>
      <c r="AD106" s="39"/>
      <c r="AF106" s="42">
        <f t="shared" si="32"/>
        <v>6.2199465776896767</v>
      </c>
      <c r="AG106" s="39">
        <f t="shared" si="33"/>
        <v>260.88310542933004</v>
      </c>
    </row>
    <row r="107" spans="1:36" outlineLevel="2" x14ac:dyDescent="0.25">
      <c r="A107" s="36" t="s">
        <v>194</v>
      </c>
      <c r="B107" s="36" t="s">
        <v>195</v>
      </c>
      <c r="C107" s="37">
        <f>IFERROR(VLOOKUP($A107,'[25]Rates Pre-030118'!$BC$1:$BE$114,3,FALSE),0)</f>
        <v>17.84</v>
      </c>
      <c r="D107" s="38">
        <v>71.36</v>
      </c>
      <c r="E107" s="38">
        <v>0</v>
      </c>
      <c r="F107" s="38">
        <v>0</v>
      </c>
      <c r="G107" s="38">
        <v>53.52</v>
      </c>
      <c r="H107" s="38">
        <v>35.68</v>
      </c>
      <c r="I107" s="38">
        <v>17.84</v>
      </c>
      <c r="J107" s="38">
        <v>35.68</v>
      </c>
      <c r="K107" s="38">
        <v>0</v>
      </c>
      <c r="L107" s="38">
        <v>89.2</v>
      </c>
      <c r="M107" s="38">
        <v>89.2</v>
      </c>
      <c r="N107" s="38">
        <v>53.52</v>
      </c>
      <c r="O107" s="38">
        <v>107.04</v>
      </c>
      <c r="P107" s="39">
        <f t="shared" si="29"/>
        <v>553.04</v>
      </c>
      <c r="Q107" s="40">
        <f t="shared" ref="Q107:AB110" si="35">+IFERROR(D107/$C107,0)</f>
        <v>4</v>
      </c>
      <c r="R107" s="40">
        <f t="shared" si="35"/>
        <v>0</v>
      </c>
      <c r="S107" s="40">
        <f t="shared" si="35"/>
        <v>0</v>
      </c>
      <c r="T107" s="40">
        <f t="shared" si="35"/>
        <v>3</v>
      </c>
      <c r="U107" s="40">
        <f t="shared" si="35"/>
        <v>2</v>
      </c>
      <c r="V107" s="40">
        <f t="shared" si="35"/>
        <v>1</v>
      </c>
      <c r="W107" s="40">
        <f t="shared" si="35"/>
        <v>2</v>
      </c>
      <c r="X107" s="40">
        <f t="shared" si="35"/>
        <v>0</v>
      </c>
      <c r="Y107" s="40">
        <f t="shared" si="35"/>
        <v>5</v>
      </c>
      <c r="Z107" s="40">
        <f t="shared" si="35"/>
        <v>5</v>
      </c>
      <c r="AA107" s="40">
        <f t="shared" si="35"/>
        <v>3</v>
      </c>
      <c r="AB107" s="40">
        <f t="shared" si="35"/>
        <v>6</v>
      </c>
      <c r="AC107" s="39">
        <f t="shared" ref="AC107:AC112" si="36">+SUM(Q107:AB107)/$AB$3</f>
        <v>2.5833333333333335</v>
      </c>
      <c r="AD107" s="39"/>
      <c r="AF107" s="42">
        <f t="shared" si="32"/>
        <v>0.96742673884903085</v>
      </c>
      <c r="AG107" s="39">
        <f t="shared" si="33"/>
        <v>29.990228904319956</v>
      </c>
    </row>
    <row r="108" spans="1:36" outlineLevel="2" x14ac:dyDescent="0.25">
      <c r="A108" s="36" t="s">
        <v>196</v>
      </c>
      <c r="B108" s="36" t="s">
        <v>197</v>
      </c>
      <c r="C108" s="37">
        <f>IFERROR(VLOOKUP($A108,'[25]Rates Pre-030118'!$BC$1:$BE$114,3,FALSE),0)</f>
        <v>0</v>
      </c>
      <c r="D108" s="38">
        <v>43.36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37.5</v>
      </c>
      <c r="P108" s="39">
        <f t="shared" ref="P108:P118" si="37">SUM(D108:O108)</f>
        <v>80.86</v>
      </c>
      <c r="Q108" s="40">
        <f t="shared" si="35"/>
        <v>0</v>
      </c>
      <c r="R108" s="40">
        <f t="shared" si="35"/>
        <v>0</v>
      </c>
      <c r="S108" s="40">
        <f t="shared" si="35"/>
        <v>0</v>
      </c>
      <c r="T108" s="40">
        <f t="shared" si="35"/>
        <v>0</v>
      </c>
      <c r="U108" s="40">
        <f t="shared" si="35"/>
        <v>0</v>
      </c>
      <c r="V108" s="40">
        <f t="shared" si="35"/>
        <v>0</v>
      </c>
      <c r="W108" s="40">
        <f t="shared" si="35"/>
        <v>0</v>
      </c>
      <c r="X108" s="40">
        <f t="shared" si="35"/>
        <v>0</v>
      </c>
      <c r="Y108" s="40">
        <f t="shared" si="35"/>
        <v>0</v>
      </c>
      <c r="Z108" s="40">
        <f t="shared" si="35"/>
        <v>0</v>
      </c>
      <c r="AA108" s="40">
        <f t="shared" si="35"/>
        <v>0</v>
      </c>
      <c r="AB108" s="40">
        <f t="shared" si="35"/>
        <v>0</v>
      </c>
      <c r="AC108" s="39">
        <f t="shared" si="36"/>
        <v>0</v>
      </c>
      <c r="AD108" s="39"/>
      <c r="AF108" s="42">
        <f t="shared" ref="AF108:AF113" si="38">C108*$AI$2</f>
        <v>0</v>
      </c>
      <c r="AG108" s="39">
        <f t="shared" ref="AG108:AG113" si="39">AC108*AF108*12</f>
        <v>0</v>
      </c>
    </row>
    <row r="109" spans="1:36" outlineLevel="2" x14ac:dyDescent="0.25">
      <c r="A109" s="36" t="s">
        <v>198</v>
      </c>
      <c r="B109" s="36" t="s">
        <v>199</v>
      </c>
      <c r="C109" s="37">
        <f>IFERROR(VLOOKUP($A109,'[25]Rates Pre-030118'!$BC$1:$BE$114,3,FALSE),0)</f>
        <v>57.33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9">
        <f t="shared" si="37"/>
        <v>0</v>
      </c>
      <c r="Q109" s="40">
        <f t="shared" si="35"/>
        <v>0</v>
      </c>
      <c r="R109" s="40">
        <f t="shared" si="35"/>
        <v>0</v>
      </c>
      <c r="S109" s="40">
        <f t="shared" si="35"/>
        <v>0</v>
      </c>
      <c r="T109" s="40">
        <f t="shared" si="35"/>
        <v>0</v>
      </c>
      <c r="U109" s="40">
        <f t="shared" si="35"/>
        <v>0</v>
      </c>
      <c r="V109" s="40">
        <f t="shared" si="35"/>
        <v>0</v>
      </c>
      <c r="W109" s="40">
        <f t="shared" si="35"/>
        <v>0</v>
      </c>
      <c r="X109" s="40">
        <f t="shared" si="35"/>
        <v>0</v>
      </c>
      <c r="Y109" s="40">
        <f t="shared" si="35"/>
        <v>0</v>
      </c>
      <c r="Z109" s="40">
        <f t="shared" si="35"/>
        <v>0</v>
      </c>
      <c r="AA109" s="40">
        <f t="shared" si="35"/>
        <v>0</v>
      </c>
      <c r="AB109" s="40">
        <f t="shared" si="35"/>
        <v>0</v>
      </c>
      <c r="AC109" s="39">
        <f t="shared" si="36"/>
        <v>0</v>
      </c>
      <c r="AD109" s="39"/>
      <c r="AF109" s="42">
        <f t="shared" si="38"/>
        <v>3.1088887297205683</v>
      </c>
      <c r="AG109" s="39">
        <f t="shared" si="39"/>
        <v>0</v>
      </c>
    </row>
    <row r="110" spans="1:36" outlineLevel="2" x14ac:dyDescent="0.25">
      <c r="A110" s="36" t="s">
        <v>200</v>
      </c>
      <c r="B110" s="36" t="s">
        <v>201</v>
      </c>
      <c r="C110" s="37">
        <f>IFERROR(VLOOKUP($A110,'[25]Rates Pre-030118'!$BC$1:$BE$114,3,FALSE),0)</f>
        <v>4.28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9">
        <f t="shared" si="37"/>
        <v>0</v>
      </c>
      <c r="Q110" s="40">
        <f t="shared" si="35"/>
        <v>0</v>
      </c>
      <c r="R110" s="40">
        <f t="shared" si="35"/>
        <v>0</v>
      </c>
      <c r="S110" s="40">
        <f t="shared" si="35"/>
        <v>0</v>
      </c>
      <c r="T110" s="40">
        <f t="shared" si="35"/>
        <v>0</v>
      </c>
      <c r="U110" s="40">
        <f t="shared" si="35"/>
        <v>0</v>
      </c>
      <c r="V110" s="40">
        <f t="shared" si="35"/>
        <v>0</v>
      </c>
      <c r="W110" s="40">
        <f t="shared" si="35"/>
        <v>0</v>
      </c>
      <c r="X110" s="40">
        <f t="shared" si="35"/>
        <v>0</v>
      </c>
      <c r="Y110" s="40">
        <f t="shared" si="35"/>
        <v>0</v>
      </c>
      <c r="Z110" s="40">
        <f t="shared" si="35"/>
        <v>0</v>
      </c>
      <c r="AA110" s="40">
        <f t="shared" si="35"/>
        <v>0</v>
      </c>
      <c r="AB110" s="40">
        <f t="shared" si="35"/>
        <v>0</v>
      </c>
      <c r="AC110" s="39">
        <f t="shared" si="36"/>
        <v>0</v>
      </c>
      <c r="AD110" s="39"/>
      <c r="AF110" s="42">
        <f t="shared" si="38"/>
        <v>0.23209565259382578</v>
      </c>
      <c r="AG110" s="39">
        <f t="shared" si="39"/>
        <v>0</v>
      </c>
      <c r="AH110" s="51"/>
      <c r="AI110" s="51"/>
      <c r="AJ110" s="51"/>
    </row>
    <row r="111" spans="1:36" outlineLevel="2" x14ac:dyDescent="0.25">
      <c r="A111" s="36" t="s">
        <v>202</v>
      </c>
      <c r="B111" s="36" t="s">
        <v>203</v>
      </c>
      <c r="C111" s="37">
        <f>IFERROR(VLOOKUP($A111,'[25]Rates Pre-030118'!$BC$1:$BE$114,3,FALSE),0)</f>
        <v>3.19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9">
        <f t="shared" si="37"/>
        <v>0</v>
      </c>
      <c r="Q111" s="40">
        <f t="shared" ref="Q111:AB112" si="40">+IFERROR(D111/$C111,0)</f>
        <v>0</v>
      </c>
      <c r="R111" s="40">
        <f t="shared" si="40"/>
        <v>0</v>
      </c>
      <c r="S111" s="40">
        <f t="shared" si="40"/>
        <v>0</v>
      </c>
      <c r="T111" s="40">
        <f t="shared" si="40"/>
        <v>0</v>
      </c>
      <c r="U111" s="40">
        <f t="shared" si="40"/>
        <v>0</v>
      </c>
      <c r="V111" s="40">
        <f t="shared" si="40"/>
        <v>0</v>
      </c>
      <c r="W111" s="40">
        <f t="shared" si="40"/>
        <v>0</v>
      </c>
      <c r="X111" s="40">
        <f t="shared" si="40"/>
        <v>0</v>
      </c>
      <c r="Y111" s="40">
        <f t="shared" si="40"/>
        <v>0</v>
      </c>
      <c r="Z111" s="40">
        <f t="shared" si="40"/>
        <v>0</v>
      </c>
      <c r="AA111" s="40">
        <f t="shared" si="40"/>
        <v>0</v>
      </c>
      <c r="AB111" s="40">
        <f t="shared" si="40"/>
        <v>0</v>
      </c>
      <c r="AC111" s="39">
        <f t="shared" si="36"/>
        <v>0</v>
      </c>
      <c r="AD111" s="39"/>
      <c r="AF111" s="42">
        <f t="shared" si="38"/>
        <v>0.17298718032109911</v>
      </c>
      <c r="AG111" s="39">
        <f t="shared" si="39"/>
        <v>0</v>
      </c>
    </row>
    <row r="112" spans="1:36" outlineLevel="2" x14ac:dyDescent="0.25">
      <c r="A112" s="36" t="s">
        <v>204</v>
      </c>
      <c r="B112" s="36" t="s">
        <v>205</v>
      </c>
      <c r="C112" s="37">
        <f>IFERROR(VLOOKUP($A112,'[25]Rates Pre-030118'!$BC$1:$BE$114,3,FALSE),0)</f>
        <v>77.39</v>
      </c>
      <c r="D112" s="38">
        <v>232.17</v>
      </c>
      <c r="E112" s="38">
        <v>232.17</v>
      </c>
      <c r="F112" s="38">
        <v>154.78</v>
      </c>
      <c r="G112" s="38">
        <v>232.17</v>
      </c>
      <c r="H112" s="38">
        <v>0</v>
      </c>
      <c r="I112" s="38">
        <v>386.95</v>
      </c>
      <c r="J112" s="38">
        <v>386.95</v>
      </c>
      <c r="K112" s="38">
        <v>232.17</v>
      </c>
      <c r="L112" s="38">
        <v>541.73</v>
      </c>
      <c r="M112" s="38">
        <v>464.34</v>
      </c>
      <c r="N112" s="38">
        <v>386.95</v>
      </c>
      <c r="O112" s="38">
        <v>77.39</v>
      </c>
      <c r="P112" s="39">
        <f t="shared" si="37"/>
        <v>3327.77</v>
      </c>
      <c r="Q112" s="40">
        <f t="shared" si="40"/>
        <v>3</v>
      </c>
      <c r="R112" s="40">
        <f t="shared" si="40"/>
        <v>3</v>
      </c>
      <c r="S112" s="40">
        <f t="shared" si="40"/>
        <v>2</v>
      </c>
      <c r="T112" s="40">
        <f t="shared" si="40"/>
        <v>3</v>
      </c>
      <c r="U112" s="40">
        <f t="shared" si="40"/>
        <v>0</v>
      </c>
      <c r="V112" s="40">
        <f t="shared" si="40"/>
        <v>5</v>
      </c>
      <c r="W112" s="40">
        <f t="shared" si="40"/>
        <v>5</v>
      </c>
      <c r="X112" s="40">
        <f t="shared" si="40"/>
        <v>3</v>
      </c>
      <c r="Y112" s="40">
        <f t="shared" si="40"/>
        <v>7</v>
      </c>
      <c r="Z112" s="40">
        <f t="shared" si="40"/>
        <v>6</v>
      </c>
      <c r="AA112" s="40">
        <f t="shared" si="40"/>
        <v>5</v>
      </c>
      <c r="AB112" s="40">
        <f t="shared" si="40"/>
        <v>1</v>
      </c>
      <c r="AC112" s="39">
        <f t="shared" si="36"/>
        <v>3.5833333333333335</v>
      </c>
      <c r="AD112" s="39"/>
      <c r="AF112" s="42">
        <f t="shared" si="38"/>
        <v>4.1967015313635931</v>
      </c>
      <c r="AG112" s="39">
        <f t="shared" si="39"/>
        <v>180.45816584863451</v>
      </c>
    </row>
    <row r="113" spans="1:36" outlineLevel="2" x14ac:dyDescent="0.25">
      <c r="A113" s="36"/>
      <c r="B113" s="36"/>
      <c r="C113" s="37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>
        <f t="shared" si="37"/>
        <v>0</v>
      </c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39"/>
      <c r="AD113" s="39"/>
      <c r="AF113" s="42">
        <f t="shared" si="38"/>
        <v>0</v>
      </c>
      <c r="AG113" s="39">
        <f t="shared" si="39"/>
        <v>0</v>
      </c>
    </row>
    <row r="114" spans="1:36" outlineLevel="1" x14ac:dyDescent="0.25">
      <c r="A114" s="36"/>
      <c r="B114" s="44" t="s">
        <v>206</v>
      </c>
      <c r="C114" s="37"/>
      <c r="D114" s="45">
        <f t="shared" ref="D114:P114" si="41">SUM(D89:D113)</f>
        <v>2174.1</v>
      </c>
      <c r="E114" s="45">
        <f t="shared" si="41"/>
        <v>1323.27</v>
      </c>
      <c r="F114" s="45">
        <f t="shared" si="41"/>
        <v>1024.3700000000001</v>
      </c>
      <c r="G114" s="45">
        <f t="shared" si="41"/>
        <v>1569.9</v>
      </c>
      <c r="H114" s="45">
        <f t="shared" si="41"/>
        <v>510.49</v>
      </c>
      <c r="I114" s="45">
        <f t="shared" si="41"/>
        <v>2033.06</v>
      </c>
      <c r="J114" s="45">
        <f t="shared" si="41"/>
        <v>1426.0200000000002</v>
      </c>
      <c r="K114" s="45">
        <f t="shared" si="41"/>
        <v>840.03</v>
      </c>
      <c r="L114" s="45">
        <f t="shared" si="41"/>
        <v>2492.3900000000003</v>
      </c>
      <c r="M114" s="45">
        <f t="shared" si="41"/>
        <v>3434.2799999999997</v>
      </c>
      <c r="N114" s="45">
        <f t="shared" si="41"/>
        <v>3097.24</v>
      </c>
      <c r="O114" s="45">
        <f t="shared" si="41"/>
        <v>2897.52</v>
      </c>
      <c r="P114" s="45">
        <f t="shared" si="41"/>
        <v>22822.670000000002</v>
      </c>
      <c r="Q114" s="45" t="e">
        <f>+SUM(Q89,Q91:Q92,Q94:Q95,Q97:Q97,Q98:Q100,#REF!,#REF!)</f>
        <v>#REF!</v>
      </c>
      <c r="R114" s="45" t="e">
        <f>+SUM(R89,R91:R92,R94:R95,R97:R97,R98:R100,#REF!,#REF!)</f>
        <v>#REF!</v>
      </c>
      <c r="S114" s="45" t="e">
        <f>+SUM(S89,S91:S92,S94:S95,S97:S97,S98:S100,#REF!,#REF!)</f>
        <v>#REF!</v>
      </c>
      <c r="T114" s="45" t="e">
        <f>+SUM(T89,T91:T92,T94:T95,T97:T97,T98:T100,#REF!,#REF!)</f>
        <v>#REF!</v>
      </c>
      <c r="U114" s="45" t="e">
        <f>+SUM(U89,U91:U92,U94:U95,U97:U97,U98:U100,#REF!,#REF!)</f>
        <v>#REF!</v>
      </c>
      <c r="V114" s="45" t="e">
        <f>+SUM(V89,V91:V92,V94:V95,V97:V97,V98:V100,#REF!,#REF!)</f>
        <v>#REF!</v>
      </c>
      <c r="W114" s="45" t="e">
        <f>+SUM(W89,W91:W92,W94:W95,W97:W97,W98:W100,#REF!,#REF!)</f>
        <v>#REF!</v>
      </c>
      <c r="X114" s="45" t="e">
        <f>+SUM(X89,X91:X92,X94:X95,X97:X97,X98:X100,#REF!,#REF!)</f>
        <v>#REF!</v>
      </c>
      <c r="Y114" s="45" t="e">
        <f>+SUM(Y89,Y91:Y92,Y94:Y95,Y97:Y97,Y98:Y100,#REF!,#REF!)</f>
        <v>#REF!</v>
      </c>
      <c r="Z114" s="45" t="e">
        <f>+SUM(Z89,Z91:Z92,Z94:Z95,Z97:Z97,Z98:Z100,#REF!,#REF!)</f>
        <v>#REF!</v>
      </c>
      <c r="AA114" s="45" t="e">
        <f>+SUM(AA89,AA91:AA92,AA94:AA95,AA97:AA97,AA98:AA100,#REF!,#REF!)</f>
        <v>#REF!</v>
      </c>
      <c r="AB114" s="45" t="e">
        <f>+SUM(AB89,AB91:AB92,AB94:AB95,AB97:AB97,AB98:AB100,#REF!,#REF!)</f>
        <v>#REF!</v>
      </c>
      <c r="AC114" s="45">
        <f>SUM(AC89:AC113)</f>
        <v>19.80669136878814</v>
      </c>
      <c r="AD114" s="46"/>
      <c r="AF114" s="50">
        <f>SUM(AF89:AF113)</f>
        <v>112.66996690437331</v>
      </c>
      <c r="AG114" s="45">
        <f>SUM(AG89:AG113)</f>
        <v>1233.2418768959797</v>
      </c>
    </row>
    <row r="115" spans="1:36" outlineLevel="1" x14ac:dyDescent="0.25">
      <c r="A115" s="36"/>
      <c r="B115" s="36"/>
      <c r="C115" s="37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>
        <f t="shared" si="37"/>
        <v>0</v>
      </c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39"/>
      <c r="AD115" s="39"/>
      <c r="AF115" s="39"/>
      <c r="AG115" s="39"/>
    </row>
    <row r="116" spans="1:36" outlineLevel="2" x14ac:dyDescent="0.25">
      <c r="A116" s="47" t="s">
        <v>207</v>
      </c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>
        <f t="shared" si="37"/>
        <v>0</v>
      </c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39"/>
      <c r="AD116" s="39"/>
      <c r="AF116" s="39"/>
      <c r="AG116" s="39"/>
    </row>
    <row r="117" spans="1:36" outlineLevel="2" x14ac:dyDescent="0.25">
      <c r="A117" s="36" t="s">
        <v>208</v>
      </c>
      <c r="B117" s="36" t="s">
        <v>209</v>
      </c>
      <c r="C117" s="37">
        <f>IFERROR(VLOOKUP($A117,'[25]Rates Pre-030118'!$BC$1:$BE$114,3,FALSE),0)</f>
        <v>134.59</v>
      </c>
      <c r="D117" s="38">
        <v>4426.67</v>
      </c>
      <c r="E117" s="38">
        <v>3581.45</v>
      </c>
      <c r="F117" s="38">
        <v>1137.29</v>
      </c>
      <c r="G117" s="38">
        <v>3550.49</v>
      </c>
      <c r="H117" s="38">
        <v>1572.01</v>
      </c>
      <c r="I117" s="38">
        <v>3749.68</v>
      </c>
      <c r="J117" s="38">
        <v>2545.09</v>
      </c>
      <c r="K117" s="38">
        <v>320.32</v>
      </c>
      <c r="L117" s="38">
        <v>7251.71</v>
      </c>
      <c r="M117" s="38">
        <v>6751.05</v>
      </c>
      <c r="N117" s="38">
        <v>4815.6400000000003</v>
      </c>
      <c r="O117" s="38">
        <v>6413.24</v>
      </c>
      <c r="P117" s="39">
        <f t="shared" si="37"/>
        <v>46114.64</v>
      </c>
      <c r="Q117" s="40">
        <f t="shared" ref="Q117:AB117" si="42">+IFERROR(D117/$C117,0)</f>
        <v>32.890036406865292</v>
      </c>
      <c r="R117" s="40">
        <f t="shared" si="42"/>
        <v>26.61007504272234</v>
      </c>
      <c r="S117" s="40">
        <f t="shared" si="42"/>
        <v>8.4500334348762909</v>
      </c>
      <c r="T117" s="40">
        <f t="shared" si="42"/>
        <v>26.380043093840552</v>
      </c>
      <c r="U117" s="40">
        <f t="shared" si="42"/>
        <v>11.679991084032988</v>
      </c>
      <c r="V117" s="40">
        <f t="shared" si="42"/>
        <v>27.860019317928522</v>
      </c>
      <c r="W117" s="40">
        <f t="shared" si="42"/>
        <v>18.909948733189687</v>
      </c>
      <c r="X117" s="40">
        <f t="shared" si="42"/>
        <v>2.3799687941154617</v>
      </c>
      <c r="Y117" s="40">
        <f t="shared" si="42"/>
        <v>53.880005943978006</v>
      </c>
      <c r="Z117" s="40">
        <f t="shared" si="42"/>
        <v>50.160115907571139</v>
      </c>
      <c r="AA117" s="40">
        <f t="shared" si="42"/>
        <v>35.780072813730591</v>
      </c>
      <c r="AB117" s="40">
        <f t="shared" si="42"/>
        <v>47.650196894271488</v>
      </c>
      <c r="AC117" s="39">
        <f>+SUM(Q117:AB117)/$AB$3</f>
        <v>28.552542288926862</v>
      </c>
      <c r="AD117" s="39"/>
      <c r="AF117" s="39"/>
      <c r="AG117" s="39"/>
    </row>
    <row r="118" spans="1:36" outlineLevel="2" x14ac:dyDescent="0.25">
      <c r="A118" s="36"/>
      <c r="B118" s="36"/>
      <c r="C118" s="37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>
        <f t="shared" si="37"/>
        <v>0</v>
      </c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39"/>
      <c r="AD118" s="39"/>
      <c r="AF118" s="39"/>
      <c r="AG118" s="39"/>
    </row>
    <row r="119" spans="1:36" outlineLevel="1" x14ac:dyDescent="0.25">
      <c r="A119" s="36"/>
      <c r="B119" s="44" t="s">
        <v>210</v>
      </c>
      <c r="C119" s="37"/>
      <c r="D119" s="45">
        <f t="shared" ref="D119:P119" si="43">SUM(D117:D118)</f>
        <v>4426.67</v>
      </c>
      <c r="E119" s="45">
        <f t="shared" si="43"/>
        <v>3581.45</v>
      </c>
      <c r="F119" s="45">
        <f t="shared" si="43"/>
        <v>1137.29</v>
      </c>
      <c r="G119" s="45">
        <f t="shared" si="43"/>
        <v>3550.49</v>
      </c>
      <c r="H119" s="45">
        <f t="shared" si="43"/>
        <v>1572.01</v>
      </c>
      <c r="I119" s="45">
        <f t="shared" si="43"/>
        <v>3749.68</v>
      </c>
      <c r="J119" s="45">
        <f t="shared" si="43"/>
        <v>2545.09</v>
      </c>
      <c r="K119" s="45">
        <f t="shared" si="43"/>
        <v>320.32</v>
      </c>
      <c r="L119" s="45">
        <f t="shared" si="43"/>
        <v>7251.71</v>
      </c>
      <c r="M119" s="45">
        <f t="shared" si="43"/>
        <v>6751.05</v>
      </c>
      <c r="N119" s="45">
        <f t="shared" si="43"/>
        <v>4815.6400000000003</v>
      </c>
      <c r="O119" s="45">
        <f t="shared" si="43"/>
        <v>6413.24</v>
      </c>
      <c r="P119" s="45">
        <f t="shared" si="43"/>
        <v>46114.64</v>
      </c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6"/>
      <c r="AF119" s="45">
        <f>SUM(AF117:AF118)</f>
        <v>0</v>
      </c>
      <c r="AG119" s="45">
        <f>SUM(AG117:AG118)</f>
        <v>0</v>
      </c>
      <c r="AH119" s="51"/>
      <c r="AI119" s="51"/>
      <c r="AJ119" s="51"/>
    </row>
    <row r="120" spans="1:36" s="51" customFormat="1" x14ac:dyDescent="0.25">
      <c r="A120" s="5"/>
      <c r="B120" s="5"/>
      <c r="C120" s="37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5"/>
      <c r="O120" s="55"/>
      <c r="P120" s="40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40"/>
      <c r="AD120" s="40"/>
      <c r="AF120" s="2"/>
      <c r="AG120" s="2"/>
      <c r="AH120" s="2"/>
      <c r="AI120" s="2"/>
      <c r="AJ120" s="2"/>
    </row>
    <row r="121" spans="1:36" s="51" customFormat="1" outlineLevel="1" x14ac:dyDescent="0.25">
      <c r="A121" s="5"/>
      <c r="B121" s="5"/>
      <c r="C121" s="56">
        <v>31000</v>
      </c>
      <c r="D121" s="57">
        <v>1827.21</v>
      </c>
      <c r="E121" s="57">
        <v>1091.0999999999999</v>
      </c>
      <c r="F121" s="57">
        <v>869.58999999999992</v>
      </c>
      <c r="G121" s="57">
        <v>1284.21</v>
      </c>
      <c r="H121" s="57">
        <v>474.81</v>
      </c>
      <c r="I121" s="57">
        <v>1628.27</v>
      </c>
      <c r="J121" s="57">
        <v>1003.39</v>
      </c>
      <c r="K121" s="57">
        <v>607.86</v>
      </c>
      <c r="L121" s="57">
        <v>1861.46</v>
      </c>
      <c r="M121" s="57">
        <v>2880.7400000000002</v>
      </c>
      <c r="N121" s="57">
        <v>2656.7700000000004</v>
      </c>
      <c r="O121" s="57">
        <v>2675.5899999999997</v>
      </c>
      <c r="P121" s="40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40"/>
      <c r="AD121" s="40"/>
      <c r="AF121" s="2"/>
      <c r="AG121" s="2"/>
      <c r="AH121" s="2"/>
      <c r="AI121" s="2"/>
      <c r="AJ121" s="2"/>
    </row>
    <row r="122" spans="1:36" outlineLevel="1" x14ac:dyDescent="0.25">
      <c r="C122" s="58">
        <v>31002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6" outlineLevel="1" x14ac:dyDescent="0.25">
      <c r="C123" s="58">
        <v>31005</v>
      </c>
      <c r="D123" s="57">
        <v>4426.67</v>
      </c>
      <c r="E123" s="57">
        <v>3581.45</v>
      </c>
      <c r="F123" s="57">
        <v>1137.29</v>
      </c>
      <c r="G123" s="57">
        <v>3550.49</v>
      </c>
      <c r="H123" s="57">
        <v>1572.01</v>
      </c>
      <c r="I123" s="57">
        <v>3749.68</v>
      </c>
      <c r="J123" s="57">
        <v>2545.09</v>
      </c>
      <c r="K123" s="57">
        <v>320.32</v>
      </c>
      <c r="L123" s="57">
        <v>7251.71</v>
      </c>
      <c r="M123" s="57">
        <v>6751.05</v>
      </c>
      <c r="N123" s="57">
        <v>4815.6400000000003</v>
      </c>
      <c r="O123" s="57">
        <v>6413.24</v>
      </c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</row>
    <row r="124" spans="1:36" outlineLevel="1" x14ac:dyDescent="0.25">
      <c r="C124" s="58">
        <v>31010</v>
      </c>
      <c r="D124" s="57">
        <v>346.89</v>
      </c>
      <c r="E124" s="57">
        <v>232.17</v>
      </c>
      <c r="F124" s="57">
        <v>154.78</v>
      </c>
      <c r="G124" s="57">
        <v>285.69</v>
      </c>
      <c r="H124" s="57">
        <v>35.68</v>
      </c>
      <c r="I124" s="57">
        <v>404.78999999999996</v>
      </c>
      <c r="J124" s="57">
        <v>422.63</v>
      </c>
      <c r="K124" s="57">
        <v>232.17</v>
      </c>
      <c r="L124" s="57">
        <v>630.93000000000006</v>
      </c>
      <c r="M124" s="57">
        <v>553.54</v>
      </c>
      <c r="N124" s="57">
        <v>440.46999999999997</v>
      </c>
      <c r="O124" s="57">
        <v>221.93</v>
      </c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</row>
    <row r="125" spans="1:36" outlineLevel="1" x14ac:dyDescent="0.25">
      <c r="C125" s="58">
        <v>32000</v>
      </c>
      <c r="D125" s="57">
        <v>41756.28</v>
      </c>
      <c r="E125" s="57">
        <v>42346.810000000005</v>
      </c>
      <c r="F125" s="57">
        <v>43704.270000000004</v>
      </c>
      <c r="G125" s="57">
        <v>43758.14</v>
      </c>
      <c r="H125" s="57">
        <v>43714.539999999994</v>
      </c>
      <c r="I125" s="57">
        <v>44526.30000000001</v>
      </c>
      <c r="J125" s="57">
        <v>44593.82</v>
      </c>
      <c r="K125" s="57">
        <v>45494.610000000015</v>
      </c>
      <c r="L125" s="57">
        <v>46281.770000000011</v>
      </c>
      <c r="M125" s="57">
        <v>47256.80000000001</v>
      </c>
      <c r="N125" s="57">
        <v>47473.39</v>
      </c>
      <c r="O125" s="57">
        <v>48035.91</v>
      </c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</row>
    <row r="126" spans="1:36" outlineLevel="1" x14ac:dyDescent="0.25">
      <c r="C126" s="58">
        <v>32001</v>
      </c>
      <c r="D126" s="57">
        <v>2099.0300000000002</v>
      </c>
      <c r="E126" s="57">
        <v>2332.52</v>
      </c>
      <c r="F126" s="57">
        <v>2030.11</v>
      </c>
      <c r="G126" s="57">
        <v>2682.06</v>
      </c>
      <c r="H126" s="57">
        <v>1778.2</v>
      </c>
      <c r="I126" s="57">
        <v>2048.5299999999997</v>
      </c>
      <c r="J126" s="57">
        <v>2226.35</v>
      </c>
      <c r="K126" s="57">
        <v>2862.21</v>
      </c>
      <c r="L126" s="57">
        <v>2928.0299999999997</v>
      </c>
      <c r="M126" s="57">
        <v>3236.3199999999993</v>
      </c>
      <c r="N126" s="57">
        <v>3451.1000000000004</v>
      </c>
      <c r="O126" s="57">
        <v>2692.31</v>
      </c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</row>
    <row r="127" spans="1:36" outlineLevel="1" x14ac:dyDescent="0.25">
      <c r="C127" s="58">
        <v>33000</v>
      </c>
      <c r="D127" s="57">
        <v>26466.489999999998</v>
      </c>
      <c r="E127" s="57">
        <v>25923.739999999998</v>
      </c>
      <c r="F127" s="57">
        <v>26262.399999999994</v>
      </c>
      <c r="G127" s="57">
        <v>25938.15</v>
      </c>
      <c r="H127" s="57">
        <v>25397.69</v>
      </c>
      <c r="I127" s="57">
        <v>25426.229999999996</v>
      </c>
      <c r="J127" s="57">
        <v>25245.209999999995</v>
      </c>
      <c r="K127" s="57">
        <v>25558.649999999998</v>
      </c>
      <c r="L127" s="57">
        <v>25909.189999999995</v>
      </c>
      <c r="M127" s="57">
        <v>25886.729999999996</v>
      </c>
      <c r="N127" s="57">
        <v>26202.26</v>
      </c>
      <c r="O127" s="57">
        <v>26635.369999999995</v>
      </c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</row>
    <row r="128" spans="1:36" outlineLevel="1" x14ac:dyDescent="0.25">
      <c r="C128" s="58">
        <v>33001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39.42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</row>
    <row r="129" spans="1:29" outlineLevel="1" x14ac:dyDescent="0.25">
      <c r="C129" s="58">
        <v>33011</v>
      </c>
      <c r="D129" s="57">
        <v>531.1</v>
      </c>
      <c r="E129" s="57">
        <v>489.6</v>
      </c>
      <c r="F129" s="57">
        <v>560.3900000000001</v>
      </c>
      <c r="G129" s="57">
        <v>781.42</v>
      </c>
      <c r="H129" s="57">
        <v>457.40000000000003</v>
      </c>
      <c r="I129" s="57">
        <v>467.94</v>
      </c>
      <c r="J129" s="57">
        <v>317.66000000000003</v>
      </c>
      <c r="K129" s="57">
        <v>797.00999999999988</v>
      </c>
      <c r="L129" s="57">
        <v>480.74</v>
      </c>
      <c r="M129" s="57">
        <v>688.03</v>
      </c>
      <c r="N129" s="57">
        <v>602.9</v>
      </c>
      <c r="O129" s="57">
        <v>577.34</v>
      </c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</row>
    <row r="130" spans="1:29" outlineLevel="1" x14ac:dyDescent="0.25">
      <c r="C130" s="58">
        <v>38000</v>
      </c>
      <c r="D130" s="57">
        <v>131.47999999999999</v>
      </c>
      <c r="E130" s="57">
        <v>126.19000000000001</v>
      </c>
      <c r="F130" s="57">
        <v>116.3</v>
      </c>
      <c r="G130" s="57">
        <v>104.31</v>
      </c>
      <c r="H130" s="57">
        <v>197.17</v>
      </c>
      <c r="I130" s="57">
        <v>52.63</v>
      </c>
      <c r="J130" s="57">
        <v>106.07</v>
      </c>
      <c r="K130" s="57">
        <v>85.67</v>
      </c>
      <c r="L130" s="57">
        <v>90.43</v>
      </c>
      <c r="M130" s="57">
        <v>56.16</v>
      </c>
      <c r="N130" s="57">
        <v>115.59</v>
      </c>
      <c r="O130" s="57">
        <v>81.62</v>
      </c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</row>
    <row r="131" spans="1:29" outlineLevel="1" x14ac:dyDescent="0.25">
      <c r="C131" s="58" t="s">
        <v>211</v>
      </c>
      <c r="D131" s="57">
        <v>0</v>
      </c>
      <c r="E131" s="57">
        <v>0</v>
      </c>
      <c r="F131" s="57">
        <v>0</v>
      </c>
      <c r="G131" s="57">
        <v>0</v>
      </c>
      <c r="H131" s="57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</row>
    <row r="132" spans="1:29" outlineLevel="1" x14ac:dyDescent="0.25">
      <c r="C132" s="58" t="s">
        <v>212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</row>
    <row r="133" spans="1:29" outlineLevel="1" x14ac:dyDescent="0.25">
      <c r="C133" s="58"/>
      <c r="D133" s="59">
        <f>SUM(D121:D132)</f>
        <v>77585.150000000009</v>
      </c>
      <c r="E133" s="59">
        <f t="shared" ref="E133:O133" si="44">SUM(E121:E132)</f>
        <v>76123.580000000016</v>
      </c>
      <c r="F133" s="59">
        <f t="shared" si="44"/>
        <v>74835.13</v>
      </c>
      <c r="G133" s="59">
        <f t="shared" si="44"/>
        <v>78384.469999999987</v>
      </c>
      <c r="H133" s="59">
        <f t="shared" si="44"/>
        <v>73627.499999999985</v>
      </c>
      <c r="I133" s="59">
        <f t="shared" si="44"/>
        <v>78304.37000000001</v>
      </c>
      <c r="J133" s="59">
        <f t="shared" si="44"/>
        <v>76499.64</v>
      </c>
      <c r="K133" s="59">
        <f t="shared" si="44"/>
        <v>75958.5</v>
      </c>
      <c r="L133" s="59">
        <f t="shared" si="44"/>
        <v>85434.26</v>
      </c>
      <c r="M133" s="59">
        <f t="shared" si="44"/>
        <v>87309.37000000001</v>
      </c>
      <c r="N133" s="59">
        <f t="shared" si="44"/>
        <v>85758.12</v>
      </c>
      <c r="O133" s="59">
        <f t="shared" si="44"/>
        <v>87333.31</v>
      </c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</row>
    <row r="134" spans="1:29" outlineLevel="1" x14ac:dyDescent="0.25">
      <c r="C134" s="58" t="s">
        <v>213</v>
      </c>
      <c r="D134" s="53" t="e">
        <f>+#REF!-D133</f>
        <v>#REF!</v>
      </c>
      <c r="E134" s="53" t="e">
        <f>+#REF!-E133</f>
        <v>#REF!</v>
      </c>
      <c r="F134" s="53" t="e">
        <f>+#REF!-F133</f>
        <v>#REF!</v>
      </c>
      <c r="G134" s="53" t="e">
        <f>+#REF!-G133</f>
        <v>#REF!</v>
      </c>
      <c r="H134" s="53" t="e">
        <f>+#REF!-H133</f>
        <v>#REF!</v>
      </c>
      <c r="I134" s="53" t="e">
        <f>+#REF!-I133</f>
        <v>#REF!</v>
      </c>
      <c r="J134" s="53" t="e">
        <f>+#REF!-J133</f>
        <v>#REF!</v>
      </c>
      <c r="K134" s="53" t="e">
        <f>+#REF!-K133</f>
        <v>#REF!</v>
      </c>
      <c r="L134" s="53" t="e">
        <f>+#REF!-L133</f>
        <v>#REF!</v>
      </c>
      <c r="M134" s="53" t="e">
        <f>+#REF!-M133</f>
        <v>#REF!</v>
      </c>
      <c r="N134" s="53" t="e">
        <f>+#REF!-N133</f>
        <v>#REF!</v>
      </c>
      <c r="O134" s="53" t="e">
        <f>+#REF!-O133</f>
        <v>#REF!</v>
      </c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</row>
    <row r="135" spans="1:29" outlineLevel="1" x14ac:dyDescent="0.25"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40"/>
      <c r="O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</row>
    <row r="136" spans="1:29" x14ac:dyDescent="0.25">
      <c r="N136" s="40"/>
      <c r="O136" s="40"/>
      <c r="Q136" s="2"/>
    </row>
    <row r="137" spans="1:29" outlineLevel="1" x14ac:dyDescent="0.25">
      <c r="A137" s="30" t="s">
        <v>214</v>
      </c>
      <c r="N137" s="40"/>
      <c r="O137" s="40"/>
      <c r="Q137" s="2"/>
    </row>
    <row r="138" spans="1:29" outlineLevel="1" x14ac:dyDescent="0.25">
      <c r="A138" s="36" t="s">
        <v>215</v>
      </c>
      <c r="B138" s="36" t="s">
        <v>216</v>
      </c>
      <c r="C138" s="37">
        <f>IFERROR(VLOOKUP($A138,'[25]Rates Pre-030118'!$BC$1:$BE$114,3,FALSE),0)</f>
        <v>0</v>
      </c>
      <c r="D138" s="38">
        <v>0</v>
      </c>
      <c r="E138" s="38">
        <v>0</v>
      </c>
      <c r="F138" s="38">
        <v>0.44</v>
      </c>
      <c r="G138" s="38">
        <v>0</v>
      </c>
      <c r="H138" s="38">
        <v>0</v>
      </c>
      <c r="I138" s="38">
        <v>0</v>
      </c>
      <c r="J138" s="38">
        <v>0</v>
      </c>
      <c r="K138" s="38">
        <v>1.74</v>
      </c>
      <c r="L138" s="38">
        <v>0</v>
      </c>
      <c r="M138" s="38">
        <v>0</v>
      </c>
      <c r="N138" s="38">
        <v>0</v>
      </c>
      <c r="O138" s="38">
        <v>0</v>
      </c>
      <c r="Q138" s="40">
        <f t="shared" ref="Q138:AB140" si="45">+IFERROR(D138/$C138,0)</f>
        <v>0</v>
      </c>
      <c r="R138" s="40">
        <f t="shared" si="45"/>
        <v>0</v>
      </c>
      <c r="S138" s="40">
        <f t="shared" si="45"/>
        <v>0</v>
      </c>
      <c r="T138" s="40">
        <f t="shared" si="45"/>
        <v>0</v>
      </c>
      <c r="U138" s="40">
        <f t="shared" si="45"/>
        <v>0</v>
      </c>
      <c r="V138" s="40">
        <f t="shared" si="45"/>
        <v>0</v>
      </c>
      <c r="W138" s="40">
        <f t="shared" si="45"/>
        <v>0</v>
      </c>
      <c r="X138" s="40">
        <f t="shared" si="45"/>
        <v>0</v>
      </c>
      <c r="Y138" s="40">
        <f t="shared" si="45"/>
        <v>0</v>
      </c>
      <c r="Z138" s="40">
        <f t="shared" si="45"/>
        <v>0</v>
      </c>
      <c r="AA138" s="40">
        <f t="shared" si="45"/>
        <v>0</v>
      </c>
      <c r="AB138" s="40">
        <f t="shared" si="45"/>
        <v>0</v>
      </c>
      <c r="AC138" s="2">
        <f>+SUM(Q138:AB138)/$AB$3</f>
        <v>0</v>
      </c>
    </row>
    <row r="139" spans="1:29" outlineLevel="1" x14ac:dyDescent="0.25">
      <c r="A139" s="36" t="s">
        <v>217</v>
      </c>
      <c r="B139" s="36" t="s">
        <v>216</v>
      </c>
      <c r="C139" s="37">
        <f>IFERROR(VLOOKUP($A139,'[25]Rates Pre-030118'!$BC$1:$BE$114,3,FALSE),0)</f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Q139" s="40">
        <f t="shared" si="45"/>
        <v>0</v>
      </c>
      <c r="R139" s="40">
        <f t="shared" si="45"/>
        <v>0</v>
      </c>
      <c r="S139" s="40">
        <f t="shared" si="45"/>
        <v>0</v>
      </c>
      <c r="T139" s="40">
        <f t="shared" si="45"/>
        <v>0</v>
      </c>
      <c r="U139" s="40">
        <f t="shared" si="45"/>
        <v>0</v>
      </c>
      <c r="V139" s="40">
        <f t="shared" si="45"/>
        <v>0</v>
      </c>
      <c r="W139" s="40">
        <f t="shared" si="45"/>
        <v>0</v>
      </c>
      <c r="X139" s="40">
        <f t="shared" si="45"/>
        <v>0</v>
      </c>
      <c r="Y139" s="40">
        <f t="shared" si="45"/>
        <v>0</v>
      </c>
      <c r="Z139" s="40">
        <f t="shared" si="45"/>
        <v>0</v>
      </c>
      <c r="AA139" s="40">
        <f t="shared" si="45"/>
        <v>0</v>
      </c>
      <c r="AB139" s="40">
        <f t="shared" si="45"/>
        <v>0</v>
      </c>
      <c r="AC139" s="2">
        <f>+SUM(Q139:AB139)/$AB$3</f>
        <v>0</v>
      </c>
    </row>
    <row r="140" spans="1:29" outlineLevel="1" x14ac:dyDescent="0.25">
      <c r="A140" s="36" t="s">
        <v>218</v>
      </c>
      <c r="B140" s="36" t="s">
        <v>216</v>
      </c>
      <c r="C140" s="37">
        <f>IFERROR(VLOOKUP($A140,'[25]Rates Pre-030118'!$BC$1:$BE$114,3,FALSE),0)</f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Q140" s="40">
        <f t="shared" si="45"/>
        <v>0</v>
      </c>
      <c r="R140" s="40">
        <f t="shared" si="45"/>
        <v>0</v>
      </c>
      <c r="S140" s="40">
        <f t="shared" si="45"/>
        <v>0</v>
      </c>
      <c r="T140" s="40">
        <f t="shared" si="45"/>
        <v>0</v>
      </c>
      <c r="U140" s="40">
        <f t="shared" si="45"/>
        <v>0</v>
      </c>
      <c r="V140" s="40">
        <f t="shared" si="45"/>
        <v>0</v>
      </c>
      <c r="W140" s="40">
        <f t="shared" si="45"/>
        <v>0</v>
      </c>
      <c r="X140" s="40">
        <f t="shared" si="45"/>
        <v>0</v>
      </c>
      <c r="Y140" s="40">
        <f t="shared" si="45"/>
        <v>0</v>
      </c>
      <c r="Z140" s="40">
        <f t="shared" si="45"/>
        <v>0</v>
      </c>
      <c r="AA140" s="40">
        <f t="shared" si="45"/>
        <v>0</v>
      </c>
      <c r="AB140" s="40">
        <f t="shared" si="45"/>
        <v>0</v>
      </c>
      <c r="AC140" s="2">
        <f>+SUM(Q140:AB140)/$AB$3</f>
        <v>0</v>
      </c>
    </row>
    <row r="141" spans="1:29" outlineLevel="1" x14ac:dyDescent="0.25">
      <c r="N141" s="40"/>
      <c r="O141" s="40"/>
      <c r="Q141" s="2"/>
    </row>
    <row r="142" spans="1:29" x14ac:dyDescent="0.25">
      <c r="B142" s="44" t="s">
        <v>219</v>
      </c>
      <c r="D142" s="45">
        <f>+SUM(D138:D141)</f>
        <v>0</v>
      </c>
      <c r="E142" s="45">
        <f t="shared" ref="E142:O142" si="46">+SUM(E138:E141)</f>
        <v>0</v>
      </c>
      <c r="F142" s="45">
        <f t="shared" si="46"/>
        <v>0.44</v>
      </c>
      <c r="G142" s="45">
        <f t="shared" si="46"/>
        <v>0</v>
      </c>
      <c r="H142" s="45">
        <f t="shared" si="46"/>
        <v>0</v>
      </c>
      <c r="I142" s="45">
        <f t="shared" si="46"/>
        <v>0</v>
      </c>
      <c r="J142" s="45">
        <f t="shared" si="46"/>
        <v>0</v>
      </c>
      <c r="K142" s="45">
        <f t="shared" si="46"/>
        <v>1.74</v>
      </c>
      <c r="L142" s="45">
        <f t="shared" si="46"/>
        <v>0</v>
      </c>
      <c r="M142" s="45">
        <f t="shared" si="46"/>
        <v>0</v>
      </c>
      <c r="N142" s="45">
        <f t="shared" si="46"/>
        <v>0</v>
      </c>
      <c r="O142" s="45">
        <f t="shared" si="46"/>
        <v>0</v>
      </c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</row>
    <row r="143" spans="1:29" x14ac:dyDescent="0.25">
      <c r="N143" s="40"/>
      <c r="O143" s="40"/>
      <c r="Q143" s="2"/>
    </row>
    <row r="144" spans="1:29" x14ac:dyDescent="0.25">
      <c r="N144" s="40"/>
      <c r="O144" s="40"/>
      <c r="Q144" s="2"/>
    </row>
    <row r="145" spans="14:30" x14ac:dyDescent="0.25">
      <c r="N145" s="40"/>
      <c r="O145" s="40"/>
      <c r="Q145" s="2"/>
    </row>
    <row r="146" spans="14:30" x14ac:dyDescent="0.25">
      <c r="N146" s="40"/>
      <c r="O146" s="40"/>
      <c r="Q146" s="2"/>
    </row>
    <row r="147" spans="14:30" x14ac:dyDescent="0.25">
      <c r="N147" s="40"/>
      <c r="O147" s="40"/>
      <c r="Q147" s="2"/>
      <c r="AC147" s="10">
        <f>+AC119+AC114+AC79+AC37</f>
        <v>2418.1687692340247</v>
      </c>
      <c r="AD147" s="10"/>
    </row>
    <row r="148" spans="14:30" x14ac:dyDescent="0.25">
      <c r="N148" s="40"/>
      <c r="O148" s="40"/>
      <c r="Q148" s="2"/>
    </row>
    <row r="149" spans="14:30" x14ac:dyDescent="0.25">
      <c r="N149" s="40"/>
      <c r="O149" s="40"/>
      <c r="Q149" s="2"/>
    </row>
    <row r="150" spans="14:30" x14ac:dyDescent="0.25">
      <c r="N150" s="40"/>
      <c r="O150" s="40"/>
      <c r="Q150" s="2"/>
    </row>
    <row r="151" spans="14:30" x14ac:dyDescent="0.25">
      <c r="N151" s="40"/>
      <c r="O151" s="40"/>
      <c r="Q151" s="2"/>
    </row>
    <row r="152" spans="14:30" x14ac:dyDescent="0.25">
      <c r="N152" s="40"/>
      <c r="O152" s="40"/>
      <c r="Q152" s="2"/>
    </row>
    <row r="153" spans="14:30" x14ac:dyDescent="0.25">
      <c r="N153" s="40"/>
      <c r="O153" s="40"/>
      <c r="Q153" s="2"/>
    </row>
    <row r="154" spans="14:30" x14ac:dyDescent="0.25">
      <c r="N154" s="40"/>
      <c r="O154" s="40"/>
      <c r="Q154" s="2"/>
    </row>
    <row r="155" spans="14:30" x14ac:dyDescent="0.25">
      <c r="N155" s="40"/>
      <c r="O155" s="40"/>
      <c r="Q155" s="2"/>
    </row>
    <row r="156" spans="14:30" x14ac:dyDescent="0.25">
      <c r="Q156" s="2"/>
    </row>
    <row r="157" spans="14:30" x14ac:dyDescent="0.25">
      <c r="Q157" s="2"/>
    </row>
    <row r="158" spans="14:30" x14ac:dyDescent="0.25">
      <c r="Q158" s="2"/>
    </row>
    <row r="159" spans="14:30" x14ac:dyDescent="0.25">
      <c r="Q159" s="2"/>
    </row>
    <row r="160" spans="14:30" x14ac:dyDescent="0.25">
      <c r="Q160" s="2"/>
    </row>
    <row r="161" spans="17:17" x14ac:dyDescent="0.25">
      <c r="Q161" s="2"/>
    </row>
    <row r="162" spans="17:17" x14ac:dyDescent="0.25">
      <c r="Q162" s="2"/>
    </row>
    <row r="163" spans="17:17" x14ac:dyDescent="0.25">
      <c r="Q163" s="2"/>
    </row>
    <row r="164" spans="17:17" x14ac:dyDescent="0.25">
      <c r="Q164" s="2"/>
    </row>
    <row r="165" spans="17:17" x14ac:dyDescent="0.25">
      <c r="Q165" s="2"/>
    </row>
    <row r="166" spans="17:17" x14ac:dyDescent="0.25">
      <c r="Q166" s="2"/>
    </row>
    <row r="167" spans="17:17" x14ac:dyDescent="0.25">
      <c r="Q167" s="2"/>
    </row>
    <row r="168" spans="17:17" x14ac:dyDescent="0.25">
      <c r="Q168" s="2"/>
    </row>
    <row r="169" spans="17:17" x14ac:dyDescent="0.25">
      <c r="Q169" s="2"/>
    </row>
    <row r="170" spans="17:17" x14ac:dyDescent="0.25">
      <c r="Q170" s="2"/>
    </row>
    <row r="171" spans="17:17" x14ac:dyDescent="0.25">
      <c r="Q171" s="2"/>
    </row>
    <row r="172" spans="17:17" x14ac:dyDescent="0.25">
      <c r="Q172" s="2"/>
    </row>
    <row r="173" spans="17:17" x14ac:dyDescent="0.25">
      <c r="Q173" s="2"/>
    </row>
    <row r="174" spans="17:17" x14ac:dyDescent="0.25">
      <c r="Q174" s="2"/>
    </row>
    <row r="175" spans="17:17" x14ac:dyDescent="0.25">
      <c r="Q175" s="2"/>
    </row>
    <row r="176" spans="17:17" x14ac:dyDescent="0.25">
      <c r="Q176" s="2"/>
    </row>
    <row r="177" spans="17:17" x14ac:dyDescent="0.25">
      <c r="Q177" s="2"/>
    </row>
    <row r="178" spans="17:17" x14ac:dyDescent="0.25">
      <c r="Q178" s="2"/>
    </row>
    <row r="179" spans="17:17" x14ac:dyDescent="0.25">
      <c r="Q179" s="2"/>
    </row>
    <row r="180" spans="17:17" x14ac:dyDescent="0.25">
      <c r="Q180" s="2"/>
    </row>
  </sheetData>
  <mergeCells count="2">
    <mergeCell ref="D5:O5"/>
    <mergeCell ref="Q5:AB5"/>
  </mergeCells>
  <pageMargins left="0.7" right="0.7" top="0.75" bottom="0.75" header="0.3" footer="0.3"/>
  <pageSetup scale="46" fitToHeight="5" orientation="landscape" errors="blank" r:id="rId1"/>
  <headerFooter>
    <oddHeader>&amp;R&amp;F
&amp;A</oddHeader>
    <oddFooter>&amp;L&amp;D&amp;C&amp;P&amp;R&amp;T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B67062E5D8FF43B157981DCEEB9381" ma:contentTypeVersion="44" ma:contentTypeDescription="" ma:contentTypeScope="" ma:versionID="55d846ec6ce98667bdbc54aa5a75d7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2021-11-10T08:00:00+00:00</OpenedDate>
    <SignificantOrder xmlns="dc463f71-b30c-4ab2-9473-d307f9d35888">false</SignificantOrder>
    <Date1 xmlns="dc463f71-b30c-4ab2-9473-d307f9d35888">2021-11-10T08:00:00+00:00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AMERICAN DISPOSAL COMPANY, INC.  </CaseCompanyNames>
    <Nickname xmlns="http://schemas.microsoft.com/sharepoint/v3" xsi:nil="true"/>
    <DocketNumber xmlns="dc463f71-b30c-4ab2-9473-d307f9d35888">210872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A402C6-B0E6-4AA8-B9A3-EE6D57FD28D6}"/>
</file>

<file path=customXml/itemProps2.xml><?xml version="1.0" encoding="utf-8"?>
<ds:datastoreItem xmlns:ds="http://schemas.openxmlformats.org/officeDocument/2006/customXml" ds:itemID="{58A49D52-FED8-4C00-8E0C-CAE4D1CF0805}"/>
</file>

<file path=customXml/itemProps3.xml><?xml version="1.0" encoding="utf-8"?>
<ds:datastoreItem xmlns:ds="http://schemas.openxmlformats.org/officeDocument/2006/customXml" ds:itemID="{83BC2C84-D760-4F42-8054-DDCBD0693DFD}"/>
</file>

<file path=customXml/itemProps4.xml><?xml version="1.0" encoding="utf-8"?>
<ds:datastoreItem xmlns:ds="http://schemas.openxmlformats.org/officeDocument/2006/customXml" ds:itemID="{244A4C91-8043-46DE-85E5-037ECB7DC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References</vt:lpstr>
      <vt:lpstr>DF Calculation</vt:lpstr>
      <vt:lpstr>Proposed Rates</vt:lpstr>
      <vt:lpstr>DF Calculation from TG-180955</vt:lpstr>
      <vt:lpstr>Vashon Price Out</vt:lpstr>
      <vt:lpstr>'DF Calculation'!Print_Area</vt:lpstr>
      <vt:lpstr>'DF Calculation from TG-180955'!Print_Area</vt:lpstr>
      <vt:lpstr>'Proposed Rates'!Print_Area</vt:lpstr>
      <vt:lpstr>'Vashon Price Out'!Print_Area</vt:lpstr>
      <vt:lpstr>'DF Calculation'!Print_Titles</vt:lpstr>
      <vt:lpstr>'DF Calculation from TG-180955'!Print_Titles</vt:lpstr>
      <vt:lpstr>'Proposed Rates'!Print_Titles</vt:lpstr>
      <vt:lpstr>'Vashon Price Out'!Print_Titles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Lindsay Waldram</cp:lastModifiedBy>
  <cp:lastPrinted>2021-11-03T15:58:31Z</cp:lastPrinted>
  <dcterms:created xsi:type="dcterms:W3CDTF">2020-11-10T18:03:55Z</dcterms:created>
  <dcterms:modified xsi:type="dcterms:W3CDTF">2021-11-10T23:47:46Z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0x0101006E56B4D1795A2E4DB2F0B01679ED314A0078B67062E5D8FF43B157981DCEEB9381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