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7.xml" ContentType="application/vnd.openxmlformats-officedocument.spreadsheetml.comments+xml"/>
  <Override PartName="/xl/comments9.xml" ContentType="application/vnd.openxmlformats-officedocument.spreadsheetml.comments+xml"/>
  <Override PartName="/xl/comments12.xml" ContentType="application/vnd.openxmlformats-officedocument.spreadsheetml.comments+xml"/>
  <Override PartName="/xl/comments10.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1.xml" ContentType="application/vnd.openxmlformats-officedocument.spreadsheetml.comments+xml"/>
  <Override PartName="/xl/comments16.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19D13523-DB8C-48D3-A8A3-94D3860EFBB5}" xr6:coauthVersionLast="44" xr6:coauthVersionMax="44" xr10:uidLastSave="{00000000-0000-0000-0000-000000000000}"/>
  <bookViews>
    <workbookView xWindow="1860" yWindow="0" windowWidth="13440" windowHeight="16200" firstSheet="3" activeTab="3" xr2:uid="{00000000-000D-0000-FFFF-FFFF00000000}"/>
  </bookViews>
  <sheets>
    <sheet name="Instructions" sheetId="18" r:id="rId1"/>
    <sheet name="UG-190335 Auth Base" sheetId="17" r:id="rId2"/>
    <sheet name="UG-170486 Auth Base" sheetId="1" r:id="rId3"/>
    <sheet name="GDWA 3% test" sheetId="4" r:id="rId4"/>
    <sheet name="Deferral Calc" sheetId="2" r:id="rId5"/>
    <sheet name="Acerno_Cache_XXXXX" sheetId="16" state="veryHidden" r:id="rId6"/>
    <sheet name="Annual Adjustment (Dec Only)" sheetId="19" r:id="rId7"/>
    <sheet name="12.2020 Base Rate Revenue" sheetId="15" r:id="rId8"/>
    <sheet name="11.2020 Base Rate Revenue" sheetId="14" r:id="rId9"/>
    <sheet name="10.2020 Base Rate Revenue" sheetId="13" r:id="rId10"/>
    <sheet name="09.2020 Base Rate Revenue" sheetId="12" r:id="rId11"/>
    <sheet name="08.2020 Base Rate Revenue" sheetId="11" r:id="rId12"/>
    <sheet name="07.2020 Base Rate Revenue" sheetId="10" r:id="rId13"/>
    <sheet name="06.2020 Base Rate Revenue" sheetId="9" r:id="rId14"/>
    <sheet name="05.2020 Base Rate Revenue" sheetId="8" r:id="rId15"/>
    <sheet name="04.2020 Base Rate Revenue" sheetId="7" r:id="rId16"/>
    <sheet name="03.2020 Base Rate Revenue" sheetId="6" r:id="rId17"/>
    <sheet name="02.2020 Base Rate Revenue" sheetId="5" r:id="rId18"/>
    <sheet name="01.2020 Base Rate Revenue" sheetId="3" r:id="rId19"/>
  </sheets>
  <definedNames>
    <definedName name="_xlnm.Print_Area" localSheetId="18">'01.2020 Base Rate Revenue'!$A$1:$I$38,'01.2020 Base Rate Revenue'!$A$40:$J$68,'01.2020 Base Rate Revenue'!$L$1:$W$16</definedName>
    <definedName name="_xlnm.Print_Area" localSheetId="17">'02.2020 Base Rate Revenue'!$A$1:$I$38,'02.2020 Base Rate Revenue'!$A$40:$I$68,'02.2020 Base Rate Revenue'!$L$1:$W$16</definedName>
    <definedName name="_xlnm.Print_Area" localSheetId="16">'03.2020 Base Rate Revenue'!$A$1:$J$38,'03.2020 Base Rate Revenue'!$A$40:$J$68,'03.2020 Base Rate Revenue'!$L$1:$W$16</definedName>
    <definedName name="_xlnm.Print_Area" localSheetId="15">'04.2020 Base Rate Revenue'!$A$1:$J$38,'04.2020 Base Rate Revenue'!$A$40:$J$68,'04.2020 Base Rate Revenue'!$A$70:$J$85,'04.2020 Base Rate Revenue'!$L$1:$W$16</definedName>
    <definedName name="_xlnm.Print_Area" localSheetId="14">'05.2020 Base Rate Revenue'!$A$1:$I$38,'05.2020 Base Rate Revenue'!$A$40:$J$68,'05.2020 Base Rate Revenue'!$A$70:$J$85,'05.2020 Base Rate Revenue'!$L$1:$W$16</definedName>
    <definedName name="_xlnm.Print_Area" localSheetId="13">'06.2020 Base Rate Revenue'!$A$1:$J$38,'06.2020 Base Rate Revenue'!$A$40:$J$68,'06.2020 Base Rate Revenue'!$A$70:$J$86,'06.2020 Base Rate Revenue'!$L$1:$W$16</definedName>
    <definedName name="_xlnm.Print_Area" localSheetId="12">'07.2020 Base Rate Revenue'!$A$1:$J$38,'07.2020 Base Rate Revenue'!$A$40:$J$68,'07.2020 Base Rate Revenue'!$A$70:$I$85,'07.2020 Base Rate Revenue'!$L$1:$W$16</definedName>
    <definedName name="_xlnm.Print_Area" localSheetId="11">'08.2020 Base Rate Revenue'!$A$1:$I$38,'08.2020 Base Rate Revenue'!$A$40:$J$68,'08.2020 Base Rate Revenue'!$A$70:$J$85,'08.2020 Base Rate Revenue'!$L$1:$W$16</definedName>
    <definedName name="_xlnm.Print_Area" localSheetId="10">'09.2020 Base Rate Revenue'!$A$1:$I$38,'09.2020 Base Rate Revenue'!$A$40:$J$68,'09.2020 Base Rate Revenue'!$A$69:$I$85,'09.2020 Base Rate Revenue'!$L$1:$W$16</definedName>
    <definedName name="_xlnm.Print_Area" localSheetId="9">'10.2020 Base Rate Revenue'!$A$1:$I$38,'10.2020 Base Rate Revenue'!$A$40:$J$68,'10.2020 Base Rate Revenue'!$A$70:$I$85,'10.2020 Base Rate Revenue'!$L$1:$W$16</definedName>
    <definedName name="_xlnm.Print_Area" localSheetId="8">'11.2020 Base Rate Revenue'!$A$1:$I$38,'11.2020 Base Rate Revenue'!$A$40:$K$68,'11.2020 Base Rate Revenue'!$A$70:$I$85,'11.2020 Base Rate Revenue'!$L$1:$W$18</definedName>
    <definedName name="_xlnm.Print_Area" localSheetId="7">'12.2020 Base Rate Revenue'!$A$1:$I$38,'12.2020 Base Rate Revenue'!$A$40:$J$68,'12.2020 Base Rate Revenue'!$A$70:$I$85,'12.2020 Base Rate Revenue'!$L$1:$W$18</definedName>
    <definedName name="_xlnm.Print_Area" localSheetId="3">'GDWA 3% test'!$A$1:$O$64</definedName>
    <definedName name="_xlnm.Print_Titles" localSheetId="4">'Deferral Calc'!$1:$7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9" i="4" l="1"/>
  <c r="O27" i="4"/>
  <c r="C8" i="19" l="1"/>
  <c r="C10" i="19"/>
  <c r="O48" i="2"/>
  <c r="O21" i="2"/>
  <c r="M20" i="4" l="1"/>
  <c r="Q44" i="4"/>
  <c r="F22" i="14" l="1"/>
  <c r="F23" i="15"/>
  <c r="F22" i="15" s="1"/>
  <c r="G4" i="15"/>
  <c r="D57" i="15" l="1"/>
  <c r="D58" i="15"/>
  <c r="D59" i="15"/>
  <c r="D60" i="15"/>
  <c r="D62" i="15"/>
  <c r="C58" i="15"/>
  <c r="C59" i="15"/>
  <c r="C60" i="15"/>
  <c r="C61" i="15"/>
  <c r="C62" i="15"/>
  <c r="O42" i="15"/>
  <c r="N42" i="15"/>
  <c r="N43" i="15"/>
  <c r="N44" i="15"/>
  <c r="N45" i="15"/>
  <c r="N46" i="15"/>
  <c r="N47" i="15"/>
  <c r="N48" i="15"/>
  <c r="N49" i="15"/>
  <c r="N50" i="15"/>
  <c r="P50" i="15" s="1"/>
  <c r="N51" i="15"/>
  <c r="Q42" i="15"/>
  <c r="Q53" i="15"/>
  <c r="H84" i="15"/>
  <c r="G84" i="15"/>
  <c r="F84" i="15"/>
  <c r="E84" i="15"/>
  <c r="D84" i="15"/>
  <c r="C84" i="15"/>
  <c r="H82" i="15"/>
  <c r="G82" i="15"/>
  <c r="F82" i="15"/>
  <c r="E82" i="15"/>
  <c r="D82" i="15"/>
  <c r="C82" i="15"/>
  <c r="H80" i="15"/>
  <c r="G80" i="15"/>
  <c r="F80" i="15"/>
  <c r="E80" i="15"/>
  <c r="D80" i="15"/>
  <c r="C80" i="15"/>
  <c r="I79" i="15"/>
  <c r="I78" i="15"/>
  <c r="I77" i="15"/>
  <c r="I76" i="15"/>
  <c r="I84" i="15" s="1"/>
  <c r="I75" i="15"/>
  <c r="I74" i="15"/>
  <c r="O51" i="15"/>
  <c r="Q51" i="15" s="1"/>
  <c r="P51" i="15"/>
  <c r="O50" i="15"/>
  <c r="Q50" i="15" s="1"/>
  <c r="O49" i="15"/>
  <c r="Q49" i="15" s="1"/>
  <c r="P49" i="15"/>
  <c r="P48" i="15"/>
  <c r="O48" i="15"/>
  <c r="Q48" i="15" s="1"/>
  <c r="P45" i="15"/>
  <c r="I45" i="15"/>
  <c r="I46" i="15" s="1"/>
  <c r="H45" i="15"/>
  <c r="H46" i="15" s="1"/>
  <c r="E45" i="15"/>
  <c r="P44" i="15"/>
  <c r="O44" i="15"/>
  <c r="Q44" i="15" s="1"/>
  <c r="I43" i="15"/>
  <c r="H43" i="15"/>
  <c r="E43" i="15"/>
  <c r="F38" i="15"/>
  <c r="E38" i="15"/>
  <c r="D38" i="15"/>
  <c r="C38" i="15"/>
  <c r="E36" i="15"/>
  <c r="D36" i="15"/>
  <c r="C36" i="15"/>
  <c r="E34" i="15"/>
  <c r="D34" i="15"/>
  <c r="C34" i="15"/>
  <c r="G31" i="15"/>
  <c r="G30" i="15"/>
  <c r="G29" i="15"/>
  <c r="G28" i="15"/>
  <c r="G27" i="15"/>
  <c r="G26" i="15"/>
  <c r="G25" i="15"/>
  <c r="G24" i="15"/>
  <c r="G23" i="15"/>
  <c r="G18" i="15"/>
  <c r="F18" i="15"/>
  <c r="E18" i="15"/>
  <c r="C18" i="15"/>
  <c r="G16" i="15"/>
  <c r="F16" i="15"/>
  <c r="E16" i="15"/>
  <c r="C16" i="15"/>
  <c r="F14" i="15"/>
  <c r="E14" i="15"/>
  <c r="C14" i="15"/>
  <c r="I13" i="15"/>
  <c r="H13" i="15"/>
  <c r="E63" i="15" s="1"/>
  <c r="I12" i="15"/>
  <c r="H12" i="15"/>
  <c r="E62" i="15" s="1"/>
  <c r="N11" i="15"/>
  <c r="I11" i="15"/>
  <c r="H11" i="15"/>
  <c r="E61" i="15" s="1"/>
  <c r="Z10" i="15"/>
  <c r="AA10" i="15" s="1"/>
  <c r="Y10" i="15"/>
  <c r="U10" i="15"/>
  <c r="R10" i="15"/>
  <c r="W10" i="15" s="1"/>
  <c r="AB10" i="15" s="1"/>
  <c r="AC10" i="15" s="1"/>
  <c r="I10" i="15"/>
  <c r="H10" i="15"/>
  <c r="E60" i="15" s="1"/>
  <c r="Z9" i="15"/>
  <c r="S9" i="15"/>
  <c r="U9" i="15" s="1"/>
  <c r="P9" i="15"/>
  <c r="R9" i="15" s="1"/>
  <c r="O9" i="15"/>
  <c r="Y9" i="15" s="1"/>
  <c r="AA9" i="15" s="1"/>
  <c r="I9" i="15"/>
  <c r="H9" i="15"/>
  <c r="G59" i="15" s="1"/>
  <c r="Z8" i="15"/>
  <c r="S8" i="15"/>
  <c r="U8" i="15" s="1"/>
  <c r="P8" i="15"/>
  <c r="R8" i="15" s="1"/>
  <c r="O8" i="15"/>
  <c r="I8" i="15"/>
  <c r="H8" i="15"/>
  <c r="G58" i="15" s="1"/>
  <c r="Z7" i="15"/>
  <c r="S7" i="15"/>
  <c r="U7" i="15" s="1"/>
  <c r="P7" i="15"/>
  <c r="R7" i="15" s="1"/>
  <c r="O7" i="15"/>
  <c r="Y7" i="15" s="1"/>
  <c r="AA7" i="15" s="1"/>
  <c r="I7" i="15"/>
  <c r="H7" i="15"/>
  <c r="G57" i="15" s="1"/>
  <c r="Z6" i="15"/>
  <c r="S6" i="15"/>
  <c r="U6" i="15" s="1"/>
  <c r="P6" i="15"/>
  <c r="R6" i="15" s="1"/>
  <c r="W6" i="15" s="1"/>
  <c r="O6" i="15"/>
  <c r="I6" i="15"/>
  <c r="H6" i="15"/>
  <c r="E56" i="15" s="1"/>
  <c r="Z5" i="15"/>
  <c r="S5" i="15"/>
  <c r="U5" i="15" s="1"/>
  <c r="P5" i="15"/>
  <c r="R5" i="15" s="1"/>
  <c r="O5" i="15"/>
  <c r="I5" i="15"/>
  <c r="H5" i="15"/>
  <c r="G55" i="15" s="1"/>
  <c r="Z4" i="15"/>
  <c r="S4" i="15"/>
  <c r="U4" i="15" s="1"/>
  <c r="O4" i="15"/>
  <c r="P4" i="15"/>
  <c r="AC2" i="15"/>
  <c r="Z2" i="15"/>
  <c r="Y2" i="15"/>
  <c r="W2" i="15"/>
  <c r="U2" i="15"/>
  <c r="S2" i="15"/>
  <c r="P2" i="15"/>
  <c r="O2" i="15"/>
  <c r="N2" i="15"/>
  <c r="D63" i="15" l="1"/>
  <c r="C63" i="15"/>
  <c r="D61" i="15"/>
  <c r="C57" i="15"/>
  <c r="C68" i="15" s="1"/>
  <c r="D56" i="15"/>
  <c r="D68" i="15" s="1"/>
  <c r="C56" i="15"/>
  <c r="G56" i="15"/>
  <c r="G38" i="15"/>
  <c r="O11" i="15"/>
  <c r="I82" i="15"/>
  <c r="I80" i="15"/>
  <c r="D55" i="15"/>
  <c r="G14" i="15"/>
  <c r="C55" i="15"/>
  <c r="P42" i="15"/>
  <c r="O43" i="15"/>
  <c r="Q43" i="15" s="1"/>
  <c r="R44" i="15"/>
  <c r="Y5" i="15"/>
  <c r="AA5" i="15" s="1"/>
  <c r="W5" i="15"/>
  <c r="AB5" i="15" s="1"/>
  <c r="AC5" i="15" s="1"/>
  <c r="R51" i="15"/>
  <c r="F60" i="15"/>
  <c r="F62" i="15"/>
  <c r="R48" i="15"/>
  <c r="F56" i="15"/>
  <c r="F58" i="15"/>
  <c r="G60" i="15"/>
  <c r="G62" i="15"/>
  <c r="W8" i="15"/>
  <c r="AB8" i="15" s="1"/>
  <c r="AC8" i="15" s="1"/>
  <c r="E55" i="15"/>
  <c r="R49" i="15"/>
  <c r="H55" i="15"/>
  <c r="F59" i="15"/>
  <c r="F61" i="15"/>
  <c r="F63" i="15"/>
  <c r="I18" i="15"/>
  <c r="W7" i="15"/>
  <c r="AB7" i="15" s="1"/>
  <c r="Y8" i="15"/>
  <c r="AA8" i="15" s="1"/>
  <c r="R50" i="15"/>
  <c r="F57" i="15"/>
  <c r="G61" i="15"/>
  <c r="G63" i="15"/>
  <c r="E57" i="15"/>
  <c r="Y6" i="15"/>
  <c r="AA6" i="15" s="1"/>
  <c r="AB6" i="15" s="1"/>
  <c r="F55" i="15"/>
  <c r="R4" i="15"/>
  <c r="P11" i="15"/>
  <c r="Y4" i="15"/>
  <c r="W9" i="15"/>
  <c r="AB9" i="15" s="1"/>
  <c r="G68" i="15"/>
  <c r="U11" i="15"/>
  <c r="I47" i="15"/>
  <c r="I59" i="15" s="1"/>
  <c r="I58" i="15"/>
  <c r="R42" i="15"/>
  <c r="H47" i="15"/>
  <c r="H59" i="15" s="1"/>
  <c r="H58" i="15"/>
  <c r="P43" i="15"/>
  <c r="R43" i="15" s="1"/>
  <c r="H56" i="15"/>
  <c r="H57" i="15"/>
  <c r="H60" i="15"/>
  <c r="H61" i="15"/>
  <c r="H62" i="15"/>
  <c r="J62" i="15" s="1"/>
  <c r="H30" i="15" s="1"/>
  <c r="I30" i="15" s="1"/>
  <c r="H63" i="15"/>
  <c r="H4" i="15"/>
  <c r="E46" i="15"/>
  <c r="I55" i="15"/>
  <c r="I56" i="15"/>
  <c r="I57" i="15"/>
  <c r="I60" i="15"/>
  <c r="I61" i="15"/>
  <c r="I62" i="15"/>
  <c r="I63" i="15"/>
  <c r="H18" i="15"/>
  <c r="S11" i="15"/>
  <c r="I4" i="15"/>
  <c r="Z14" i="15"/>
  <c r="AB14" i="15" s="1"/>
  <c r="Z15" i="15"/>
  <c r="AB15" i="15" s="1"/>
  <c r="O45" i="15"/>
  <c r="Q45" i="15" s="1"/>
  <c r="R45" i="15" s="1"/>
  <c r="H30" i="2"/>
  <c r="I30" i="2"/>
  <c r="C54" i="15" l="1"/>
  <c r="D54" i="15"/>
  <c r="D66" i="15" s="1"/>
  <c r="E54" i="15"/>
  <c r="J57" i="15"/>
  <c r="H25" i="15" s="1"/>
  <c r="I25" i="15" s="1"/>
  <c r="J56" i="15"/>
  <c r="H24" i="15" s="1"/>
  <c r="J63" i="15"/>
  <c r="H31" i="15" s="1"/>
  <c r="I31" i="15" s="1"/>
  <c r="J61" i="15"/>
  <c r="H29" i="15" s="1"/>
  <c r="I29" i="15" s="1"/>
  <c r="J60" i="15"/>
  <c r="H28" i="15" s="1"/>
  <c r="I28" i="15" s="1"/>
  <c r="AD5" i="15"/>
  <c r="J55" i="15"/>
  <c r="H23" i="15" s="1"/>
  <c r="I23" i="15" s="1"/>
  <c r="H68" i="15"/>
  <c r="F68" i="15"/>
  <c r="F34" i="15"/>
  <c r="F36" i="15"/>
  <c r="G22" i="15"/>
  <c r="I16" i="15"/>
  <c r="I14" i="15"/>
  <c r="I68" i="15"/>
  <c r="R11" i="15"/>
  <c r="R17" i="15" s="1"/>
  <c r="W4" i="15"/>
  <c r="Y11" i="15"/>
  <c r="AA4" i="15"/>
  <c r="AA11" i="15" s="1"/>
  <c r="F54" i="15"/>
  <c r="H54" i="15"/>
  <c r="H16" i="15"/>
  <c r="H14" i="15"/>
  <c r="I54" i="15"/>
  <c r="G54" i="15"/>
  <c r="AD6" i="15"/>
  <c r="AC6" i="15"/>
  <c r="C66" i="15"/>
  <c r="C64" i="15"/>
  <c r="E58" i="15"/>
  <c r="O46" i="15"/>
  <c r="Q46" i="15" s="1"/>
  <c r="P46" i="15"/>
  <c r="E47" i="15"/>
  <c r="W15" i="15"/>
  <c r="AC15" i="15" s="1"/>
  <c r="AD15" i="15" s="1"/>
  <c r="H63" i="14"/>
  <c r="H62" i="14"/>
  <c r="H61" i="14"/>
  <c r="H60" i="14"/>
  <c r="H59" i="14"/>
  <c r="H58" i="14"/>
  <c r="H57" i="14"/>
  <c r="H56" i="14"/>
  <c r="D63" i="14"/>
  <c r="D62" i="14"/>
  <c r="D61" i="14"/>
  <c r="D60" i="14"/>
  <c r="D59" i="14"/>
  <c r="D58" i="14"/>
  <c r="D57" i="14"/>
  <c r="D56" i="14"/>
  <c r="D55" i="14"/>
  <c r="C63" i="14"/>
  <c r="C62" i="14"/>
  <c r="C61" i="14"/>
  <c r="C60" i="14"/>
  <c r="C59" i="14"/>
  <c r="C58" i="14"/>
  <c r="C57" i="14"/>
  <c r="C56" i="14"/>
  <c r="C55" i="14"/>
  <c r="R52" i="13"/>
  <c r="F23" i="14"/>
  <c r="G4" i="14"/>
  <c r="D54" i="14" s="1"/>
  <c r="Q53" i="14"/>
  <c r="O42" i="14"/>
  <c r="N42" i="14"/>
  <c r="N43" i="14"/>
  <c r="N44" i="14"/>
  <c r="N45" i="14"/>
  <c r="N46" i="14"/>
  <c r="N47" i="14"/>
  <c r="N48" i="14"/>
  <c r="N49" i="14"/>
  <c r="N50" i="14"/>
  <c r="N51" i="14"/>
  <c r="H45" i="14"/>
  <c r="H46" i="14" s="1"/>
  <c r="H47" i="14" s="1"/>
  <c r="H43" i="14"/>
  <c r="D64" i="15" l="1"/>
  <c r="J54" i="15"/>
  <c r="H22" i="15" s="1"/>
  <c r="I22" i="15" s="1"/>
  <c r="G66" i="15"/>
  <c r="G64" i="15"/>
  <c r="J58" i="15"/>
  <c r="I66" i="15"/>
  <c r="I64" i="15"/>
  <c r="R46" i="15"/>
  <c r="I24" i="15"/>
  <c r="G36" i="15"/>
  <c r="G34" i="15"/>
  <c r="H66" i="15"/>
  <c r="H64" i="15"/>
  <c r="E59" i="15"/>
  <c r="J59" i="15" s="1"/>
  <c r="H27" i="15" s="1"/>
  <c r="I27" i="15" s="1"/>
  <c r="O47" i="15"/>
  <c r="Q47" i="15" s="1"/>
  <c r="Q52" i="15" s="1"/>
  <c r="P47" i="15"/>
  <c r="P52" i="15" s="1"/>
  <c r="F64" i="15"/>
  <c r="F66" i="15"/>
  <c r="E66" i="15"/>
  <c r="AB4" i="15"/>
  <c r="W14" i="15"/>
  <c r="AC14" i="15" s="1"/>
  <c r="AD14" i="15" s="1"/>
  <c r="W11" i="15"/>
  <c r="C54" i="14"/>
  <c r="H84" i="14"/>
  <c r="G84" i="14"/>
  <c r="F84" i="14"/>
  <c r="E84" i="14"/>
  <c r="D84" i="14"/>
  <c r="C84" i="14"/>
  <c r="I82" i="14"/>
  <c r="H82" i="14"/>
  <c r="G82" i="14"/>
  <c r="F82" i="14"/>
  <c r="E82" i="14"/>
  <c r="D82" i="14"/>
  <c r="C82" i="14"/>
  <c r="H80" i="14"/>
  <c r="G80" i="14"/>
  <c r="F80" i="14"/>
  <c r="E80" i="14"/>
  <c r="D80" i="14"/>
  <c r="C80" i="14"/>
  <c r="I79" i="14"/>
  <c r="I78" i="14"/>
  <c r="I77" i="14"/>
  <c r="I76" i="14"/>
  <c r="I84" i="14" s="1"/>
  <c r="I75" i="14"/>
  <c r="I74" i="14"/>
  <c r="G62" i="14"/>
  <c r="I60" i="14"/>
  <c r="O51" i="14"/>
  <c r="Q51" i="14" s="1"/>
  <c r="P51" i="14"/>
  <c r="O50" i="14"/>
  <c r="Q50" i="14" s="1"/>
  <c r="P50" i="14"/>
  <c r="O49" i="14"/>
  <c r="Q49" i="14" s="1"/>
  <c r="P49" i="14"/>
  <c r="O48" i="14"/>
  <c r="Q48" i="14" s="1"/>
  <c r="P48" i="14"/>
  <c r="I46" i="14"/>
  <c r="I47" i="14" s="1"/>
  <c r="I45" i="14"/>
  <c r="P45" i="14"/>
  <c r="E45" i="14"/>
  <c r="Q44" i="14"/>
  <c r="O44" i="14"/>
  <c r="P44" i="14"/>
  <c r="I43" i="14"/>
  <c r="P43" i="14"/>
  <c r="E43" i="14"/>
  <c r="Q42" i="14"/>
  <c r="P42" i="14"/>
  <c r="F38" i="14"/>
  <c r="E38" i="14"/>
  <c r="D38" i="14"/>
  <c r="C38" i="14"/>
  <c r="E36" i="14"/>
  <c r="D36" i="14"/>
  <c r="C36" i="14"/>
  <c r="E34" i="14"/>
  <c r="D34" i="14"/>
  <c r="C34" i="14"/>
  <c r="G31" i="14"/>
  <c r="G30" i="14"/>
  <c r="G29" i="14"/>
  <c r="G28" i="14"/>
  <c r="G27" i="14"/>
  <c r="G26" i="14"/>
  <c r="G25" i="14"/>
  <c r="G24" i="14"/>
  <c r="G23" i="14"/>
  <c r="F34" i="14"/>
  <c r="G18" i="14"/>
  <c r="F18" i="14"/>
  <c r="E18" i="14"/>
  <c r="C18" i="14"/>
  <c r="F16" i="14"/>
  <c r="E16" i="14"/>
  <c r="C16" i="14"/>
  <c r="F14" i="14"/>
  <c r="E14" i="14"/>
  <c r="C14" i="14"/>
  <c r="I13" i="14"/>
  <c r="H13" i="14"/>
  <c r="E63" i="14" s="1"/>
  <c r="I12" i="14"/>
  <c r="H12" i="14"/>
  <c r="E62" i="14" s="1"/>
  <c r="N11" i="14"/>
  <c r="I11" i="14"/>
  <c r="H11" i="14"/>
  <c r="E61" i="14" s="1"/>
  <c r="Z10" i="14"/>
  <c r="Y10" i="14"/>
  <c r="AA10" i="14" s="1"/>
  <c r="U10" i="14"/>
  <c r="R10" i="14"/>
  <c r="W10" i="14" s="1"/>
  <c r="I10" i="14"/>
  <c r="H10" i="14"/>
  <c r="E60" i="14" s="1"/>
  <c r="Z9" i="14"/>
  <c r="Y9" i="14"/>
  <c r="AA9" i="14" s="1"/>
  <c r="S9" i="14"/>
  <c r="U9" i="14" s="1"/>
  <c r="W9" i="14" s="1"/>
  <c r="AB9" i="14" s="1"/>
  <c r="R9" i="14"/>
  <c r="P9" i="14"/>
  <c r="O9" i="14"/>
  <c r="I9" i="14"/>
  <c r="H9" i="14"/>
  <c r="Z8" i="14"/>
  <c r="S8" i="14"/>
  <c r="U8" i="14" s="1"/>
  <c r="P8" i="14"/>
  <c r="Y8" i="14" s="1"/>
  <c r="AA8" i="14" s="1"/>
  <c r="O8" i="14"/>
  <c r="I8" i="14"/>
  <c r="H8" i="14"/>
  <c r="Z7" i="14"/>
  <c r="S7" i="14"/>
  <c r="U7" i="14" s="1"/>
  <c r="P7" i="14"/>
  <c r="R7" i="14" s="1"/>
  <c r="O7" i="14"/>
  <c r="I7" i="14"/>
  <c r="H7" i="14"/>
  <c r="Z6" i="14"/>
  <c r="S6" i="14"/>
  <c r="U6" i="14" s="1"/>
  <c r="P6" i="14"/>
  <c r="R6" i="14" s="1"/>
  <c r="O6" i="14"/>
  <c r="I6" i="14"/>
  <c r="H6" i="14"/>
  <c r="E56" i="14" s="1"/>
  <c r="Z5" i="14"/>
  <c r="S5" i="14"/>
  <c r="U5" i="14" s="1"/>
  <c r="P5" i="14"/>
  <c r="R5" i="14" s="1"/>
  <c r="O5" i="14"/>
  <c r="I5" i="14"/>
  <c r="H5" i="14"/>
  <c r="H55" i="14" s="1"/>
  <c r="Z4" i="14"/>
  <c r="S4" i="14"/>
  <c r="U4" i="14" s="1"/>
  <c r="P4" i="14"/>
  <c r="O4" i="14"/>
  <c r="I4" i="14"/>
  <c r="H4" i="14"/>
  <c r="AC2" i="14"/>
  <c r="Z2" i="14"/>
  <c r="Y2" i="14"/>
  <c r="W2" i="14"/>
  <c r="U2" i="14"/>
  <c r="S2" i="14"/>
  <c r="P2" i="14"/>
  <c r="O2" i="14"/>
  <c r="N2" i="14"/>
  <c r="R47" i="15" l="1"/>
  <c r="R52" i="15" s="1"/>
  <c r="J66" i="15"/>
  <c r="I36" i="15"/>
  <c r="H26" i="15"/>
  <c r="H34" i="15" s="1"/>
  <c r="J68" i="15"/>
  <c r="AB11" i="15"/>
  <c r="AD11" i="15" s="1"/>
  <c r="AC4" i="15"/>
  <c r="AC11" i="15" s="1"/>
  <c r="AD4" i="15"/>
  <c r="E68" i="15"/>
  <c r="E64" i="15"/>
  <c r="R18" i="15" s="1"/>
  <c r="H36" i="15"/>
  <c r="J64" i="15"/>
  <c r="R53" i="15" s="1"/>
  <c r="G54" i="14"/>
  <c r="H54" i="14"/>
  <c r="H66" i="14" s="1"/>
  <c r="I80" i="14"/>
  <c r="W7" i="14"/>
  <c r="AB7" i="14" s="1"/>
  <c r="P11" i="14"/>
  <c r="Y4" i="14"/>
  <c r="AA4" i="14" s="1"/>
  <c r="R4" i="14"/>
  <c r="W4" i="14" s="1"/>
  <c r="R50" i="14"/>
  <c r="R51" i="14"/>
  <c r="G38" i="14"/>
  <c r="R49" i="14"/>
  <c r="I18" i="14"/>
  <c r="F57" i="14"/>
  <c r="Y7" i="14"/>
  <c r="AA7" i="14" s="1"/>
  <c r="I16" i="14"/>
  <c r="W5" i="14"/>
  <c r="E55" i="14"/>
  <c r="G55" i="14"/>
  <c r="F59" i="14"/>
  <c r="I55" i="14"/>
  <c r="G59" i="14"/>
  <c r="F56" i="14"/>
  <c r="F68" i="14" s="1"/>
  <c r="F60" i="14"/>
  <c r="I62" i="14"/>
  <c r="I59" i="14"/>
  <c r="G56" i="14"/>
  <c r="G60" i="14"/>
  <c r="S11" i="14"/>
  <c r="R44" i="14"/>
  <c r="Z15" i="14"/>
  <c r="AB15" i="14" s="1"/>
  <c r="F58" i="14"/>
  <c r="W6" i="14"/>
  <c r="E57" i="14"/>
  <c r="F55" i="14"/>
  <c r="G58" i="14"/>
  <c r="F62" i="14"/>
  <c r="R42" i="14"/>
  <c r="U11" i="14"/>
  <c r="F54" i="14"/>
  <c r="E54" i="14"/>
  <c r="H16" i="14"/>
  <c r="H14" i="14"/>
  <c r="I54" i="14"/>
  <c r="AB10" i="14"/>
  <c r="AC10" i="14" s="1"/>
  <c r="R48" i="14"/>
  <c r="Z14" i="14"/>
  <c r="AB14" i="14" s="1"/>
  <c r="G57" i="14"/>
  <c r="F36" i="14"/>
  <c r="R8" i="14"/>
  <c r="W8" i="14" s="1"/>
  <c r="AB8" i="14" s="1"/>
  <c r="AC8" i="14" s="1"/>
  <c r="G22" i="14"/>
  <c r="Y6" i="14"/>
  <c r="AA6" i="14" s="1"/>
  <c r="O11" i="14"/>
  <c r="I56" i="14"/>
  <c r="I57" i="14"/>
  <c r="I58" i="14"/>
  <c r="I61" i="14"/>
  <c r="I63" i="14"/>
  <c r="G63" i="14"/>
  <c r="Y5" i="14"/>
  <c r="AA5" i="14" s="1"/>
  <c r="G14" i="14"/>
  <c r="G16" i="14"/>
  <c r="H18" i="14"/>
  <c r="O45" i="14"/>
  <c r="Q45" i="14" s="1"/>
  <c r="R45" i="14" s="1"/>
  <c r="F61" i="14"/>
  <c r="F63" i="14"/>
  <c r="G61" i="14"/>
  <c r="D68" i="14"/>
  <c r="E46" i="14"/>
  <c r="I14" i="14"/>
  <c r="O43" i="14"/>
  <c r="Q43" i="14" s="1"/>
  <c r="R43" i="14" s="1"/>
  <c r="N43" i="13"/>
  <c r="N44" i="13"/>
  <c r="N45" i="13"/>
  <c r="N46" i="13"/>
  <c r="N47" i="13"/>
  <c r="N48" i="13"/>
  <c r="P48" i="13" s="1"/>
  <c r="N49" i="13"/>
  <c r="N50" i="13"/>
  <c r="N51" i="13"/>
  <c r="N42" i="13"/>
  <c r="O42" i="13"/>
  <c r="H55" i="13"/>
  <c r="H56" i="13"/>
  <c r="H57" i="13"/>
  <c r="H58" i="13"/>
  <c r="H59" i="13"/>
  <c r="H60" i="13"/>
  <c r="H61" i="13"/>
  <c r="H62" i="13"/>
  <c r="H63" i="13"/>
  <c r="H54" i="13"/>
  <c r="G4" i="13"/>
  <c r="P4" i="13" s="1"/>
  <c r="R4" i="13" s="1"/>
  <c r="Q53" i="13"/>
  <c r="J45" i="13"/>
  <c r="J46" i="13" s="1"/>
  <c r="J47" i="13" s="1"/>
  <c r="J43" i="13"/>
  <c r="H84" i="13"/>
  <c r="G84" i="13"/>
  <c r="F84" i="13"/>
  <c r="E84" i="13"/>
  <c r="D84" i="13"/>
  <c r="C84" i="13"/>
  <c r="H82" i="13"/>
  <c r="G82" i="13"/>
  <c r="F82" i="13"/>
  <c r="E82" i="13"/>
  <c r="D82" i="13"/>
  <c r="C82" i="13"/>
  <c r="H80" i="13"/>
  <c r="G80" i="13"/>
  <c r="F80" i="13"/>
  <c r="E80" i="13"/>
  <c r="D80" i="13"/>
  <c r="C80" i="13"/>
  <c r="I79" i="13"/>
  <c r="I78" i="13"/>
  <c r="I77" i="13"/>
  <c r="I76" i="13"/>
  <c r="I75" i="13"/>
  <c r="I74" i="13"/>
  <c r="I80" i="13" s="1"/>
  <c r="C59" i="13"/>
  <c r="Q51" i="13"/>
  <c r="O51" i="13"/>
  <c r="P51" i="13"/>
  <c r="R51" i="13" s="1"/>
  <c r="Q50" i="13"/>
  <c r="P50" i="13"/>
  <c r="O50" i="13"/>
  <c r="O49" i="13"/>
  <c r="Q49" i="13" s="1"/>
  <c r="P49" i="13"/>
  <c r="R49" i="13" s="1"/>
  <c r="Q48" i="13"/>
  <c r="O48" i="13"/>
  <c r="O45" i="13"/>
  <c r="Q45" i="13" s="1"/>
  <c r="I45" i="13"/>
  <c r="P45" i="13" s="1"/>
  <c r="H45" i="13"/>
  <c r="H46" i="13" s="1"/>
  <c r="E45" i="13"/>
  <c r="E46" i="13" s="1"/>
  <c r="P44" i="13"/>
  <c r="O44" i="13"/>
  <c r="Q44" i="13" s="1"/>
  <c r="I43" i="13"/>
  <c r="H43" i="13"/>
  <c r="O43" i="13" s="1"/>
  <c r="Q43" i="13" s="1"/>
  <c r="E43" i="13"/>
  <c r="P43" i="13" s="1"/>
  <c r="Q42" i="13"/>
  <c r="F38" i="13"/>
  <c r="E38" i="13"/>
  <c r="D38" i="13"/>
  <c r="C38" i="13"/>
  <c r="E36" i="13"/>
  <c r="D36" i="13"/>
  <c r="C36" i="13"/>
  <c r="E34" i="13"/>
  <c r="D34" i="13"/>
  <c r="C34" i="13"/>
  <c r="G31" i="13"/>
  <c r="G30" i="13"/>
  <c r="G29" i="13"/>
  <c r="G28" i="13"/>
  <c r="G27" i="13"/>
  <c r="G26" i="13"/>
  <c r="G25" i="13"/>
  <c r="G24" i="13"/>
  <c r="F23" i="13"/>
  <c r="F22" i="13" s="1"/>
  <c r="G18" i="13"/>
  <c r="F18" i="13"/>
  <c r="E18" i="13"/>
  <c r="C18" i="13"/>
  <c r="F16" i="13"/>
  <c r="E16" i="13"/>
  <c r="C16" i="13"/>
  <c r="F14" i="13"/>
  <c r="E14" i="13"/>
  <c r="C14" i="13"/>
  <c r="I13" i="13"/>
  <c r="H13" i="13"/>
  <c r="D63" i="13" s="1"/>
  <c r="I12" i="13"/>
  <c r="H12" i="13"/>
  <c r="D62" i="13" s="1"/>
  <c r="N11" i="13"/>
  <c r="I11" i="13"/>
  <c r="H11" i="13"/>
  <c r="D61" i="13" s="1"/>
  <c r="Z10" i="13"/>
  <c r="Y10" i="13"/>
  <c r="AA10" i="13" s="1"/>
  <c r="U10" i="13"/>
  <c r="W10" i="13" s="1"/>
  <c r="AB10" i="13" s="1"/>
  <c r="AC10" i="13" s="1"/>
  <c r="R10" i="13"/>
  <c r="I10" i="13"/>
  <c r="H10" i="13"/>
  <c r="D60" i="13" s="1"/>
  <c r="Z9" i="13"/>
  <c r="S9" i="13"/>
  <c r="U9" i="13" s="1"/>
  <c r="W9" i="13" s="1"/>
  <c r="AB9" i="13" s="1"/>
  <c r="R9" i="13"/>
  <c r="P9" i="13"/>
  <c r="O9" i="13"/>
  <c r="Y9" i="13" s="1"/>
  <c r="AA9" i="13" s="1"/>
  <c r="I9" i="13"/>
  <c r="H9" i="13"/>
  <c r="D59" i="13" s="1"/>
  <c r="Z8" i="13"/>
  <c r="S8" i="13"/>
  <c r="U8" i="13" s="1"/>
  <c r="P8" i="13"/>
  <c r="R8" i="13" s="1"/>
  <c r="O8" i="13"/>
  <c r="I8" i="13"/>
  <c r="H8" i="13"/>
  <c r="D58" i="13" s="1"/>
  <c r="Z7" i="13"/>
  <c r="S7" i="13"/>
  <c r="U7" i="13" s="1"/>
  <c r="P7" i="13"/>
  <c r="R7" i="13" s="1"/>
  <c r="O7" i="13"/>
  <c r="I7" i="13"/>
  <c r="H7" i="13"/>
  <c r="D57" i="13" s="1"/>
  <c r="Z6" i="13"/>
  <c r="S6" i="13"/>
  <c r="U6" i="13" s="1"/>
  <c r="R6" i="13"/>
  <c r="P6" i="13"/>
  <c r="O6" i="13"/>
  <c r="I6" i="13"/>
  <c r="H6" i="13"/>
  <c r="D56" i="13" s="1"/>
  <c r="Z5" i="13"/>
  <c r="S5" i="13"/>
  <c r="U5" i="13" s="1"/>
  <c r="P5" i="13"/>
  <c r="R5" i="13" s="1"/>
  <c r="W5" i="13" s="1"/>
  <c r="O5" i="13"/>
  <c r="I5" i="13"/>
  <c r="H5" i="13"/>
  <c r="D55" i="13" s="1"/>
  <c r="Z4" i="13"/>
  <c r="S4" i="13"/>
  <c r="O4" i="13"/>
  <c r="O11" i="13" s="1"/>
  <c r="AC2" i="13"/>
  <c r="Z2" i="13"/>
  <c r="Y2" i="13"/>
  <c r="W2" i="13"/>
  <c r="U2" i="13"/>
  <c r="S2" i="13"/>
  <c r="P2" i="13"/>
  <c r="O2" i="13"/>
  <c r="N2" i="13"/>
  <c r="R54" i="15" l="1"/>
  <c r="I26" i="15"/>
  <c r="H38" i="15"/>
  <c r="AB5" i="14"/>
  <c r="AC5" i="14" s="1"/>
  <c r="W14" i="14"/>
  <c r="AC14" i="14" s="1"/>
  <c r="AD14" i="14" s="1"/>
  <c r="W15" i="14"/>
  <c r="AC15" i="14" s="1"/>
  <c r="AD15" i="14" s="1"/>
  <c r="AB6" i="14"/>
  <c r="AD6" i="14" s="1"/>
  <c r="R11" i="14"/>
  <c r="R17" i="14" s="1"/>
  <c r="AB4" i="14"/>
  <c r="W11" i="14"/>
  <c r="J60" i="14"/>
  <c r="H28" i="14" s="1"/>
  <c r="I28" i="14" s="1"/>
  <c r="G68" i="14"/>
  <c r="J62" i="14"/>
  <c r="H30" i="14" s="1"/>
  <c r="I30" i="14" s="1"/>
  <c r="D66" i="14"/>
  <c r="D64" i="14"/>
  <c r="C66" i="14"/>
  <c r="C64" i="14"/>
  <c r="J54" i="14"/>
  <c r="I68" i="14"/>
  <c r="J61" i="14"/>
  <c r="H29" i="14" s="1"/>
  <c r="I29" i="14" s="1"/>
  <c r="J57" i="14"/>
  <c r="H25" i="14" s="1"/>
  <c r="I25" i="14" s="1"/>
  <c r="E66" i="14"/>
  <c r="G66" i="14"/>
  <c r="G64" i="14"/>
  <c r="E58" i="14"/>
  <c r="O46" i="14"/>
  <c r="Q46" i="14" s="1"/>
  <c r="E47" i="14"/>
  <c r="C68" i="14"/>
  <c r="J56" i="14"/>
  <c r="G34" i="14"/>
  <c r="G36" i="14"/>
  <c r="F66" i="14"/>
  <c r="F64" i="14"/>
  <c r="AA11" i="14"/>
  <c r="P46" i="14"/>
  <c r="J63" i="14"/>
  <c r="H31" i="14" s="1"/>
  <c r="I31" i="14" s="1"/>
  <c r="J55" i="14"/>
  <c r="H23" i="14" s="1"/>
  <c r="I23" i="14" s="1"/>
  <c r="I66" i="14"/>
  <c r="I64" i="14"/>
  <c r="Y11" i="14"/>
  <c r="I84" i="13"/>
  <c r="R48" i="13"/>
  <c r="I4" i="13"/>
  <c r="I16" i="13" s="1"/>
  <c r="Y7" i="13"/>
  <c r="AA7" i="13" s="1"/>
  <c r="W6" i="13"/>
  <c r="P42" i="13"/>
  <c r="R42" i="13" s="1"/>
  <c r="H4" i="13"/>
  <c r="E54" i="13" s="1"/>
  <c r="C56" i="13"/>
  <c r="W7" i="13"/>
  <c r="AB7" i="13" s="1"/>
  <c r="C63" i="13"/>
  <c r="I55" i="13"/>
  <c r="Z15" i="13"/>
  <c r="AB15" i="13" s="1"/>
  <c r="R50" i="13"/>
  <c r="E56" i="13"/>
  <c r="F59" i="13"/>
  <c r="E63" i="13"/>
  <c r="F56" i="13"/>
  <c r="E60" i="13"/>
  <c r="F63" i="13"/>
  <c r="S11" i="13"/>
  <c r="H68" i="13"/>
  <c r="C61" i="13"/>
  <c r="I18" i="13"/>
  <c r="C57" i="13"/>
  <c r="E61" i="13"/>
  <c r="Y6" i="13"/>
  <c r="AA6" i="13" s="1"/>
  <c r="AB6" i="13" s="1"/>
  <c r="E57" i="13"/>
  <c r="F61" i="13"/>
  <c r="F57" i="13"/>
  <c r="E55" i="13"/>
  <c r="E62" i="13"/>
  <c r="G38" i="13"/>
  <c r="H47" i="13"/>
  <c r="R43" i="13"/>
  <c r="R45" i="13"/>
  <c r="R11" i="13"/>
  <c r="F34" i="13"/>
  <c r="F36" i="13"/>
  <c r="G22" i="13"/>
  <c r="D68" i="13"/>
  <c r="R44" i="13"/>
  <c r="W8" i="13"/>
  <c r="E58" i="13"/>
  <c r="E47" i="13"/>
  <c r="U4" i="13"/>
  <c r="U11" i="13" s="1"/>
  <c r="Y5" i="13"/>
  <c r="AA5" i="13" s="1"/>
  <c r="AB5" i="13" s="1"/>
  <c r="Y8" i="13"/>
  <c r="AA8" i="13" s="1"/>
  <c r="P11" i="13"/>
  <c r="F55" i="13"/>
  <c r="F58" i="13"/>
  <c r="F60" i="13"/>
  <c r="F62" i="13"/>
  <c r="I82" i="13"/>
  <c r="G14" i="13"/>
  <c r="G16" i="13"/>
  <c r="H18" i="13"/>
  <c r="G23" i="13"/>
  <c r="G55" i="13"/>
  <c r="G56" i="13"/>
  <c r="G57" i="13"/>
  <c r="G58" i="13"/>
  <c r="G59" i="13"/>
  <c r="G60" i="13"/>
  <c r="G61" i="13"/>
  <c r="G62" i="13"/>
  <c r="G63" i="13"/>
  <c r="I56" i="13"/>
  <c r="I57" i="13"/>
  <c r="I60" i="13"/>
  <c r="I61" i="13"/>
  <c r="I62" i="13"/>
  <c r="I63" i="13"/>
  <c r="Y4" i="13"/>
  <c r="H14" i="13"/>
  <c r="Z14" i="13"/>
  <c r="AB14" i="13" s="1"/>
  <c r="I46" i="13"/>
  <c r="P46" i="13" s="1"/>
  <c r="C55" i="13"/>
  <c r="C58" i="13"/>
  <c r="C60" i="13"/>
  <c r="C62" i="13"/>
  <c r="G4" i="12"/>
  <c r="I34" i="15" l="1"/>
  <c r="I38" i="15"/>
  <c r="AC6" i="14"/>
  <c r="AD5" i="14"/>
  <c r="AB11" i="14"/>
  <c r="AD11" i="14" s="1"/>
  <c r="AC4" i="14"/>
  <c r="AC11" i="14" s="1"/>
  <c r="AD4" i="14"/>
  <c r="J66" i="14"/>
  <c r="H22" i="14"/>
  <c r="E59" i="14"/>
  <c r="O47" i="14"/>
  <c r="Q47" i="14" s="1"/>
  <c r="Q52" i="14" s="1"/>
  <c r="P47" i="14"/>
  <c r="P52" i="14" s="1"/>
  <c r="H68" i="14"/>
  <c r="J58" i="14"/>
  <c r="H26" i="14" s="1"/>
  <c r="I26" i="14" s="1"/>
  <c r="R46" i="14"/>
  <c r="H24" i="14"/>
  <c r="I14" i="13"/>
  <c r="J56" i="13"/>
  <c r="F54" i="13"/>
  <c r="F64" i="13" s="1"/>
  <c r="D54" i="13"/>
  <c r="D66" i="13" s="1"/>
  <c r="H66" i="13"/>
  <c r="I54" i="13"/>
  <c r="I66" i="13" s="1"/>
  <c r="G54" i="13"/>
  <c r="G64" i="13" s="1"/>
  <c r="E66" i="13"/>
  <c r="C54" i="13"/>
  <c r="C66" i="13" s="1"/>
  <c r="H16" i="13"/>
  <c r="C68" i="13"/>
  <c r="J63" i="13"/>
  <c r="H31" i="13" s="1"/>
  <c r="I31" i="13" s="1"/>
  <c r="AB8" i="13"/>
  <c r="J61" i="13"/>
  <c r="H29" i="13" s="1"/>
  <c r="I29" i="13" s="1"/>
  <c r="F68" i="13"/>
  <c r="R17" i="13"/>
  <c r="W15" i="13"/>
  <c r="AC15" i="13" s="1"/>
  <c r="AD15" i="13" s="1"/>
  <c r="J57" i="13"/>
  <c r="H25" i="13" s="1"/>
  <c r="I25" i="13" s="1"/>
  <c r="G68" i="13"/>
  <c r="AD5" i="13"/>
  <c r="AC5" i="13"/>
  <c r="I64" i="13"/>
  <c r="AC8" i="13"/>
  <c r="J62" i="13"/>
  <c r="H30" i="13" s="1"/>
  <c r="I30" i="13" s="1"/>
  <c r="O46" i="13"/>
  <c r="Q46" i="13" s="1"/>
  <c r="G34" i="13"/>
  <c r="G36" i="13"/>
  <c r="J60" i="13"/>
  <c r="H28" i="13" s="1"/>
  <c r="I28" i="13" s="1"/>
  <c r="J55" i="13"/>
  <c r="H23" i="13" s="1"/>
  <c r="I23" i="13" s="1"/>
  <c r="G66" i="13"/>
  <c r="E59" i="13"/>
  <c r="E68" i="13" s="1"/>
  <c r="P47" i="13"/>
  <c r="P52" i="13" s="1"/>
  <c r="H24" i="13"/>
  <c r="Y11" i="13"/>
  <c r="AA4" i="13"/>
  <c r="AA11" i="13" s="1"/>
  <c r="H64" i="13"/>
  <c r="I47" i="13"/>
  <c r="I59" i="13" s="1"/>
  <c r="I58" i="13"/>
  <c r="J58" i="13" s="1"/>
  <c r="AC6" i="13"/>
  <c r="AD6" i="13"/>
  <c r="W4" i="13"/>
  <c r="N43" i="12"/>
  <c r="P43" i="12" s="1"/>
  <c r="N44" i="12"/>
  <c r="N45" i="12"/>
  <c r="N46" i="12"/>
  <c r="N47" i="12"/>
  <c r="N48" i="12"/>
  <c r="P48" i="12" s="1"/>
  <c r="N49" i="12"/>
  <c r="P49" i="12" s="1"/>
  <c r="N50" i="12"/>
  <c r="N51" i="12"/>
  <c r="O42" i="12"/>
  <c r="Q42" i="12" s="1"/>
  <c r="N42" i="12"/>
  <c r="P42" i="12" s="1"/>
  <c r="Q53" i="12"/>
  <c r="E57" i="12"/>
  <c r="E58" i="12"/>
  <c r="E59" i="12"/>
  <c r="E60" i="12"/>
  <c r="E62" i="12"/>
  <c r="E46" i="12"/>
  <c r="E47" i="12" s="1"/>
  <c r="E45" i="12"/>
  <c r="E43" i="12"/>
  <c r="L30" i="2"/>
  <c r="H84" i="12"/>
  <c r="G84" i="12"/>
  <c r="F84" i="12"/>
  <c r="E84" i="12"/>
  <c r="D84" i="12"/>
  <c r="C84" i="12"/>
  <c r="H82" i="12"/>
  <c r="G82" i="12"/>
  <c r="F82" i="12"/>
  <c r="E82" i="12"/>
  <c r="D82" i="12"/>
  <c r="C82" i="12"/>
  <c r="H80" i="12"/>
  <c r="G80" i="12"/>
  <c r="F80" i="12"/>
  <c r="E80" i="12"/>
  <c r="D80" i="12"/>
  <c r="C80" i="12"/>
  <c r="I79" i="12"/>
  <c r="I78" i="12"/>
  <c r="I77" i="12"/>
  <c r="I76" i="12"/>
  <c r="I75" i="12"/>
  <c r="I74" i="12"/>
  <c r="I82" i="12" s="1"/>
  <c r="G58" i="12"/>
  <c r="O51" i="12"/>
  <c r="Q51" i="12" s="1"/>
  <c r="P51" i="12"/>
  <c r="O50" i="12"/>
  <c r="Q50" i="12" s="1"/>
  <c r="P50" i="12"/>
  <c r="O49" i="12"/>
  <c r="Q49" i="12" s="1"/>
  <c r="O48" i="12"/>
  <c r="Q48" i="12" s="1"/>
  <c r="I45" i="12"/>
  <c r="I46" i="12" s="1"/>
  <c r="H45" i="12"/>
  <c r="O45" i="12" s="1"/>
  <c r="Q45" i="12" s="1"/>
  <c r="Q44" i="12"/>
  <c r="O44" i="12"/>
  <c r="P44" i="12"/>
  <c r="R44" i="12" s="1"/>
  <c r="O43" i="12"/>
  <c r="Q43" i="12" s="1"/>
  <c r="I43" i="12"/>
  <c r="H43" i="12"/>
  <c r="F38" i="12"/>
  <c r="E38" i="12"/>
  <c r="D38" i="12"/>
  <c r="C38" i="12"/>
  <c r="E36" i="12"/>
  <c r="D36" i="12"/>
  <c r="C36" i="12"/>
  <c r="E34" i="12"/>
  <c r="D34" i="12"/>
  <c r="C34" i="12"/>
  <c r="G31" i="12"/>
  <c r="G30" i="12"/>
  <c r="G29" i="12"/>
  <c r="G28" i="12"/>
  <c r="G27" i="12"/>
  <c r="G26" i="12"/>
  <c r="G25" i="12"/>
  <c r="G24" i="12"/>
  <c r="F23" i="12"/>
  <c r="F22" i="12" s="1"/>
  <c r="G18" i="12"/>
  <c r="F18" i="12"/>
  <c r="E18" i="12"/>
  <c r="C18" i="12"/>
  <c r="F16" i="12"/>
  <c r="E16" i="12"/>
  <c r="C16" i="12"/>
  <c r="F14" i="12"/>
  <c r="E14" i="12"/>
  <c r="C14" i="12"/>
  <c r="I13" i="12"/>
  <c r="H13" i="12"/>
  <c r="D63" i="12" s="1"/>
  <c r="I12" i="12"/>
  <c r="H12" i="12"/>
  <c r="D62" i="12" s="1"/>
  <c r="N11" i="12"/>
  <c r="I11" i="12"/>
  <c r="H11" i="12"/>
  <c r="D61" i="12" s="1"/>
  <c r="AA10" i="12"/>
  <c r="Z10" i="12"/>
  <c r="Y10" i="12"/>
  <c r="U10" i="12"/>
  <c r="R10" i="12"/>
  <c r="I10" i="12"/>
  <c r="H10" i="12"/>
  <c r="D60" i="12" s="1"/>
  <c r="Z9" i="12"/>
  <c r="S9" i="12"/>
  <c r="U9" i="12" s="1"/>
  <c r="P9" i="12"/>
  <c r="O9" i="12"/>
  <c r="I9" i="12"/>
  <c r="H9" i="12"/>
  <c r="D59" i="12" s="1"/>
  <c r="Z8" i="12"/>
  <c r="S8" i="12"/>
  <c r="U8" i="12" s="1"/>
  <c r="P8" i="12"/>
  <c r="R8" i="12" s="1"/>
  <c r="W8" i="12" s="1"/>
  <c r="O8" i="12"/>
  <c r="Y8" i="12" s="1"/>
  <c r="AA8" i="12" s="1"/>
  <c r="I8" i="12"/>
  <c r="H8" i="12"/>
  <c r="D58" i="12" s="1"/>
  <c r="Z7" i="12"/>
  <c r="S7" i="12"/>
  <c r="P7" i="12"/>
  <c r="R7" i="12" s="1"/>
  <c r="O7" i="12"/>
  <c r="I7" i="12"/>
  <c r="H7" i="12"/>
  <c r="D57" i="12" s="1"/>
  <c r="Z6" i="12"/>
  <c r="S6" i="12"/>
  <c r="U6" i="12" s="1"/>
  <c r="P6" i="12"/>
  <c r="O6" i="12"/>
  <c r="Y6" i="12" s="1"/>
  <c r="AA6" i="12" s="1"/>
  <c r="I6" i="12"/>
  <c r="H6" i="12"/>
  <c r="D56" i="12" s="1"/>
  <c r="Z5" i="12"/>
  <c r="S5" i="12"/>
  <c r="U5" i="12" s="1"/>
  <c r="P5" i="12"/>
  <c r="R5" i="12" s="1"/>
  <c r="O5" i="12"/>
  <c r="I5" i="12"/>
  <c r="H5" i="12"/>
  <c r="D55" i="12" s="1"/>
  <c r="Z4" i="12"/>
  <c r="S4" i="12"/>
  <c r="U4" i="12" s="1"/>
  <c r="O4" i="12"/>
  <c r="O11" i="12" s="1"/>
  <c r="AC2" i="12"/>
  <c r="Z2" i="12"/>
  <c r="Y2" i="12"/>
  <c r="W2" i="12"/>
  <c r="U2" i="12"/>
  <c r="S2" i="12"/>
  <c r="P2" i="12"/>
  <c r="O2" i="12"/>
  <c r="N2" i="12"/>
  <c r="H64" i="14" l="1"/>
  <c r="I24" i="14"/>
  <c r="H36" i="14"/>
  <c r="I22" i="14"/>
  <c r="E64" i="14"/>
  <c r="R18" i="14" s="1"/>
  <c r="J59" i="14"/>
  <c r="J64" i="14" s="1"/>
  <c r="R53" i="14" s="1"/>
  <c r="R47" i="14"/>
  <c r="R52" i="14" s="1"/>
  <c r="E68" i="14"/>
  <c r="C64" i="13"/>
  <c r="D64" i="13"/>
  <c r="J54" i="13"/>
  <c r="F66" i="13"/>
  <c r="I68" i="13"/>
  <c r="H26" i="13"/>
  <c r="I26" i="13" s="1"/>
  <c r="I24" i="13"/>
  <c r="R46" i="13"/>
  <c r="O47" i="13"/>
  <c r="Q47" i="13" s="1"/>
  <c r="Q52" i="13" s="1"/>
  <c r="AB4" i="13"/>
  <c r="W14" i="13"/>
  <c r="AC14" i="13" s="1"/>
  <c r="AD14" i="13" s="1"/>
  <c r="W11" i="13"/>
  <c r="J59" i="13"/>
  <c r="H27" i="13" s="1"/>
  <c r="I27" i="13" s="1"/>
  <c r="E64" i="13"/>
  <c r="R18" i="13" s="1"/>
  <c r="H22" i="13"/>
  <c r="J66" i="13"/>
  <c r="W10" i="12"/>
  <c r="AB10" i="12" s="1"/>
  <c r="AC10" i="12" s="1"/>
  <c r="E55" i="12"/>
  <c r="E63" i="12"/>
  <c r="E61" i="12"/>
  <c r="G61" i="12"/>
  <c r="Y7" i="12"/>
  <c r="AA7" i="12" s="1"/>
  <c r="E56" i="12"/>
  <c r="G23" i="12"/>
  <c r="I84" i="12"/>
  <c r="I80" i="12"/>
  <c r="R50" i="12"/>
  <c r="H55" i="12"/>
  <c r="R48" i="12"/>
  <c r="R49" i="12"/>
  <c r="G55" i="12"/>
  <c r="G56" i="12"/>
  <c r="I18" i="12"/>
  <c r="H18" i="12"/>
  <c r="I55" i="12"/>
  <c r="G57" i="12"/>
  <c r="G62" i="12"/>
  <c r="Z15" i="12"/>
  <c r="AB15" i="12" s="1"/>
  <c r="R43" i="12"/>
  <c r="R51" i="12"/>
  <c r="G59" i="12"/>
  <c r="G63" i="12"/>
  <c r="S11" i="12"/>
  <c r="Y5" i="12"/>
  <c r="AA5" i="12" s="1"/>
  <c r="Y9" i="12"/>
  <c r="AA9" i="12" s="1"/>
  <c r="G60" i="12"/>
  <c r="G38" i="12"/>
  <c r="W5" i="12"/>
  <c r="AB8" i="12"/>
  <c r="D68" i="12"/>
  <c r="R42" i="12"/>
  <c r="F34" i="12"/>
  <c r="F36" i="12"/>
  <c r="G22" i="12"/>
  <c r="I47" i="12"/>
  <c r="I59" i="12" s="1"/>
  <c r="I58" i="12"/>
  <c r="F55" i="12"/>
  <c r="F56" i="12"/>
  <c r="F57" i="12"/>
  <c r="F58" i="12"/>
  <c r="F59" i="12"/>
  <c r="F60" i="12"/>
  <c r="F61" i="12"/>
  <c r="F62" i="12"/>
  <c r="F63" i="12"/>
  <c r="G14" i="12"/>
  <c r="H4" i="12"/>
  <c r="E54" i="12" s="1"/>
  <c r="E66" i="12" s="1"/>
  <c r="R6" i="12"/>
  <c r="W6" i="12" s="1"/>
  <c r="U7" i="12"/>
  <c r="U11" i="12" s="1"/>
  <c r="R9" i="12"/>
  <c r="W9" i="12" s="1"/>
  <c r="H56" i="12"/>
  <c r="H57" i="12"/>
  <c r="H60" i="12"/>
  <c r="H61" i="12"/>
  <c r="H62" i="12"/>
  <c r="H63" i="12"/>
  <c r="I4" i="12"/>
  <c r="H46" i="12"/>
  <c r="I56" i="12"/>
  <c r="I57" i="12"/>
  <c r="I60" i="12"/>
  <c r="I61" i="12"/>
  <c r="I62" i="12"/>
  <c r="I63" i="12"/>
  <c r="P4" i="12"/>
  <c r="C55" i="12"/>
  <c r="C56" i="12"/>
  <c r="C57" i="12"/>
  <c r="C58" i="12"/>
  <c r="C59" i="12"/>
  <c r="C60" i="12"/>
  <c r="J60" i="12" s="1"/>
  <c r="H28" i="12" s="1"/>
  <c r="I28" i="12" s="1"/>
  <c r="C61" i="12"/>
  <c r="C62" i="12"/>
  <c r="C63" i="12"/>
  <c r="G16" i="12"/>
  <c r="P45" i="12"/>
  <c r="R45" i="12" s="1"/>
  <c r="G4" i="11"/>
  <c r="R54" i="14" l="1"/>
  <c r="I36" i="14"/>
  <c r="H27" i="14"/>
  <c r="J68" i="14"/>
  <c r="J64" i="13"/>
  <c r="R53" i="13" s="1"/>
  <c r="J68" i="13"/>
  <c r="R47" i="13"/>
  <c r="H38" i="13"/>
  <c r="H34" i="13"/>
  <c r="H36" i="13"/>
  <c r="I22" i="13"/>
  <c r="I38" i="13"/>
  <c r="AC4" i="13"/>
  <c r="AC11" i="13" s="1"/>
  <c r="AB11" i="13"/>
  <c r="AD11" i="13" s="1"/>
  <c r="AD4" i="13"/>
  <c r="J57" i="12"/>
  <c r="H25" i="12" s="1"/>
  <c r="I25" i="12" s="1"/>
  <c r="AB5" i="12"/>
  <c r="AD5" i="12" s="1"/>
  <c r="J55" i="12"/>
  <c r="H23" i="12" s="1"/>
  <c r="I23" i="12" s="1"/>
  <c r="AB9" i="12"/>
  <c r="G68" i="12"/>
  <c r="R4" i="12"/>
  <c r="Y4" i="12"/>
  <c r="P11" i="12"/>
  <c r="F54" i="12"/>
  <c r="D54" i="12"/>
  <c r="C54" i="12"/>
  <c r="I54" i="12"/>
  <c r="H16" i="12"/>
  <c r="H14" i="12"/>
  <c r="G54" i="12"/>
  <c r="H54" i="12"/>
  <c r="W7" i="12"/>
  <c r="AB7" i="12" s="1"/>
  <c r="I16" i="12"/>
  <c r="I14" i="12"/>
  <c r="AB6" i="12"/>
  <c r="F68" i="12"/>
  <c r="AD8" i="12"/>
  <c r="AC8" i="12"/>
  <c r="C68" i="12"/>
  <c r="J56" i="12"/>
  <c r="J63" i="12"/>
  <c r="H31" i="12" s="1"/>
  <c r="I31" i="12" s="1"/>
  <c r="J62" i="12"/>
  <c r="H30" i="12" s="1"/>
  <c r="I30" i="12" s="1"/>
  <c r="P46" i="12"/>
  <c r="I68" i="12"/>
  <c r="J61" i="12"/>
  <c r="H29" i="12" s="1"/>
  <c r="I29" i="12" s="1"/>
  <c r="Z14" i="12"/>
  <c r="AB14" i="12" s="1"/>
  <c r="O46" i="12"/>
  <c r="Q46" i="12" s="1"/>
  <c r="H47" i="12"/>
  <c r="H58" i="12"/>
  <c r="G36" i="12"/>
  <c r="G34" i="12"/>
  <c r="N44" i="11"/>
  <c r="P44" i="11" s="1"/>
  <c r="N48" i="11"/>
  <c r="P48" i="11" s="1"/>
  <c r="N49" i="11"/>
  <c r="P49" i="11" s="1"/>
  <c r="R49" i="11" s="1"/>
  <c r="N50" i="11"/>
  <c r="P50" i="11" s="1"/>
  <c r="N51" i="11"/>
  <c r="P51" i="11" s="1"/>
  <c r="N42" i="11"/>
  <c r="P42" i="11" s="1"/>
  <c r="E56" i="11"/>
  <c r="E57" i="11"/>
  <c r="E60" i="11"/>
  <c r="E61" i="11"/>
  <c r="E62" i="11"/>
  <c r="E63" i="11"/>
  <c r="E54" i="11"/>
  <c r="J46" i="11"/>
  <c r="J47" i="11" s="1"/>
  <c r="J45" i="11"/>
  <c r="N45" i="11" s="1"/>
  <c r="P45" i="11" s="1"/>
  <c r="J43" i="11"/>
  <c r="N43" i="11" s="1"/>
  <c r="P43" i="11" s="1"/>
  <c r="O42" i="11"/>
  <c r="Q42" i="11" s="1"/>
  <c r="H84" i="11"/>
  <c r="G84" i="11"/>
  <c r="F84" i="11"/>
  <c r="E84" i="11"/>
  <c r="D84" i="11"/>
  <c r="C84" i="11"/>
  <c r="H82" i="11"/>
  <c r="G82" i="11"/>
  <c r="F82" i="11"/>
  <c r="E82" i="11"/>
  <c r="D82" i="11"/>
  <c r="C82" i="11"/>
  <c r="H80" i="11"/>
  <c r="G80" i="11"/>
  <c r="F80" i="11"/>
  <c r="E80" i="11"/>
  <c r="D80" i="11"/>
  <c r="C80" i="11"/>
  <c r="I79" i="11"/>
  <c r="I78" i="11"/>
  <c r="I77" i="11"/>
  <c r="I76" i="11"/>
  <c r="I75" i="11"/>
  <c r="I74" i="11"/>
  <c r="D59" i="11"/>
  <c r="Q51" i="11"/>
  <c r="O51" i="11"/>
  <c r="Q50" i="11"/>
  <c r="O50" i="11"/>
  <c r="Q49" i="11"/>
  <c r="O49" i="11"/>
  <c r="Q48" i="11"/>
  <c r="O48" i="11"/>
  <c r="I46" i="11"/>
  <c r="I47" i="11" s="1"/>
  <c r="I59" i="11" s="1"/>
  <c r="I45" i="11"/>
  <c r="H45" i="11"/>
  <c r="H46" i="11" s="1"/>
  <c r="O44" i="11"/>
  <c r="Q44" i="11" s="1"/>
  <c r="I43" i="11"/>
  <c r="H43" i="11"/>
  <c r="O43" i="11" s="1"/>
  <c r="Q43" i="11" s="1"/>
  <c r="F38" i="11"/>
  <c r="E38" i="11"/>
  <c r="D38" i="11"/>
  <c r="C38" i="11"/>
  <c r="E36" i="11"/>
  <c r="D36" i="11"/>
  <c r="C36" i="11"/>
  <c r="E34" i="11"/>
  <c r="D34" i="11"/>
  <c r="C34" i="11"/>
  <c r="G31" i="11"/>
  <c r="G30" i="11"/>
  <c r="G29" i="11"/>
  <c r="G28" i="11"/>
  <c r="G27" i="11"/>
  <c r="G26" i="11"/>
  <c r="G25" i="11"/>
  <c r="G24" i="11"/>
  <c r="F23" i="11"/>
  <c r="F22" i="11" s="1"/>
  <c r="F36" i="11" s="1"/>
  <c r="G18" i="11"/>
  <c r="F18" i="11"/>
  <c r="E18" i="11"/>
  <c r="C18" i="11"/>
  <c r="G16" i="11"/>
  <c r="F16" i="11"/>
  <c r="E16" i="11"/>
  <c r="C16" i="11"/>
  <c r="G14" i="11"/>
  <c r="F14" i="11"/>
  <c r="E14" i="11"/>
  <c r="C14" i="11"/>
  <c r="I13" i="11"/>
  <c r="H13" i="11"/>
  <c r="H63" i="11" s="1"/>
  <c r="I12" i="11"/>
  <c r="H12" i="11"/>
  <c r="G62" i="11" s="1"/>
  <c r="N11" i="11"/>
  <c r="I11" i="11"/>
  <c r="H11" i="11"/>
  <c r="I61" i="11" s="1"/>
  <c r="Z10" i="11"/>
  <c r="Y10" i="11"/>
  <c r="AA10" i="11" s="1"/>
  <c r="U10" i="11"/>
  <c r="R10" i="11"/>
  <c r="W10" i="11" s="1"/>
  <c r="I10" i="11"/>
  <c r="H10" i="11"/>
  <c r="G60" i="11" s="1"/>
  <c r="Z9" i="11"/>
  <c r="S9" i="11"/>
  <c r="P9" i="11"/>
  <c r="R9" i="11" s="1"/>
  <c r="O9" i="11"/>
  <c r="I9" i="11"/>
  <c r="H9" i="11"/>
  <c r="C59" i="11" s="1"/>
  <c r="Z8" i="11"/>
  <c r="S8" i="11"/>
  <c r="R8" i="11"/>
  <c r="P8" i="11"/>
  <c r="O8" i="11"/>
  <c r="I8" i="11"/>
  <c r="H8" i="11"/>
  <c r="I58" i="11" s="1"/>
  <c r="Z7" i="11"/>
  <c r="S7" i="11"/>
  <c r="U7" i="11" s="1"/>
  <c r="R7" i="11"/>
  <c r="P7" i="11"/>
  <c r="O7" i="11"/>
  <c r="I7" i="11"/>
  <c r="H7" i="11"/>
  <c r="C57" i="11" s="1"/>
  <c r="Z6" i="11"/>
  <c r="S6" i="11"/>
  <c r="P6" i="11"/>
  <c r="R6" i="11" s="1"/>
  <c r="O6" i="11"/>
  <c r="I6" i="11"/>
  <c r="H6" i="11"/>
  <c r="G56" i="11" s="1"/>
  <c r="Z5" i="11"/>
  <c r="S5" i="11"/>
  <c r="U5" i="11" s="1"/>
  <c r="P5" i="11"/>
  <c r="R5" i="11" s="1"/>
  <c r="O5" i="11"/>
  <c r="I5" i="11"/>
  <c r="H5" i="11"/>
  <c r="H55" i="11" s="1"/>
  <c r="Z4" i="11"/>
  <c r="S4" i="11"/>
  <c r="P4" i="11"/>
  <c r="R4" i="11" s="1"/>
  <c r="O4" i="11"/>
  <c r="I4" i="11"/>
  <c r="H4" i="11"/>
  <c r="I54" i="11" s="1"/>
  <c r="AC2" i="11"/>
  <c r="Z2" i="11"/>
  <c r="Y2" i="11"/>
  <c r="W2" i="11"/>
  <c r="U2" i="11"/>
  <c r="S2" i="11"/>
  <c r="P2" i="11"/>
  <c r="O2" i="11"/>
  <c r="N2" i="11"/>
  <c r="I27" i="14" l="1"/>
  <c r="H38" i="14"/>
  <c r="H34" i="14"/>
  <c r="R54" i="13"/>
  <c r="I34" i="13"/>
  <c r="I36" i="13"/>
  <c r="W15" i="12"/>
  <c r="AC15" i="12" s="1"/>
  <c r="AD15" i="12" s="1"/>
  <c r="R46" i="12"/>
  <c r="AC5" i="12"/>
  <c r="Y11" i="12"/>
  <c r="AA4" i="12"/>
  <c r="AA11" i="12" s="1"/>
  <c r="H24" i="12"/>
  <c r="I66" i="12"/>
  <c r="I64" i="12"/>
  <c r="R11" i="12"/>
  <c r="R17" i="12" s="1"/>
  <c r="W4" i="12"/>
  <c r="C66" i="12"/>
  <c r="C64" i="12"/>
  <c r="J54" i="12"/>
  <c r="J59" i="12"/>
  <c r="H27" i="12" s="1"/>
  <c r="I27" i="12" s="1"/>
  <c r="P47" i="12"/>
  <c r="D66" i="12"/>
  <c r="D64" i="12"/>
  <c r="O47" i="12"/>
  <c r="Q47" i="12" s="1"/>
  <c r="Q52" i="12" s="1"/>
  <c r="H59" i="12"/>
  <c r="H68" i="12" s="1"/>
  <c r="F66" i="12"/>
  <c r="F64" i="12"/>
  <c r="H66" i="12"/>
  <c r="H64" i="12"/>
  <c r="J58" i="12"/>
  <c r="H26" i="12" s="1"/>
  <c r="I26" i="12" s="1"/>
  <c r="G66" i="12"/>
  <c r="G64" i="12"/>
  <c r="AD6" i="12"/>
  <c r="AC6" i="12"/>
  <c r="N47" i="11"/>
  <c r="P47" i="11" s="1"/>
  <c r="P52" i="11" s="1"/>
  <c r="H47" i="11"/>
  <c r="O46" i="11"/>
  <c r="Q46" i="11" s="1"/>
  <c r="R43" i="11"/>
  <c r="S11" i="11"/>
  <c r="I84" i="11"/>
  <c r="E59" i="11"/>
  <c r="F34" i="11"/>
  <c r="O45" i="11"/>
  <c r="Q45" i="11" s="1"/>
  <c r="R45" i="11" s="1"/>
  <c r="E58" i="11"/>
  <c r="R48" i="11"/>
  <c r="Y8" i="11"/>
  <c r="AA8" i="11" s="1"/>
  <c r="F59" i="11"/>
  <c r="N46" i="11"/>
  <c r="P46" i="11" s="1"/>
  <c r="E55" i="11"/>
  <c r="E66" i="11" s="1"/>
  <c r="AB10" i="11"/>
  <c r="AC10" i="11" s="1"/>
  <c r="I62" i="11"/>
  <c r="R44" i="11"/>
  <c r="O11" i="11"/>
  <c r="I82" i="11"/>
  <c r="R51" i="11"/>
  <c r="I80" i="11"/>
  <c r="G22" i="11"/>
  <c r="I18" i="11"/>
  <c r="G23" i="11"/>
  <c r="Y9" i="11"/>
  <c r="AA9" i="11" s="1"/>
  <c r="I16" i="11"/>
  <c r="C63" i="11"/>
  <c r="D63" i="11"/>
  <c r="I63" i="11"/>
  <c r="P11" i="11"/>
  <c r="W7" i="11"/>
  <c r="W5" i="11"/>
  <c r="R11" i="11"/>
  <c r="G55" i="11"/>
  <c r="C56" i="11"/>
  <c r="D56" i="11"/>
  <c r="G59" i="11"/>
  <c r="Z15" i="11"/>
  <c r="AB15" i="11" s="1"/>
  <c r="I56" i="11"/>
  <c r="Z14" i="11"/>
  <c r="AB14" i="11" s="1"/>
  <c r="Y5" i="11"/>
  <c r="AA5" i="11" s="1"/>
  <c r="G54" i="11"/>
  <c r="C58" i="11"/>
  <c r="G61" i="11"/>
  <c r="C54" i="11"/>
  <c r="C66" i="11" s="1"/>
  <c r="H56" i="11"/>
  <c r="Y7" i="11"/>
  <c r="AA7" i="11" s="1"/>
  <c r="F54" i="11"/>
  <c r="F60" i="11"/>
  <c r="H54" i="11"/>
  <c r="H66" i="11" s="1"/>
  <c r="D58" i="11"/>
  <c r="H62" i="11"/>
  <c r="U8" i="11"/>
  <c r="W8" i="11" s="1"/>
  <c r="I55" i="11"/>
  <c r="I66" i="11" s="1"/>
  <c r="H60" i="11"/>
  <c r="U6" i="11"/>
  <c r="W6" i="11" s="1"/>
  <c r="H14" i="11"/>
  <c r="H18" i="11"/>
  <c r="C68" i="11"/>
  <c r="D57" i="11"/>
  <c r="I60" i="11"/>
  <c r="C62" i="11"/>
  <c r="U4" i="11"/>
  <c r="I14" i="11"/>
  <c r="C55" i="11"/>
  <c r="F58" i="11"/>
  <c r="C61" i="11"/>
  <c r="D62" i="11"/>
  <c r="Y6" i="11"/>
  <c r="AA6" i="11" s="1"/>
  <c r="U9" i="11"/>
  <c r="W9" i="11" s="1"/>
  <c r="H16" i="11"/>
  <c r="D55" i="11"/>
  <c r="F57" i="11"/>
  <c r="G58" i="11"/>
  <c r="C60" i="11"/>
  <c r="D61" i="11"/>
  <c r="F63" i="11"/>
  <c r="Y4" i="11"/>
  <c r="D54" i="11"/>
  <c r="F56" i="11"/>
  <c r="G57" i="11"/>
  <c r="D60" i="11"/>
  <c r="F62" i="11"/>
  <c r="G63" i="11"/>
  <c r="R50" i="11"/>
  <c r="F55" i="11"/>
  <c r="H57" i="11"/>
  <c r="F61" i="11"/>
  <c r="H61" i="11"/>
  <c r="I57" i="11"/>
  <c r="G38" i="11"/>
  <c r="R42" i="11"/>
  <c r="O47" i="11"/>
  <c r="Q47" i="11" s="1"/>
  <c r="Q52" i="11" s="1"/>
  <c r="H59" i="11"/>
  <c r="H58" i="11"/>
  <c r="G4" i="10"/>
  <c r="I34" i="14" l="1"/>
  <c r="I38" i="14"/>
  <c r="E64" i="12"/>
  <c r="R18" i="12" s="1"/>
  <c r="AB4" i="12"/>
  <c r="W14" i="12"/>
  <c r="AC14" i="12" s="1"/>
  <c r="AD14" i="12" s="1"/>
  <c r="W11" i="12"/>
  <c r="E68" i="12"/>
  <c r="R47" i="12"/>
  <c r="R52" i="12" s="1"/>
  <c r="P52" i="12"/>
  <c r="H22" i="12"/>
  <c r="J66" i="12"/>
  <c r="J64" i="12"/>
  <c r="R53" i="12" s="1"/>
  <c r="H38" i="12"/>
  <c r="I24" i="12"/>
  <c r="I38" i="12" s="1"/>
  <c r="J68" i="12"/>
  <c r="AB8" i="11"/>
  <c r="AD8" i="11" s="1"/>
  <c r="R46" i="11"/>
  <c r="D68" i="11"/>
  <c r="AB5" i="11"/>
  <c r="AC5" i="11" s="1"/>
  <c r="G36" i="11"/>
  <c r="G34" i="11"/>
  <c r="I68" i="11"/>
  <c r="AB7" i="11"/>
  <c r="J54" i="11"/>
  <c r="H22" i="11" s="1"/>
  <c r="I22" i="11" s="1"/>
  <c r="F66" i="11"/>
  <c r="C64" i="11"/>
  <c r="AB9" i="11"/>
  <c r="J58" i="11"/>
  <c r="H26" i="11" s="1"/>
  <c r="I26" i="11" s="1"/>
  <c r="J63" i="11"/>
  <c r="H31" i="11" s="1"/>
  <c r="I31" i="11" s="1"/>
  <c r="F64" i="11"/>
  <c r="I64" i="11"/>
  <c r="J57" i="11"/>
  <c r="H25" i="11" s="1"/>
  <c r="I25" i="11" s="1"/>
  <c r="D64" i="11"/>
  <c r="J60" i="11"/>
  <c r="H28" i="11" s="1"/>
  <c r="I28" i="11" s="1"/>
  <c r="J55" i="11"/>
  <c r="H23" i="11" s="1"/>
  <c r="I23" i="11" s="1"/>
  <c r="G68" i="11"/>
  <c r="J59" i="11"/>
  <c r="H27" i="11" s="1"/>
  <c r="I27" i="11" s="1"/>
  <c r="H68" i="11"/>
  <c r="J56" i="11"/>
  <c r="H24" i="11" s="1"/>
  <c r="G66" i="11"/>
  <c r="H64" i="11"/>
  <c r="J61" i="11"/>
  <c r="H29" i="11" s="1"/>
  <c r="I29" i="11" s="1"/>
  <c r="AA4" i="11"/>
  <c r="AA11" i="11" s="1"/>
  <c r="Y11" i="11"/>
  <c r="W15" i="11"/>
  <c r="G64" i="11"/>
  <c r="U11" i="11"/>
  <c r="R17" i="11" s="1"/>
  <c r="W4" i="11"/>
  <c r="F68" i="11"/>
  <c r="AC8" i="11"/>
  <c r="J62" i="11"/>
  <c r="H30" i="11" s="1"/>
  <c r="I30" i="11" s="1"/>
  <c r="AB6" i="11"/>
  <c r="E64" i="11"/>
  <c r="R18" i="11" s="1"/>
  <c r="D66" i="11"/>
  <c r="E68" i="11"/>
  <c r="R47" i="11"/>
  <c r="R52" i="11" s="1"/>
  <c r="H84" i="10"/>
  <c r="G84" i="10"/>
  <c r="F84" i="10"/>
  <c r="E84" i="10"/>
  <c r="D84" i="10"/>
  <c r="C84" i="10"/>
  <c r="H82" i="10"/>
  <c r="G82" i="10"/>
  <c r="F82" i="10"/>
  <c r="E82" i="10"/>
  <c r="D82" i="10"/>
  <c r="C82" i="10"/>
  <c r="H80" i="10"/>
  <c r="G80" i="10"/>
  <c r="F80" i="10"/>
  <c r="E80" i="10"/>
  <c r="D80" i="10"/>
  <c r="C80" i="10"/>
  <c r="I79" i="10"/>
  <c r="I78" i="10"/>
  <c r="I77" i="10"/>
  <c r="I76" i="10"/>
  <c r="I75" i="10"/>
  <c r="I74" i="10"/>
  <c r="I82" i="10" s="1"/>
  <c r="O51" i="10"/>
  <c r="Q51" i="10" s="1"/>
  <c r="N51" i="10"/>
  <c r="P51" i="10" s="1"/>
  <c r="Q50" i="10"/>
  <c r="P50" i="10"/>
  <c r="O50" i="10"/>
  <c r="N50" i="10"/>
  <c r="O49" i="10"/>
  <c r="Q49" i="10" s="1"/>
  <c r="N49" i="10"/>
  <c r="P49" i="10" s="1"/>
  <c r="Q48" i="10"/>
  <c r="O48" i="10"/>
  <c r="N48" i="10"/>
  <c r="P48" i="10" s="1"/>
  <c r="I45" i="10"/>
  <c r="I46" i="10" s="1"/>
  <c r="H45" i="10"/>
  <c r="H46" i="10" s="1"/>
  <c r="O44" i="10"/>
  <c r="Q44" i="10" s="1"/>
  <c r="N44" i="10"/>
  <c r="P44" i="10" s="1"/>
  <c r="R44" i="10" s="1"/>
  <c r="I43" i="10"/>
  <c r="H43" i="10"/>
  <c r="O43" i="10" s="1"/>
  <c r="Q43" i="10" s="1"/>
  <c r="P42" i="10"/>
  <c r="O42" i="10"/>
  <c r="Q42" i="10" s="1"/>
  <c r="N42" i="10"/>
  <c r="F38" i="10"/>
  <c r="E38" i="10"/>
  <c r="D38" i="10"/>
  <c r="C38" i="10"/>
  <c r="E36" i="10"/>
  <c r="D36" i="10"/>
  <c r="C36" i="10"/>
  <c r="E34" i="10"/>
  <c r="D34" i="10"/>
  <c r="C34" i="10"/>
  <c r="G31" i="10"/>
  <c r="G30" i="10"/>
  <c r="G29" i="10"/>
  <c r="G28" i="10"/>
  <c r="G27" i="10"/>
  <c r="G26" i="10"/>
  <c r="G25" i="10"/>
  <c r="G24" i="10"/>
  <c r="F23" i="10"/>
  <c r="G18" i="10"/>
  <c r="F18" i="10"/>
  <c r="E18" i="10"/>
  <c r="C18" i="10"/>
  <c r="F16" i="10"/>
  <c r="E16" i="10"/>
  <c r="C16" i="10"/>
  <c r="F14" i="10"/>
  <c r="E14" i="10"/>
  <c r="C14" i="10"/>
  <c r="I13" i="10"/>
  <c r="H13" i="10"/>
  <c r="E63" i="10" s="1"/>
  <c r="I12" i="10"/>
  <c r="H12" i="10"/>
  <c r="E62" i="10" s="1"/>
  <c r="N11" i="10"/>
  <c r="I11" i="10"/>
  <c r="H11" i="10"/>
  <c r="E61" i="10" s="1"/>
  <c r="Z10" i="10"/>
  <c r="Y10" i="10"/>
  <c r="AA10" i="10" s="1"/>
  <c r="U10" i="10"/>
  <c r="R10" i="10"/>
  <c r="I10" i="10"/>
  <c r="H10" i="10"/>
  <c r="E60" i="10" s="1"/>
  <c r="Z9" i="10"/>
  <c r="S9" i="10"/>
  <c r="U9" i="10" s="1"/>
  <c r="P9" i="10"/>
  <c r="R9" i="10" s="1"/>
  <c r="O9" i="10"/>
  <c r="I9" i="10"/>
  <c r="H9" i="10"/>
  <c r="E59" i="10" s="1"/>
  <c r="Z8" i="10"/>
  <c r="S8" i="10"/>
  <c r="U8" i="10" s="1"/>
  <c r="P8" i="10"/>
  <c r="R8" i="10" s="1"/>
  <c r="O8" i="10"/>
  <c r="I8" i="10"/>
  <c r="H8" i="10"/>
  <c r="E58" i="10" s="1"/>
  <c r="Z7" i="10"/>
  <c r="S7" i="10"/>
  <c r="P7" i="10"/>
  <c r="R7" i="10" s="1"/>
  <c r="O7" i="10"/>
  <c r="I7" i="10"/>
  <c r="H7" i="10"/>
  <c r="E57" i="10" s="1"/>
  <c r="Z6" i="10"/>
  <c r="S6" i="10"/>
  <c r="U6" i="10" s="1"/>
  <c r="P6" i="10"/>
  <c r="R6" i="10" s="1"/>
  <c r="O6" i="10"/>
  <c r="I6" i="10"/>
  <c r="H6" i="10"/>
  <c r="E56" i="10" s="1"/>
  <c r="Z5" i="10"/>
  <c r="S5" i="10"/>
  <c r="P5" i="10"/>
  <c r="R5" i="10" s="1"/>
  <c r="O5" i="10"/>
  <c r="I5" i="10"/>
  <c r="H5" i="10"/>
  <c r="E55" i="10" s="1"/>
  <c r="Z4" i="10"/>
  <c r="S4" i="10"/>
  <c r="U4" i="10" s="1"/>
  <c r="P4" i="10"/>
  <c r="O4" i="10"/>
  <c r="I4" i="10"/>
  <c r="H4" i="10"/>
  <c r="F54" i="10" s="1"/>
  <c r="G16" i="10"/>
  <c r="AC2" i="10"/>
  <c r="Z2" i="10"/>
  <c r="Y2" i="10"/>
  <c r="W2" i="10"/>
  <c r="U2" i="10"/>
  <c r="S2" i="10"/>
  <c r="P2" i="10"/>
  <c r="O2" i="10"/>
  <c r="N2" i="10"/>
  <c r="AB11" i="12" l="1"/>
  <c r="AD11" i="12" s="1"/>
  <c r="AD4" i="12"/>
  <c r="AC4" i="12"/>
  <c r="AC11" i="12" s="1"/>
  <c r="R54" i="12"/>
  <c r="H34" i="12"/>
  <c r="H36" i="12"/>
  <c r="I22" i="12"/>
  <c r="AC15" i="11"/>
  <c r="AD15" i="11" s="1"/>
  <c r="K80" i="2"/>
  <c r="K79" i="2"/>
  <c r="R50" i="10"/>
  <c r="I84" i="10"/>
  <c r="AD5" i="11"/>
  <c r="W10" i="10"/>
  <c r="J68" i="11"/>
  <c r="H36" i="11"/>
  <c r="J66" i="11"/>
  <c r="H34" i="11"/>
  <c r="W14" i="11"/>
  <c r="AB4" i="11"/>
  <c r="W11" i="11"/>
  <c r="J64" i="11"/>
  <c r="R53" i="11" s="1"/>
  <c r="R54" i="11" s="1"/>
  <c r="AC6" i="11"/>
  <c r="AD6" i="11"/>
  <c r="H38" i="11"/>
  <c r="I24" i="11"/>
  <c r="I38" i="11" s="1"/>
  <c r="I36" i="11"/>
  <c r="I80" i="10"/>
  <c r="G23" i="10"/>
  <c r="F22" i="10"/>
  <c r="Y7" i="10"/>
  <c r="AA7" i="10" s="1"/>
  <c r="P11" i="10"/>
  <c r="Y4" i="10"/>
  <c r="AA4" i="10" s="1"/>
  <c r="F34" i="10"/>
  <c r="Z15" i="10"/>
  <c r="AB15" i="10" s="1"/>
  <c r="W9" i="10"/>
  <c r="R48" i="10"/>
  <c r="Y6" i="10"/>
  <c r="AA6" i="10" s="1"/>
  <c r="R49" i="10"/>
  <c r="F56" i="10"/>
  <c r="F58" i="10"/>
  <c r="Y5" i="10"/>
  <c r="AA5" i="10" s="1"/>
  <c r="W6" i="10"/>
  <c r="F59" i="10"/>
  <c r="G58" i="10"/>
  <c r="U7" i="10"/>
  <c r="W7" i="10" s="1"/>
  <c r="AB7" i="10" s="1"/>
  <c r="I55" i="10"/>
  <c r="G54" i="10"/>
  <c r="G59" i="10"/>
  <c r="F55" i="10"/>
  <c r="F66" i="10" s="1"/>
  <c r="F60" i="10"/>
  <c r="I16" i="10"/>
  <c r="S11" i="10"/>
  <c r="G55" i="10"/>
  <c r="F62" i="10"/>
  <c r="I18" i="10"/>
  <c r="G56" i="10"/>
  <c r="G38" i="10"/>
  <c r="W8" i="10"/>
  <c r="R51" i="10"/>
  <c r="I47" i="10"/>
  <c r="I59" i="10" s="1"/>
  <c r="I58" i="10"/>
  <c r="N46" i="10"/>
  <c r="P46" i="10" s="1"/>
  <c r="H47" i="10"/>
  <c r="O46" i="10"/>
  <c r="Q46" i="10" s="1"/>
  <c r="H58" i="10"/>
  <c r="E68" i="10"/>
  <c r="AB10" i="10"/>
  <c r="AC10" i="10" s="1"/>
  <c r="F57" i="10"/>
  <c r="O45" i="10"/>
  <c r="Q45" i="10" s="1"/>
  <c r="G57" i="10"/>
  <c r="G61" i="10"/>
  <c r="R4" i="10"/>
  <c r="U5" i="10"/>
  <c r="U11" i="10" s="1"/>
  <c r="Y9" i="10"/>
  <c r="AA9" i="10" s="1"/>
  <c r="AB9" i="10" s="1"/>
  <c r="I54" i="10"/>
  <c r="H55" i="10"/>
  <c r="H56" i="10"/>
  <c r="H57" i="10"/>
  <c r="H60" i="10"/>
  <c r="H61" i="10"/>
  <c r="H62" i="10"/>
  <c r="H63" i="10"/>
  <c r="R42" i="10"/>
  <c r="H54" i="10"/>
  <c r="G63" i="10"/>
  <c r="O11" i="10"/>
  <c r="I56" i="10"/>
  <c r="I57" i="10"/>
  <c r="I60" i="10"/>
  <c r="I61" i="10"/>
  <c r="I62" i="10"/>
  <c r="I63" i="10"/>
  <c r="Z14" i="10"/>
  <c r="AB14" i="10" s="1"/>
  <c r="Y8" i="10"/>
  <c r="AA8" i="10" s="1"/>
  <c r="N43" i="10"/>
  <c r="P43" i="10" s="1"/>
  <c r="R43" i="10" s="1"/>
  <c r="C54" i="10"/>
  <c r="I14" i="10"/>
  <c r="N45" i="10"/>
  <c r="P45" i="10" s="1"/>
  <c r="R45" i="10" s="1"/>
  <c r="F61" i="10"/>
  <c r="F63" i="10"/>
  <c r="G60" i="10"/>
  <c r="G62" i="10"/>
  <c r="G14" i="10"/>
  <c r="H18" i="10"/>
  <c r="D54" i="10"/>
  <c r="C55" i="10"/>
  <c r="J55" i="10" s="1"/>
  <c r="H23" i="10" s="1"/>
  <c r="I23" i="10" s="1"/>
  <c r="C56" i="10"/>
  <c r="C57" i="10"/>
  <c r="C58" i="10"/>
  <c r="C59" i="10"/>
  <c r="C60" i="10"/>
  <c r="C61" i="10"/>
  <c r="C62" i="10"/>
  <c r="C63" i="10"/>
  <c r="H14" i="10"/>
  <c r="H16" i="10"/>
  <c r="E54" i="10"/>
  <c r="D55" i="10"/>
  <c r="D56" i="10"/>
  <c r="D57" i="10"/>
  <c r="D58" i="10"/>
  <c r="D59" i="10"/>
  <c r="D60" i="10"/>
  <c r="D61" i="10"/>
  <c r="D62" i="10"/>
  <c r="D63" i="10"/>
  <c r="Y38" i="4"/>
  <c r="V38" i="4"/>
  <c r="K78" i="2" l="1"/>
  <c r="K59" i="4" s="1"/>
  <c r="I36" i="12"/>
  <c r="I34" i="12"/>
  <c r="AB6" i="10"/>
  <c r="AC14" i="11"/>
  <c r="AD14" i="11" s="1"/>
  <c r="K72" i="2"/>
  <c r="K71" i="2"/>
  <c r="G66" i="10"/>
  <c r="AB11" i="11"/>
  <c r="AD11" i="11" s="1"/>
  <c r="AD4" i="11"/>
  <c r="AC4" i="11"/>
  <c r="AC11" i="11" s="1"/>
  <c r="I34" i="11"/>
  <c r="F68" i="10"/>
  <c r="G22" i="10"/>
  <c r="G36" i="10" s="1"/>
  <c r="F36" i="10"/>
  <c r="J57" i="10"/>
  <c r="H25" i="10" s="1"/>
  <c r="I25" i="10" s="1"/>
  <c r="G68" i="10"/>
  <c r="F64" i="10"/>
  <c r="W15" i="10"/>
  <c r="AC15" i="10" s="1"/>
  <c r="AD15" i="10" s="1"/>
  <c r="J58" i="10"/>
  <c r="H26" i="10" s="1"/>
  <c r="I26" i="10" s="1"/>
  <c r="E66" i="10"/>
  <c r="E64" i="10"/>
  <c r="R18" i="10" s="1"/>
  <c r="AA11" i="10"/>
  <c r="R11" i="10"/>
  <c r="R17" i="10" s="1"/>
  <c r="W4" i="10"/>
  <c r="Y11" i="10"/>
  <c r="C68" i="10"/>
  <c r="J56" i="10"/>
  <c r="H66" i="10"/>
  <c r="W5" i="10"/>
  <c r="AB5" i="10" s="1"/>
  <c r="J63" i="10"/>
  <c r="H31" i="10" s="1"/>
  <c r="I31" i="10" s="1"/>
  <c r="J61" i="10"/>
  <c r="H29" i="10" s="1"/>
  <c r="I29" i="10" s="1"/>
  <c r="J60" i="10"/>
  <c r="H28" i="10" s="1"/>
  <c r="I28" i="10" s="1"/>
  <c r="C66" i="10"/>
  <c r="C64" i="10"/>
  <c r="J54" i="10"/>
  <c r="O47" i="10"/>
  <c r="Q47" i="10" s="1"/>
  <c r="Q52" i="10" s="1"/>
  <c r="N47" i="10"/>
  <c r="P47" i="10" s="1"/>
  <c r="H59" i="10"/>
  <c r="H64" i="10" s="1"/>
  <c r="AB8" i="10"/>
  <c r="J62" i="10"/>
  <c r="H30" i="10" s="1"/>
  <c r="I30" i="10" s="1"/>
  <c r="D66" i="10"/>
  <c r="D64" i="10"/>
  <c r="I66" i="10"/>
  <c r="I64" i="10"/>
  <c r="AC6" i="10"/>
  <c r="AD6" i="10"/>
  <c r="D68" i="10"/>
  <c r="G64" i="10"/>
  <c r="I68" i="10"/>
  <c r="R46" i="10"/>
  <c r="G34" i="10" l="1"/>
  <c r="H24" i="10"/>
  <c r="R47" i="10"/>
  <c r="R52" i="10" s="1"/>
  <c r="P52" i="10"/>
  <c r="Q53" i="11" s="1"/>
  <c r="AB4" i="10"/>
  <c r="W11" i="10"/>
  <c r="W14" i="10"/>
  <c r="AC14" i="10" s="1"/>
  <c r="AD14" i="10" s="1"/>
  <c r="AD5" i="10"/>
  <c r="AC5" i="10"/>
  <c r="J66" i="10"/>
  <c r="H22" i="10"/>
  <c r="H68" i="10"/>
  <c r="AD8" i="10"/>
  <c r="AC8" i="10"/>
  <c r="J59" i="10"/>
  <c r="H27" i="10" s="1"/>
  <c r="I27" i="10" s="1"/>
  <c r="G4" i="9"/>
  <c r="O44" i="2"/>
  <c r="N44" i="2"/>
  <c r="M44" i="2"/>
  <c r="L44" i="2"/>
  <c r="K44" i="2"/>
  <c r="J44" i="2"/>
  <c r="O43" i="2"/>
  <c r="N43" i="2"/>
  <c r="M43" i="2"/>
  <c r="L43" i="2"/>
  <c r="K43" i="2"/>
  <c r="J43" i="2"/>
  <c r="O42" i="2"/>
  <c r="N42" i="2"/>
  <c r="M42" i="2"/>
  <c r="L42" i="2"/>
  <c r="K42" i="2"/>
  <c r="J42" i="2"/>
  <c r="O41" i="2"/>
  <c r="N41" i="2"/>
  <c r="M41" i="2"/>
  <c r="L41" i="2"/>
  <c r="K41" i="2"/>
  <c r="J41" i="2"/>
  <c r="O17" i="2"/>
  <c r="N17" i="2"/>
  <c r="M17" i="2"/>
  <c r="L17" i="2"/>
  <c r="K17" i="2"/>
  <c r="O16" i="2"/>
  <c r="N16" i="2"/>
  <c r="M16" i="2"/>
  <c r="L16" i="2"/>
  <c r="K16" i="2"/>
  <c r="O15" i="2"/>
  <c r="N15" i="2"/>
  <c r="M15" i="2"/>
  <c r="L15" i="2"/>
  <c r="K15" i="2"/>
  <c r="O14" i="2"/>
  <c r="N14" i="2"/>
  <c r="M14" i="2"/>
  <c r="L14" i="2"/>
  <c r="K14" i="2"/>
  <c r="J17" i="2"/>
  <c r="J16" i="2"/>
  <c r="J15" i="2"/>
  <c r="J14" i="2"/>
  <c r="J68" i="10" l="1"/>
  <c r="AB11" i="10"/>
  <c r="AD11" i="10" s="1"/>
  <c r="AD4" i="10"/>
  <c r="AC4" i="10"/>
  <c r="AC11" i="10" s="1"/>
  <c r="H34" i="10"/>
  <c r="H36" i="10"/>
  <c r="I22" i="10"/>
  <c r="J64" i="10"/>
  <c r="R53" i="10" s="1"/>
  <c r="R54" i="10" s="1"/>
  <c r="H38" i="10"/>
  <c r="I24" i="10"/>
  <c r="I38" i="10" s="1"/>
  <c r="H84" i="9"/>
  <c r="G84" i="9"/>
  <c r="F84" i="9"/>
  <c r="I43" i="2" s="1"/>
  <c r="E84" i="9"/>
  <c r="I44" i="2" s="1"/>
  <c r="D84" i="9"/>
  <c r="I42" i="2" s="1"/>
  <c r="C84" i="9"/>
  <c r="I41" i="2" s="1"/>
  <c r="H82" i="9"/>
  <c r="G82" i="9"/>
  <c r="F82" i="9"/>
  <c r="I16" i="2" s="1"/>
  <c r="E82" i="9"/>
  <c r="I17" i="2" s="1"/>
  <c r="D82" i="9"/>
  <c r="I15" i="2" s="1"/>
  <c r="C82" i="9"/>
  <c r="I14" i="2" s="1"/>
  <c r="H80" i="9"/>
  <c r="G80" i="9"/>
  <c r="F80" i="9"/>
  <c r="E80" i="9"/>
  <c r="D80" i="9"/>
  <c r="C80" i="9"/>
  <c r="I79" i="9"/>
  <c r="I78" i="9"/>
  <c r="I77" i="9"/>
  <c r="I76" i="9"/>
  <c r="I75" i="9"/>
  <c r="I74" i="9"/>
  <c r="O51" i="9"/>
  <c r="Q51" i="9" s="1"/>
  <c r="N51" i="9"/>
  <c r="P51" i="9" s="1"/>
  <c r="O50" i="9"/>
  <c r="Q50" i="9" s="1"/>
  <c r="N50" i="9"/>
  <c r="P50" i="9" s="1"/>
  <c r="O49" i="9"/>
  <c r="Q49" i="9" s="1"/>
  <c r="N49" i="9"/>
  <c r="P49" i="9" s="1"/>
  <c r="O48" i="9"/>
  <c r="Q48" i="9" s="1"/>
  <c r="N48" i="9"/>
  <c r="P48" i="9" s="1"/>
  <c r="I45" i="9"/>
  <c r="I46" i="9" s="1"/>
  <c r="H45" i="9"/>
  <c r="H46" i="9" s="1"/>
  <c r="O44" i="9"/>
  <c r="Q44" i="9" s="1"/>
  <c r="N44" i="9"/>
  <c r="P44" i="9" s="1"/>
  <c r="I43" i="9"/>
  <c r="H43" i="9"/>
  <c r="O43" i="9" s="1"/>
  <c r="Q43" i="9" s="1"/>
  <c r="Q42" i="9"/>
  <c r="O42" i="9"/>
  <c r="N42" i="9"/>
  <c r="P42" i="9" s="1"/>
  <c r="F38" i="9"/>
  <c r="E38" i="9"/>
  <c r="D38" i="9"/>
  <c r="C38" i="9"/>
  <c r="E36" i="9"/>
  <c r="D36" i="9"/>
  <c r="C36" i="9"/>
  <c r="E34" i="9"/>
  <c r="D34" i="9"/>
  <c r="C34" i="9"/>
  <c r="G31" i="9"/>
  <c r="G30" i="9"/>
  <c r="G29" i="9"/>
  <c r="G28" i="9"/>
  <c r="G27" i="9"/>
  <c r="G26" i="9"/>
  <c r="G25" i="9"/>
  <c r="G24" i="9"/>
  <c r="F23" i="9"/>
  <c r="G18" i="9"/>
  <c r="F18" i="9"/>
  <c r="E18" i="9"/>
  <c r="C18" i="9"/>
  <c r="F16" i="9"/>
  <c r="E16" i="9"/>
  <c r="C16" i="9"/>
  <c r="F14" i="9"/>
  <c r="E14" i="9"/>
  <c r="C14" i="9"/>
  <c r="I13" i="9"/>
  <c r="H13" i="9"/>
  <c r="E63" i="9" s="1"/>
  <c r="I12" i="9"/>
  <c r="H12" i="9"/>
  <c r="E62" i="9" s="1"/>
  <c r="N11" i="9"/>
  <c r="I11" i="9"/>
  <c r="H11" i="9"/>
  <c r="E61" i="9" s="1"/>
  <c r="Z10" i="9"/>
  <c r="Y10" i="9"/>
  <c r="U10" i="9"/>
  <c r="R10" i="9"/>
  <c r="W10" i="9" s="1"/>
  <c r="I10" i="9"/>
  <c r="H10" i="9"/>
  <c r="E60" i="9" s="1"/>
  <c r="Z9" i="9"/>
  <c r="S9" i="9"/>
  <c r="Y9" i="9" s="1"/>
  <c r="R9" i="9"/>
  <c r="P9" i="9"/>
  <c r="O9" i="9"/>
  <c r="I9" i="9"/>
  <c r="H9" i="9"/>
  <c r="E59" i="9" s="1"/>
  <c r="Z8" i="9"/>
  <c r="S8" i="9"/>
  <c r="U8" i="9" s="1"/>
  <c r="P8" i="9"/>
  <c r="R8" i="9" s="1"/>
  <c r="O8" i="9"/>
  <c r="I8" i="9"/>
  <c r="H8" i="9"/>
  <c r="E58" i="9" s="1"/>
  <c r="Z7" i="9"/>
  <c r="S7" i="9"/>
  <c r="U7" i="9" s="1"/>
  <c r="P7" i="9"/>
  <c r="R7" i="9" s="1"/>
  <c r="O7" i="9"/>
  <c r="Y7" i="9" s="1"/>
  <c r="AA7" i="9" s="1"/>
  <c r="I7" i="9"/>
  <c r="H7" i="9"/>
  <c r="E57" i="9" s="1"/>
  <c r="Z6" i="9"/>
  <c r="S6" i="9"/>
  <c r="U6" i="9" s="1"/>
  <c r="P6" i="9"/>
  <c r="R6" i="9" s="1"/>
  <c r="O6" i="9"/>
  <c r="I6" i="9"/>
  <c r="H6" i="9"/>
  <c r="E56" i="9" s="1"/>
  <c r="Z5" i="9"/>
  <c r="S5" i="9"/>
  <c r="P5" i="9"/>
  <c r="R5" i="9" s="1"/>
  <c r="O5" i="9"/>
  <c r="I5" i="9"/>
  <c r="H5" i="9"/>
  <c r="E55" i="9" s="1"/>
  <c r="Z4" i="9"/>
  <c r="S4" i="9"/>
  <c r="U4" i="9" s="1"/>
  <c r="P4" i="9"/>
  <c r="O4" i="9"/>
  <c r="H4" i="9"/>
  <c r="F54" i="9" s="1"/>
  <c r="I4" i="9"/>
  <c r="AC2" i="9"/>
  <c r="Z2" i="9"/>
  <c r="Y2" i="9"/>
  <c r="W2" i="9"/>
  <c r="U2" i="9"/>
  <c r="S2" i="9"/>
  <c r="P2" i="9"/>
  <c r="O2" i="9"/>
  <c r="N2" i="9"/>
  <c r="N45" i="9" l="1"/>
  <c r="P45" i="9" s="1"/>
  <c r="R45" i="9" s="1"/>
  <c r="O45" i="9"/>
  <c r="Q45" i="9" s="1"/>
  <c r="AA9" i="9"/>
  <c r="AA10" i="9"/>
  <c r="U9" i="9"/>
  <c r="W9" i="9" s="1"/>
  <c r="AB9" i="9" s="1"/>
  <c r="I82" i="9"/>
  <c r="Y5" i="9"/>
  <c r="AA5" i="9" s="1"/>
  <c r="I84" i="9"/>
  <c r="I34" i="10"/>
  <c r="I36" i="10"/>
  <c r="I80" i="9"/>
  <c r="G23" i="9"/>
  <c r="F22" i="9"/>
  <c r="F36" i="9" s="1"/>
  <c r="E68" i="9"/>
  <c r="W6" i="9"/>
  <c r="Y6" i="9"/>
  <c r="AA6" i="9" s="1"/>
  <c r="G38" i="9"/>
  <c r="I55" i="9"/>
  <c r="G56" i="9"/>
  <c r="G57" i="9"/>
  <c r="G58" i="9"/>
  <c r="R50" i="9"/>
  <c r="Y8" i="9"/>
  <c r="AA8" i="9" s="1"/>
  <c r="Y4" i="9"/>
  <c r="AA4" i="9" s="1"/>
  <c r="W7" i="9"/>
  <c r="AB7" i="9" s="1"/>
  <c r="G59" i="9"/>
  <c r="S11" i="9"/>
  <c r="G60" i="9"/>
  <c r="G61" i="9"/>
  <c r="H54" i="9"/>
  <c r="G62" i="9"/>
  <c r="I18" i="9"/>
  <c r="G55" i="9"/>
  <c r="G63" i="9"/>
  <c r="Z15" i="9"/>
  <c r="AB15" i="9" s="1"/>
  <c r="O11" i="9"/>
  <c r="R42" i="9"/>
  <c r="I47" i="9"/>
  <c r="I59" i="9" s="1"/>
  <c r="I58" i="9"/>
  <c r="R51" i="9"/>
  <c r="R48" i="9"/>
  <c r="I16" i="9"/>
  <c r="I14" i="9"/>
  <c r="R44" i="9"/>
  <c r="R49" i="9"/>
  <c r="AB10" i="9"/>
  <c r="AC10" i="9" s="1"/>
  <c r="W8" i="9"/>
  <c r="N46" i="9"/>
  <c r="P46" i="9" s="1"/>
  <c r="H47" i="9"/>
  <c r="H58" i="9"/>
  <c r="O46" i="9"/>
  <c r="Q46" i="9" s="1"/>
  <c r="G54" i="9"/>
  <c r="F55" i="9"/>
  <c r="F66" i="9" s="1"/>
  <c r="F56" i="9"/>
  <c r="F57" i="9"/>
  <c r="F58" i="9"/>
  <c r="F59" i="9"/>
  <c r="F60" i="9"/>
  <c r="F61" i="9"/>
  <c r="F62" i="9"/>
  <c r="F63" i="9"/>
  <c r="R4" i="9"/>
  <c r="U5" i="9"/>
  <c r="I54" i="9"/>
  <c r="H55" i="9"/>
  <c r="H56" i="9"/>
  <c r="H57" i="9"/>
  <c r="H60" i="9"/>
  <c r="H61" i="9"/>
  <c r="H62" i="9"/>
  <c r="H63" i="9"/>
  <c r="I56" i="9"/>
  <c r="I57" i="9"/>
  <c r="I60" i="9"/>
  <c r="I61" i="9"/>
  <c r="I62" i="9"/>
  <c r="I63" i="9"/>
  <c r="Z14" i="9"/>
  <c r="AB14" i="9" s="1"/>
  <c r="P11" i="9"/>
  <c r="N43" i="9"/>
  <c r="P43" i="9" s="1"/>
  <c r="R43" i="9" s="1"/>
  <c r="C54" i="9"/>
  <c r="G14" i="9"/>
  <c r="G16" i="9"/>
  <c r="H18" i="9"/>
  <c r="D54" i="9"/>
  <c r="C55" i="9"/>
  <c r="C56" i="9"/>
  <c r="C57" i="9"/>
  <c r="C58" i="9"/>
  <c r="C59" i="9"/>
  <c r="C60" i="9"/>
  <c r="C61" i="9"/>
  <c r="C62" i="9"/>
  <c r="C63" i="9"/>
  <c r="H14" i="9"/>
  <c r="H16" i="9"/>
  <c r="E54" i="9"/>
  <c r="D55" i="9"/>
  <c r="D56" i="9"/>
  <c r="D57" i="9"/>
  <c r="D58" i="9"/>
  <c r="D59" i="9"/>
  <c r="D60" i="9"/>
  <c r="D61" i="9"/>
  <c r="D62" i="9"/>
  <c r="D63" i="9"/>
  <c r="Y39" i="4"/>
  <c r="Y37" i="4"/>
  <c r="V39" i="4"/>
  <c r="K39" i="4"/>
  <c r="M38" i="4"/>
  <c r="J38" i="4"/>
  <c r="L37" i="4"/>
  <c r="X37" i="4" s="1"/>
  <c r="J37" i="4"/>
  <c r="Y7" i="4"/>
  <c r="Y5" i="4"/>
  <c r="V7" i="4"/>
  <c r="X5" i="4"/>
  <c r="K7" i="4"/>
  <c r="U11" i="9" l="1"/>
  <c r="G68" i="9"/>
  <c r="AB6" i="9"/>
  <c r="AC6" i="9" s="1"/>
  <c r="AA11" i="9"/>
  <c r="AB8" i="9"/>
  <c r="AD8" i="9" s="1"/>
  <c r="W5" i="9"/>
  <c r="AB5" i="9" s="1"/>
  <c r="AC5" i="9" s="1"/>
  <c r="F68" i="9"/>
  <c r="H66" i="9"/>
  <c r="Y11" i="9"/>
  <c r="I68" i="9"/>
  <c r="W15" i="9"/>
  <c r="AC15" i="9" s="1"/>
  <c r="AD15" i="9" s="1"/>
  <c r="F34" i="9"/>
  <c r="G22" i="9"/>
  <c r="J63" i="9"/>
  <c r="H31" i="9" s="1"/>
  <c r="I31" i="9" s="1"/>
  <c r="D66" i="9"/>
  <c r="D64" i="9"/>
  <c r="J61" i="9"/>
  <c r="H29" i="9" s="1"/>
  <c r="I29" i="9" s="1"/>
  <c r="I66" i="9"/>
  <c r="I64" i="9"/>
  <c r="J60" i="9"/>
  <c r="H28" i="9" s="1"/>
  <c r="I28" i="9" s="1"/>
  <c r="F64" i="9"/>
  <c r="R46" i="9"/>
  <c r="C68" i="9"/>
  <c r="J56" i="9"/>
  <c r="J55" i="9"/>
  <c r="H23" i="9" s="1"/>
  <c r="I23" i="9" s="1"/>
  <c r="G66" i="9"/>
  <c r="G64" i="9"/>
  <c r="J62" i="9"/>
  <c r="H30" i="9" s="1"/>
  <c r="I30" i="9" s="1"/>
  <c r="D68" i="9"/>
  <c r="O47" i="9"/>
  <c r="Q47" i="9" s="1"/>
  <c r="Q52" i="9" s="1"/>
  <c r="N47" i="9"/>
  <c r="P47" i="9" s="1"/>
  <c r="H59" i="9"/>
  <c r="H68" i="9" s="1"/>
  <c r="E66" i="9"/>
  <c r="E64" i="9"/>
  <c r="R18" i="9" s="1"/>
  <c r="J58" i="9"/>
  <c r="H26" i="9" s="1"/>
  <c r="I26" i="9" s="1"/>
  <c r="AD6" i="9"/>
  <c r="AC8" i="9"/>
  <c r="P52" i="9"/>
  <c r="Q53" i="10" s="1"/>
  <c r="J57" i="9"/>
  <c r="H25" i="9" s="1"/>
  <c r="I25" i="9" s="1"/>
  <c r="C66" i="9"/>
  <c r="C64" i="9"/>
  <c r="J54" i="9"/>
  <c r="R11" i="9"/>
  <c r="W4" i="9"/>
  <c r="O44" i="8"/>
  <c r="O48" i="8"/>
  <c r="O49" i="8"/>
  <c r="O50" i="8"/>
  <c r="O51" i="8"/>
  <c r="O42" i="8"/>
  <c r="N44" i="8"/>
  <c r="N48" i="8"/>
  <c r="N49" i="8"/>
  <c r="N50" i="8"/>
  <c r="N51" i="8"/>
  <c r="N42" i="8"/>
  <c r="H45" i="8"/>
  <c r="H46" i="8" s="1"/>
  <c r="H47" i="8" s="1"/>
  <c r="H43" i="8"/>
  <c r="R17" i="9" l="1"/>
  <c r="R47" i="9"/>
  <c r="R52" i="9" s="1"/>
  <c r="AD5" i="9"/>
  <c r="G34" i="9"/>
  <c r="G36" i="9"/>
  <c r="AB4" i="9"/>
  <c r="W14" i="9"/>
  <c r="AC14" i="9" s="1"/>
  <c r="AD14" i="9" s="1"/>
  <c r="W11" i="9"/>
  <c r="J68" i="9"/>
  <c r="H24" i="9"/>
  <c r="H64" i="9"/>
  <c r="J66" i="9"/>
  <c r="H22" i="9"/>
  <c r="J59" i="9"/>
  <c r="H27" i="9" s="1"/>
  <c r="I27" i="9" s="1"/>
  <c r="G4" i="8"/>
  <c r="H38" i="9" l="1"/>
  <c r="I24" i="9"/>
  <c r="I38" i="9" s="1"/>
  <c r="H34" i="9"/>
  <c r="H36" i="9"/>
  <c r="I22" i="9"/>
  <c r="AB11" i="9"/>
  <c r="AD11" i="9" s="1"/>
  <c r="AD4" i="9"/>
  <c r="AC4" i="9"/>
  <c r="AC11" i="9" s="1"/>
  <c r="J64" i="9"/>
  <c r="R53" i="9" s="1"/>
  <c r="R54" i="9" s="1"/>
  <c r="H84" i="8"/>
  <c r="G84" i="8"/>
  <c r="F84" i="8"/>
  <c r="H43" i="2" s="1"/>
  <c r="E84" i="8"/>
  <c r="H44" i="2" s="1"/>
  <c r="D84" i="8"/>
  <c r="H42" i="2" s="1"/>
  <c r="C84" i="8"/>
  <c r="H41" i="2" s="1"/>
  <c r="H82" i="8"/>
  <c r="G82" i="8"/>
  <c r="F82" i="8"/>
  <c r="H16" i="2" s="1"/>
  <c r="E82" i="8"/>
  <c r="H17" i="2" s="1"/>
  <c r="D82" i="8"/>
  <c r="H15" i="2" s="1"/>
  <c r="C82" i="8"/>
  <c r="H14" i="2" s="1"/>
  <c r="H80" i="8"/>
  <c r="G80" i="8"/>
  <c r="F80" i="8"/>
  <c r="E80" i="8"/>
  <c r="D80" i="8"/>
  <c r="C80" i="8"/>
  <c r="I79" i="8"/>
  <c r="I78" i="8"/>
  <c r="I77" i="8"/>
  <c r="I76" i="8"/>
  <c r="I75" i="8"/>
  <c r="I74" i="8"/>
  <c r="I82" i="8" s="1"/>
  <c r="Q51" i="8"/>
  <c r="P51" i="8"/>
  <c r="Q50" i="8"/>
  <c r="P50" i="8"/>
  <c r="Q49" i="8"/>
  <c r="P49" i="8"/>
  <c r="Q48" i="8"/>
  <c r="P48" i="8"/>
  <c r="I45" i="8"/>
  <c r="Q44" i="8"/>
  <c r="P44" i="8"/>
  <c r="I43" i="8"/>
  <c r="Q42" i="8"/>
  <c r="P42" i="8"/>
  <c r="F38" i="8"/>
  <c r="E38" i="8"/>
  <c r="D38" i="8"/>
  <c r="C38" i="8"/>
  <c r="E36" i="8"/>
  <c r="D36" i="8"/>
  <c r="C36" i="8"/>
  <c r="E34" i="8"/>
  <c r="D34" i="8"/>
  <c r="C34" i="8"/>
  <c r="G31" i="8"/>
  <c r="G30" i="8"/>
  <c r="G29" i="8"/>
  <c r="G28" i="8"/>
  <c r="G27" i="8"/>
  <c r="G26" i="8"/>
  <c r="G25" i="8"/>
  <c r="G24" i="8"/>
  <c r="F23" i="8"/>
  <c r="G18" i="8"/>
  <c r="F18" i="8"/>
  <c r="E18" i="8"/>
  <c r="C18" i="8"/>
  <c r="F16" i="8"/>
  <c r="E16" i="8"/>
  <c r="C16" i="8"/>
  <c r="F14" i="8"/>
  <c r="E14" i="8"/>
  <c r="C14" i="8"/>
  <c r="I13" i="8"/>
  <c r="H13" i="8"/>
  <c r="I12" i="8"/>
  <c r="H12" i="8"/>
  <c r="N11" i="8"/>
  <c r="I11" i="8"/>
  <c r="H11" i="8"/>
  <c r="Z10" i="8"/>
  <c r="Y10" i="8"/>
  <c r="U10" i="8"/>
  <c r="W10" i="8" s="1"/>
  <c r="R10" i="8"/>
  <c r="I10" i="8"/>
  <c r="H10" i="8"/>
  <c r="Z9" i="8"/>
  <c r="S9" i="8"/>
  <c r="U9" i="8" s="1"/>
  <c r="P9" i="8"/>
  <c r="R9" i="8" s="1"/>
  <c r="O9" i="8"/>
  <c r="I9" i="8"/>
  <c r="H9" i="8"/>
  <c r="Z8" i="8"/>
  <c r="S8" i="8"/>
  <c r="U8" i="8" s="1"/>
  <c r="P8" i="8"/>
  <c r="R8" i="8" s="1"/>
  <c r="O8" i="8"/>
  <c r="I8" i="8"/>
  <c r="H8" i="8"/>
  <c r="Z7" i="8"/>
  <c r="S7" i="8"/>
  <c r="U7" i="8" s="1"/>
  <c r="P7" i="8"/>
  <c r="R7" i="8" s="1"/>
  <c r="O7" i="8"/>
  <c r="I7" i="8"/>
  <c r="H7" i="8"/>
  <c r="Z6" i="8"/>
  <c r="S6" i="8"/>
  <c r="U6" i="8" s="1"/>
  <c r="P6" i="8"/>
  <c r="O6" i="8"/>
  <c r="I6" i="8"/>
  <c r="H6" i="8"/>
  <c r="Z5" i="8"/>
  <c r="S5" i="8"/>
  <c r="U5" i="8" s="1"/>
  <c r="P5" i="8"/>
  <c r="R5" i="8" s="1"/>
  <c r="O5" i="8"/>
  <c r="I5" i="8"/>
  <c r="H5" i="8"/>
  <c r="Z4" i="8"/>
  <c r="S4" i="8"/>
  <c r="U4" i="8" s="1"/>
  <c r="P4" i="8"/>
  <c r="O4" i="8"/>
  <c r="H4" i="8"/>
  <c r="I4" i="8"/>
  <c r="AC2" i="8"/>
  <c r="Z2" i="8"/>
  <c r="Y2" i="8"/>
  <c r="W2" i="8"/>
  <c r="U2" i="8"/>
  <c r="S2" i="8"/>
  <c r="P2" i="8"/>
  <c r="O2" i="8"/>
  <c r="N2" i="8"/>
  <c r="Y5" i="8" l="1"/>
  <c r="AA5" i="8" s="1"/>
  <c r="I34" i="9"/>
  <c r="I36" i="9"/>
  <c r="E59" i="8"/>
  <c r="H59" i="8"/>
  <c r="Y6" i="8"/>
  <c r="AA6" i="8" s="1"/>
  <c r="E62" i="8"/>
  <c r="H62" i="8"/>
  <c r="I62" i="8"/>
  <c r="I46" i="8"/>
  <c r="I57" i="8"/>
  <c r="O45" i="8"/>
  <c r="Q45" i="8" s="1"/>
  <c r="N45" i="8"/>
  <c r="P45" i="8" s="1"/>
  <c r="R45" i="8" s="1"/>
  <c r="E58" i="8"/>
  <c r="H58" i="8"/>
  <c r="Y9" i="8"/>
  <c r="AA9" i="8" s="1"/>
  <c r="F54" i="8"/>
  <c r="I54" i="8"/>
  <c r="H54" i="8"/>
  <c r="AB10" i="8"/>
  <c r="AC10" i="8" s="1"/>
  <c r="E63" i="8"/>
  <c r="H63" i="8"/>
  <c r="I63" i="8"/>
  <c r="E57" i="8"/>
  <c r="H57" i="8"/>
  <c r="AA10" i="8"/>
  <c r="I55" i="8"/>
  <c r="N43" i="8"/>
  <c r="P43" i="8" s="1"/>
  <c r="O43" i="8"/>
  <c r="Q43" i="8" s="1"/>
  <c r="E55" i="8"/>
  <c r="H55" i="8"/>
  <c r="E56" i="8"/>
  <c r="E68" i="8" s="1"/>
  <c r="I56" i="8"/>
  <c r="H56" i="8"/>
  <c r="Y7" i="8"/>
  <c r="AA7" i="8" s="1"/>
  <c r="E61" i="8"/>
  <c r="H61" i="8"/>
  <c r="I61" i="8"/>
  <c r="E60" i="8"/>
  <c r="I60" i="8"/>
  <c r="H60" i="8"/>
  <c r="I84" i="8"/>
  <c r="I80" i="8"/>
  <c r="R51" i="8"/>
  <c r="R48" i="8"/>
  <c r="G23" i="8"/>
  <c r="F22" i="8"/>
  <c r="Y4" i="8"/>
  <c r="Y8" i="8"/>
  <c r="AA8" i="8" s="1"/>
  <c r="W9" i="8"/>
  <c r="P11" i="8"/>
  <c r="R6" i="8"/>
  <c r="W6" i="8" s="1"/>
  <c r="R4" i="8"/>
  <c r="R11" i="8" s="1"/>
  <c r="R44" i="8"/>
  <c r="W5" i="8"/>
  <c r="AB5" i="8" s="1"/>
  <c r="R50" i="8"/>
  <c r="S11" i="8"/>
  <c r="W7" i="8"/>
  <c r="AB7" i="8" s="1"/>
  <c r="W8" i="8"/>
  <c r="AB8" i="8" s="1"/>
  <c r="U11" i="8"/>
  <c r="I18" i="8"/>
  <c r="G38" i="8"/>
  <c r="Z15" i="8"/>
  <c r="AB15" i="8" s="1"/>
  <c r="F34" i="8"/>
  <c r="R42" i="8"/>
  <c r="I47" i="8"/>
  <c r="I16" i="8"/>
  <c r="I14" i="8"/>
  <c r="R49" i="8"/>
  <c r="G54" i="8"/>
  <c r="F55" i="8"/>
  <c r="F56" i="8"/>
  <c r="F57" i="8"/>
  <c r="F58" i="8"/>
  <c r="F59" i="8"/>
  <c r="F60" i="8"/>
  <c r="F61" i="8"/>
  <c r="F62" i="8"/>
  <c r="F63" i="8"/>
  <c r="Z14" i="8"/>
  <c r="AB14" i="8" s="1"/>
  <c r="G55" i="8"/>
  <c r="G56" i="8"/>
  <c r="G57" i="8"/>
  <c r="G58" i="8"/>
  <c r="G59" i="8"/>
  <c r="G60" i="8"/>
  <c r="G61" i="8"/>
  <c r="G62" i="8"/>
  <c r="G63" i="8"/>
  <c r="O11" i="8"/>
  <c r="C54" i="8"/>
  <c r="G14" i="8"/>
  <c r="G16" i="8"/>
  <c r="H18" i="8"/>
  <c r="D54" i="8"/>
  <c r="C55" i="8"/>
  <c r="C56" i="8"/>
  <c r="C57" i="8"/>
  <c r="C58" i="8"/>
  <c r="C59" i="8"/>
  <c r="C60" i="8"/>
  <c r="C61" i="8"/>
  <c r="C62" i="8"/>
  <c r="C63" i="8"/>
  <c r="H14" i="8"/>
  <c r="H16" i="8"/>
  <c r="E54" i="8"/>
  <c r="D55" i="8"/>
  <c r="D56" i="8"/>
  <c r="D57" i="8"/>
  <c r="D58" i="8"/>
  <c r="D59" i="8"/>
  <c r="D60" i="8"/>
  <c r="D61" i="8"/>
  <c r="D62" i="8"/>
  <c r="D63" i="8"/>
  <c r="G24" i="4"/>
  <c r="Y11" i="8" l="1"/>
  <c r="AA4" i="8"/>
  <c r="AA11" i="8" s="1"/>
  <c r="AB9" i="8"/>
  <c r="I59" i="8"/>
  <c r="N47" i="8"/>
  <c r="P47" i="8" s="1"/>
  <c r="O47" i="8"/>
  <c r="Q47" i="8" s="1"/>
  <c r="I58" i="8"/>
  <c r="I68" i="8" s="1"/>
  <c r="N46" i="8"/>
  <c r="P46" i="8" s="1"/>
  <c r="O46" i="8"/>
  <c r="Q46" i="8" s="1"/>
  <c r="R43" i="8"/>
  <c r="J57" i="8"/>
  <c r="H25" i="8" s="1"/>
  <c r="I25" i="8" s="1"/>
  <c r="W4" i="8"/>
  <c r="W14" i="8" s="1"/>
  <c r="AC14" i="8" s="1"/>
  <c r="AD14" i="8" s="1"/>
  <c r="R17" i="8"/>
  <c r="W15" i="8"/>
  <c r="AC15" i="8" s="1"/>
  <c r="AD15" i="8" s="1"/>
  <c r="F64" i="8"/>
  <c r="F66" i="8"/>
  <c r="AB6" i="8"/>
  <c r="AD6" i="8" s="1"/>
  <c r="G22" i="8"/>
  <c r="G34" i="8" s="1"/>
  <c r="F36" i="8"/>
  <c r="C68" i="8"/>
  <c r="J56" i="8"/>
  <c r="C66" i="8"/>
  <c r="C64" i="8"/>
  <c r="J54" i="8"/>
  <c r="H66" i="8"/>
  <c r="AD8" i="8"/>
  <c r="AC8" i="8"/>
  <c r="J63" i="8"/>
  <c r="H31" i="8" s="1"/>
  <c r="I31" i="8" s="1"/>
  <c r="J55" i="8"/>
  <c r="H23" i="8" s="1"/>
  <c r="I23" i="8" s="1"/>
  <c r="J62" i="8"/>
  <c r="H30" i="8" s="1"/>
  <c r="I30" i="8" s="1"/>
  <c r="D66" i="8"/>
  <c r="D64" i="8"/>
  <c r="F68" i="8"/>
  <c r="J61" i="8"/>
  <c r="H29" i="8" s="1"/>
  <c r="I29" i="8" s="1"/>
  <c r="J60" i="8"/>
  <c r="H28" i="8" s="1"/>
  <c r="I28" i="8" s="1"/>
  <c r="G66" i="8"/>
  <c r="G64" i="8"/>
  <c r="H64" i="8"/>
  <c r="AC6" i="8"/>
  <c r="D68" i="8"/>
  <c r="I66" i="8"/>
  <c r="AD5" i="8"/>
  <c r="AC5" i="8"/>
  <c r="E66" i="8"/>
  <c r="E64" i="8"/>
  <c r="R18" i="8" s="1"/>
  <c r="J58" i="8"/>
  <c r="H26" i="8" s="1"/>
  <c r="I26" i="8" s="1"/>
  <c r="G68" i="8"/>
  <c r="N44" i="7"/>
  <c r="N48" i="7"/>
  <c r="N49" i="7"/>
  <c r="N50" i="7"/>
  <c r="N51" i="7"/>
  <c r="N42" i="7"/>
  <c r="I56" i="7"/>
  <c r="I60" i="7"/>
  <c r="I61" i="7"/>
  <c r="I62" i="7"/>
  <c r="I63" i="7"/>
  <c r="H56" i="7"/>
  <c r="H60" i="7"/>
  <c r="H61" i="7"/>
  <c r="H62" i="7"/>
  <c r="H63" i="7"/>
  <c r="O42" i="7"/>
  <c r="J45" i="7"/>
  <c r="H57" i="7" s="1"/>
  <c r="J43" i="7"/>
  <c r="I45" i="7"/>
  <c r="I46" i="7" s="1"/>
  <c r="I43" i="7"/>
  <c r="I55" i="7" s="1"/>
  <c r="I64" i="8" l="1"/>
  <c r="Q52" i="8"/>
  <c r="R46" i="8"/>
  <c r="N43" i="7"/>
  <c r="J46" i="7"/>
  <c r="H58" i="7" s="1"/>
  <c r="AB4" i="8"/>
  <c r="AB11" i="8" s="1"/>
  <c r="W11" i="8"/>
  <c r="J59" i="8"/>
  <c r="H27" i="8" s="1"/>
  <c r="I27" i="8" s="1"/>
  <c r="H68" i="8"/>
  <c r="G36" i="8"/>
  <c r="AC4" i="8"/>
  <c r="AC11" i="8" s="1"/>
  <c r="J66" i="8"/>
  <c r="H22" i="8"/>
  <c r="H24" i="8"/>
  <c r="R47" i="8"/>
  <c r="R52" i="8" s="1"/>
  <c r="P52" i="8"/>
  <c r="Q53" i="9" s="1"/>
  <c r="I47" i="7"/>
  <c r="I59" i="7" s="1"/>
  <c r="I58" i="7"/>
  <c r="H55" i="7"/>
  <c r="I57" i="7"/>
  <c r="N46" i="7"/>
  <c r="J47" i="7"/>
  <c r="N45" i="7"/>
  <c r="G4" i="7"/>
  <c r="AD4" i="8" l="1"/>
  <c r="AD11" i="8"/>
  <c r="J64" i="8"/>
  <c r="R53" i="8" s="1"/>
  <c r="R54" i="8" s="1"/>
  <c r="J68" i="8"/>
  <c r="H38" i="8"/>
  <c r="I24" i="8"/>
  <c r="I38" i="8" s="1"/>
  <c r="H34" i="8"/>
  <c r="H36" i="8"/>
  <c r="I22" i="8"/>
  <c r="H59" i="7"/>
  <c r="N47" i="7"/>
  <c r="H54" i="7"/>
  <c r="I54" i="7"/>
  <c r="I68" i="7"/>
  <c r="C60" i="2"/>
  <c r="C55" i="2"/>
  <c r="C54" i="2"/>
  <c r="C53" i="2"/>
  <c r="C52" i="2"/>
  <c r="C51" i="2"/>
  <c r="C50" i="2"/>
  <c r="C48" i="2"/>
  <c r="C46" i="2"/>
  <c r="C33" i="2"/>
  <c r="C28" i="2"/>
  <c r="C27" i="2"/>
  <c r="C26" i="2"/>
  <c r="C25" i="2"/>
  <c r="C24" i="2"/>
  <c r="C23" i="2"/>
  <c r="A20" i="2"/>
  <c r="A21" i="2" s="1"/>
  <c r="C19" i="2"/>
  <c r="I75" i="7"/>
  <c r="I76" i="7"/>
  <c r="I77" i="7"/>
  <c r="I78" i="7"/>
  <c r="I79" i="7"/>
  <c r="H82" i="7"/>
  <c r="G82" i="7"/>
  <c r="F82" i="7"/>
  <c r="G16" i="2" s="1"/>
  <c r="E82" i="7"/>
  <c r="G17" i="2" s="1"/>
  <c r="D82" i="7"/>
  <c r="G15" i="2" s="1"/>
  <c r="C82" i="7"/>
  <c r="G14" i="2" s="1"/>
  <c r="C80" i="7"/>
  <c r="H84" i="7"/>
  <c r="G84" i="7"/>
  <c r="F84" i="7"/>
  <c r="G43" i="2" s="1"/>
  <c r="E84" i="7"/>
  <c r="G44" i="2" s="1"/>
  <c r="D84" i="7"/>
  <c r="G42" i="2" s="1"/>
  <c r="C84" i="7"/>
  <c r="G41" i="2" s="1"/>
  <c r="H80" i="7"/>
  <c r="G80" i="7"/>
  <c r="F80" i="7"/>
  <c r="E80" i="7"/>
  <c r="D80" i="7"/>
  <c r="I74" i="7"/>
  <c r="I34" i="8" l="1"/>
  <c r="I36" i="8"/>
  <c r="I66" i="7"/>
  <c r="I64" i="7"/>
  <c r="I84" i="7"/>
  <c r="I82" i="7"/>
  <c r="C21" i="2"/>
  <c r="I80" i="7"/>
  <c r="O51" i="7" l="1"/>
  <c r="Q51" i="7" s="1"/>
  <c r="P51" i="7"/>
  <c r="O50" i="7"/>
  <c r="Q50" i="7" s="1"/>
  <c r="P50" i="7"/>
  <c r="O49" i="7"/>
  <c r="Q49" i="7" s="1"/>
  <c r="P49" i="7"/>
  <c r="O48" i="7"/>
  <c r="Q48" i="7" s="1"/>
  <c r="P48" i="7"/>
  <c r="P47" i="7"/>
  <c r="O47" i="7"/>
  <c r="Q47" i="7" s="1"/>
  <c r="O46" i="7"/>
  <c r="Q46" i="7" s="1"/>
  <c r="P46" i="7"/>
  <c r="O45" i="7"/>
  <c r="Q45" i="7" s="1"/>
  <c r="P45" i="7"/>
  <c r="O44" i="7"/>
  <c r="Q44" i="7" s="1"/>
  <c r="P44" i="7"/>
  <c r="O43" i="7"/>
  <c r="Q43" i="7" s="1"/>
  <c r="P43" i="7"/>
  <c r="Q42" i="7"/>
  <c r="P42" i="7"/>
  <c r="F38" i="7"/>
  <c r="E38" i="7"/>
  <c r="D38" i="7"/>
  <c r="C38" i="7"/>
  <c r="E36" i="7"/>
  <c r="D36" i="7"/>
  <c r="C36" i="7"/>
  <c r="E34" i="7"/>
  <c r="D34" i="7"/>
  <c r="C34" i="7"/>
  <c r="G31" i="7"/>
  <c r="G30" i="7"/>
  <c r="G29" i="7"/>
  <c r="G28" i="7"/>
  <c r="G27" i="7"/>
  <c r="G26" i="7"/>
  <c r="G25" i="7"/>
  <c r="G24" i="7"/>
  <c r="F23" i="7"/>
  <c r="G18" i="7"/>
  <c r="F18" i="7"/>
  <c r="E18" i="7"/>
  <c r="C18" i="7"/>
  <c r="F16" i="7"/>
  <c r="E16" i="7"/>
  <c r="C16" i="7"/>
  <c r="F14" i="7"/>
  <c r="E14" i="7"/>
  <c r="C14" i="7"/>
  <c r="I13" i="7"/>
  <c r="H13" i="7"/>
  <c r="F63" i="7" s="1"/>
  <c r="I12" i="7"/>
  <c r="H12" i="7"/>
  <c r="E62" i="7" s="1"/>
  <c r="N11" i="7"/>
  <c r="I11" i="7"/>
  <c r="H11" i="7"/>
  <c r="D61" i="7" s="1"/>
  <c r="Z10" i="7"/>
  <c r="Y10" i="7"/>
  <c r="U10" i="7"/>
  <c r="R10" i="7"/>
  <c r="W10" i="7" s="1"/>
  <c r="I10" i="7"/>
  <c r="H10" i="7"/>
  <c r="C60" i="7" s="1"/>
  <c r="Z9" i="7"/>
  <c r="S9" i="7"/>
  <c r="U9" i="7" s="1"/>
  <c r="P9" i="7"/>
  <c r="R9" i="7" s="1"/>
  <c r="O9" i="7"/>
  <c r="I9" i="7"/>
  <c r="H9" i="7"/>
  <c r="Z8" i="7"/>
  <c r="S8" i="7"/>
  <c r="U8" i="7" s="1"/>
  <c r="P8" i="7"/>
  <c r="R8" i="7" s="1"/>
  <c r="O8" i="7"/>
  <c r="I8" i="7"/>
  <c r="H8" i="7"/>
  <c r="Z7" i="7"/>
  <c r="S7" i="7"/>
  <c r="U7" i="7" s="1"/>
  <c r="P7" i="7"/>
  <c r="R7" i="7" s="1"/>
  <c r="O7" i="7"/>
  <c r="I7" i="7"/>
  <c r="H7" i="7"/>
  <c r="Z6" i="7"/>
  <c r="S6" i="7"/>
  <c r="U6" i="7" s="1"/>
  <c r="P6" i="7"/>
  <c r="R6" i="7" s="1"/>
  <c r="O6" i="7"/>
  <c r="I6" i="7"/>
  <c r="H6" i="7"/>
  <c r="G56" i="7" s="1"/>
  <c r="Z5" i="7"/>
  <c r="S5" i="7"/>
  <c r="U5" i="7" s="1"/>
  <c r="P5" i="7"/>
  <c r="R5" i="7" s="1"/>
  <c r="O5" i="7"/>
  <c r="I5" i="7"/>
  <c r="H5" i="7"/>
  <c r="F55" i="7" s="1"/>
  <c r="Z4" i="7"/>
  <c r="S4" i="7"/>
  <c r="U4" i="7" s="1"/>
  <c r="P4" i="7"/>
  <c r="O4" i="7"/>
  <c r="H4" i="7"/>
  <c r="F54" i="7" s="1"/>
  <c r="I4" i="7"/>
  <c r="AC2" i="7"/>
  <c r="Z2" i="7"/>
  <c r="Y2" i="7"/>
  <c r="W2" i="7"/>
  <c r="U2" i="7"/>
  <c r="S2" i="7"/>
  <c r="P2" i="7"/>
  <c r="O2" i="7"/>
  <c r="N2" i="7"/>
  <c r="AA10" i="7" l="1"/>
  <c r="G23" i="7"/>
  <c r="F22" i="7"/>
  <c r="Y7" i="7"/>
  <c r="AA7" i="7" s="1"/>
  <c r="G54" i="7"/>
  <c r="R44" i="7"/>
  <c r="F34" i="7"/>
  <c r="R43" i="7"/>
  <c r="R48" i="7"/>
  <c r="R51" i="7"/>
  <c r="Y9" i="7"/>
  <c r="Z15" i="7"/>
  <c r="AB15" i="7" s="1"/>
  <c r="W9" i="7"/>
  <c r="I18" i="7"/>
  <c r="Y6" i="7"/>
  <c r="AA6" i="7" s="1"/>
  <c r="W7" i="7"/>
  <c r="R45" i="7"/>
  <c r="W6" i="7"/>
  <c r="Q52" i="7"/>
  <c r="R46" i="7"/>
  <c r="AB10" i="7"/>
  <c r="AC10" i="7" s="1"/>
  <c r="S11" i="7"/>
  <c r="R49" i="7"/>
  <c r="Y5" i="7"/>
  <c r="AA5" i="7" s="1"/>
  <c r="Y4" i="7"/>
  <c r="G38" i="7"/>
  <c r="G55" i="7"/>
  <c r="P11" i="7"/>
  <c r="W5" i="7"/>
  <c r="W8" i="7"/>
  <c r="R50" i="7"/>
  <c r="H68" i="7"/>
  <c r="C59" i="7"/>
  <c r="D60" i="7"/>
  <c r="F62" i="7"/>
  <c r="AA9" i="7"/>
  <c r="I16" i="7"/>
  <c r="I14" i="7"/>
  <c r="F66" i="7"/>
  <c r="R47" i="7"/>
  <c r="P52" i="7"/>
  <c r="Q53" i="8" s="1"/>
  <c r="R42" i="7"/>
  <c r="U11" i="7"/>
  <c r="Z14" i="7"/>
  <c r="AB14" i="7" s="1"/>
  <c r="C58" i="7"/>
  <c r="D59" i="7"/>
  <c r="E60" i="7"/>
  <c r="F61" i="7"/>
  <c r="G62" i="7"/>
  <c r="R4" i="7"/>
  <c r="F36" i="7"/>
  <c r="C57" i="7"/>
  <c r="D58" i="7"/>
  <c r="E59" i="7"/>
  <c r="F60" i="7"/>
  <c r="G61" i="7"/>
  <c r="E61" i="7"/>
  <c r="G63" i="7"/>
  <c r="O11" i="7"/>
  <c r="C56" i="7"/>
  <c r="D57" i="7"/>
  <c r="E58" i="7"/>
  <c r="F59" i="7"/>
  <c r="G60" i="7"/>
  <c r="Y8" i="7"/>
  <c r="AA8" i="7" s="1"/>
  <c r="C54" i="7"/>
  <c r="C55" i="7"/>
  <c r="D56" i="7"/>
  <c r="E57" i="7"/>
  <c r="F58" i="7"/>
  <c r="G59" i="7"/>
  <c r="C63" i="7"/>
  <c r="G14" i="7"/>
  <c r="G16" i="7"/>
  <c r="H18" i="7"/>
  <c r="D54" i="7"/>
  <c r="D55" i="7"/>
  <c r="E56" i="7"/>
  <c r="F57" i="7"/>
  <c r="G58" i="7"/>
  <c r="C62" i="7"/>
  <c r="D63" i="7"/>
  <c r="H14" i="7"/>
  <c r="H16" i="7"/>
  <c r="E54" i="7"/>
  <c r="E55" i="7"/>
  <c r="F56" i="7"/>
  <c r="G57" i="7"/>
  <c r="C61" i="7"/>
  <c r="D62" i="7"/>
  <c r="E63" i="7"/>
  <c r="J60" i="7" l="1"/>
  <c r="J61" i="7"/>
  <c r="J58" i="7"/>
  <c r="J57" i="7"/>
  <c r="J55" i="7"/>
  <c r="J54" i="7"/>
  <c r="J56" i="7"/>
  <c r="J59" i="7"/>
  <c r="H27" i="7" s="1"/>
  <c r="I27" i="7" s="1"/>
  <c r="J62" i="7"/>
  <c r="H30" i="7" s="1"/>
  <c r="I30" i="7" s="1"/>
  <c r="J63" i="7"/>
  <c r="H31" i="7" s="1"/>
  <c r="I31" i="7" s="1"/>
  <c r="AB7" i="7"/>
  <c r="G66" i="7"/>
  <c r="AB6" i="7"/>
  <c r="AC6" i="7" s="1"/>
  <c r="F68" i="7"/>
  <c r="AB9" i="7"/>
  <c r="G22" i="7"/>
  <c r="G34" i="7" s="1"/>
  <c r="AB8" i="7"/>
  <c r="AD8" i="7" s="1"/>
  <c r="AB5" i="7"/>
  <c r="AD5" i="7" s="1"/>
  <c r="W15" i="7"/>
  <c r="AC15" i="7" s="1"/>
  <c r="AD15" i="7" s="1"/>
  <c r="Y11" i="7"/>
  <c r="AA4" i="7"/>
  <c r="AA11" i="7" s="1"/>
  <c r="G68" i="7"/>
  <c r="G64" i="7"/>
  <c r="D68" i="7"/>
  <c r="H28" i="7"/>
  <c r="I28" i="7" s="1"/>
  <c r="E68" i="7"/>
  <c r="R11" i="7"/>
  <c r="R17" i="7" s="1"/>
  <c r="W4" i="7"/>
  <c r="H66" i="7"/>
  <c r="H64" i="7"/>
  <c r="E64" i="7"/>
  <c r="R18" i="7" s="1"/>
  <c r="E66" i="7"/>
  <c r="D64" i="7"/>
  <c r="D66" i="7"/>
  <c r="C68" i="7"/>
  <c r="H29" i="7"/>
  <c r="I29" i="7" s="1"/>
  <c r="C64" i="7"/>
  <c r="C66" i="7"/>
  <c r="H25" i="7"/>
  <c r="I25" i="7" s="1"/>
  <c r="R52" i="7"/>
  <c r="H23" i="7"/>
  <c r="I23" i="7" s="1"/>
  <c r="F64" i="7"/>
  <c r="H26" i="7"/>
  <c r="I26" i="7" s="1"/>
  <c r="AW63" i="4"/>
  <c r="AV63" i="4"/>
  <c r="AU63" i="4"/>
  <c r="AT63" i="4"/>
  <c r="AS63" i="4"/>
  <c r="AR63" i="4"/>
  <c r="AQ63" i="4"/>
  <c r="AP63" i="4"/>
  <c r="AO63" i="4"/>
  <c r="AN63" i="4"/>
  <c r="AM63" i="4"/>
  <c r="AL63" i="4"/>
  <c r="AK63" i="4"/>
  <c r="AJ63" i="4"/>
  <c r="AI63" i="4"/>
  <c r="AH63" i="4"/>
  <c r="AG63" i="4"/>
  <c r="AF63" i="4"/>
  <c r="AE63" i="4"/>
  <c r="AD63" i="4"/>
  <c r="AC63" i="4"/>
  <c r="AI55" i="4"/>
  <c r="W55" i="4"/>
  <c r="AM54" i="4"/>
  <c r="AN54" i="4" s="1"/>
  <c r="AO54" i="4" s="1"/>
  <c r="AP54" i="4" s="1"/>
  <c r="AJ54" i="4"/>
  <c r="AJ55" i="4" s="1"/>
  <c r="AA54" i="4"/>
  <c r="AA55" i="4" s="1"/>
  <c r="X54" i="4"/>
  <c r="Y54" i="4" s="1"/>
  <c r="AU42" i="4"/>
  <c r="AV42" i="4" s="1"/>
  <c r="AW42" i="4" s="1"/>
  <c r="AW41" i="4"/>
  <c r="AW31" i="4"/>
  <c r="AV31" i="4"/>
  <c r="AU31" i="4"/>
  <c r="AT31" i="4"/>
  <c r="AS31" i="4"/>
  <c r="AR31" i="4"/>
  <c r="AQ31" i="4"/>
  <c r="AP31" i="4"/>
  <c r="AO31" i="4"/>
  <c r="AN31" i="4"/>
  <c r="AM31" i="4"/>
  <c r="AL31" i="4"/>
  <c r="AK31" i="4"/>
  <c r="AJ31" i="4"/>
  <c r="AI31" i="4"/>
  <c r="AH31" i="4"/>
  <c r="AG31" i="4"/>
  <c r="AF31" i="4"/>
  <c r="AE31" i="4"/>
  <c r="AD31" i="4"/>
  <c r="AC31" i="4"/>
  <c r="AJ22" i="4"/>
  <c r="AK22" i="4" s="1"/>
  <c r="AL22" i="4" s="1"/>
  <c r="AM22" i="4" s="1"/>
  <c r="AN22" i="4" s="1"/>
  <c r="AO22" i="4" s="1"/>
  <c r="AP22" i="4" s="1"/>
  <c r="AQ22" i="4" s="1"/>
  <c r="AR22" i="4" s="1"/>
  <c r="AS22" i="4" s="1"/>
  <c r="AT22" i="4" s="1"/>
  <c r="AU22" i="4" s="1"/>
  <c r="AV22" i="4" s="1"/>
  <c r="AW22" i="4" s="1"/>
  <c r="AA22" i="4"/>
  <c r="AB22" i="4" s="1"/>
  <c r="AC22" i="4" s="1"/>
  <c r="AD22" i="4" s="1"/>
  <c r="AE22" i="4" s="1"/>
  <c r="AF22" i="4" s="1"/>
  <c r="AG22" i="4" s="1"/>
  <c r="AH22" i="4" s="1"/>
  <c r="X22" i="4"/>
  <c r="Y22" i="4" s="1"/>
  <c r="Z22" i="4" s="1"/>
  <c r="AU10" i="4"/>
  <c r="AV10" i="4" s="1"/>
  <c r="AW10" i="4" s="1"/>
  <c r="W7" i="4"/>
  <c r="AK6" i="4"/>
  <c r="AJ5" i="4"/>
  <c r="X55" i="4" l="1"/>
  <c r="AB54" i="4"/>
  <c r="AB55" i="4" s="1"/>
  <c r="AK54" i="4"/>
  <c r="AM55" i="4"/>
  <c r="AH7" i="4"/>
  <c r="AI7" i="4" s="1"/>
  <c r="AD6" i="7"/>
  <c r="AC8" i="7"/>
  <c r="G36" i="7"/>
  <c r="AC5" i="7"/>
  <c r="J66" i="7"/>
  <c r="H22" i="7"/>
  <c r="J64" i="7"/>
  <c r="R53" i="7" s="1"/>
  <c r="R54" i="7" s="1"/>
  <c r="W14" i="7"/>
  <c r="AC14" i="7" s="1"/>
  <c r="AD14" i="7" s="1"/>
  <c r="W11" i="7"/>
  <c r="AB4" i="7"/>
  <c r="J68" i="7"/>
  <c r="H24" i="7"/>
  <c r="AH39" i="4"/>
  <c r="AI39" i="4" s="1"/>
  <c r="W39" i="4"/>
  <c r="Z54" i="4"/>
  <c r="Z55" i="4" s="1"/>
  <c r="Y55" i="4"/>
  <c r="AQ54" i="4"/>
  <c r="AP55" i="4"/>
  <c r="AN55" i="4"/>
  <c r="AO55" i="4"/>
  <c r="AC54" i="4" l="1"/>
  <c r="AC55" i="4" s="1"/>
  <c r="AK55" i="4"/>
  <c r="AL54" i="4"/>
  <c r="AL55" i="4" s="1"/>
  <c r="H34" i="7"/>
  <c r="H36" i="7"/>
  <c r="I22" i="7"/>
  <c r="H38" i="7"/>
  <c r="I24" i="7"/>
  <c r="I38" i="7" s="1"/>
  <c r="AB11" i="7"/>
  <c r="AD11" i="7" s="1"/>
  <c r="AD4" i="7"/>
  <c r="AC4" i="7"/>
  <c r="AC11" i="7" s="1"/>
  <c r="AR54" i="4"/>
  <c r="AQ55" i="4"/>
  <c r="AD54" i="4"/>
  <c r="G4" i="6"/>
  <c r="I34" i="7" l="1"/>
  <c r="I36" i="7"/>
  <c r="AR55" i="4"/>
  <c r="AS54" i="4"/>
  <c r="AD55" i="4"/>
  <c r="AE54" i="4"/>
  <c r="O51" i="6"/>
  <c r="Q51" i="6" s="1"/>
  <c r="N51" i="6"/>
  <c r="P51" i="6" s="1"/>
  <c r="O50" i="6"/>
  <c r="Q50" i="6" s="1"/>
  <c r="N50" i="6"/>
  <c r="P50" i="6" s="1"/>
  <c r="O49" i="6"/>
  <c r="Q49" i="6" s="1"/>
  <c r="N49" i="6"/>
  <c r="P49" i="6" s="1"/>
  <c r="O48" i="6"/>
  <c r="Q48" i="6" s="1"/>
  <c r="N48" i="6"/>
  <c r="P48" i="6" s="1"/>
  <c r="O47" i="6"/>
  <c r="Q47" i="6" s="1"/>
  <c r="N47" i="6"/>
  <c r="P47" i="6" s="1"/>
  <c r="O46" i="6"/>
  <c r="Q46" i="6" s="1"/>
  <c r="N46" i="6"/>
  <c r="P46" i="6" s="1"/>
  <c r="O45" i="6"/>
  <c r="Q45" i="6" s="1"/>
  <c r="N45" i="6"/>
  <c r="P45" i="6" s="1"/>
  <c r="O44" i="6"/>
  <c r="Q44" i="6" s="1"/>
  <c r="N44" i="6"/>
  <c r="P44" i="6" s="1"/>
  <c r="O43" i="6"/>
  <c r="Q43" i="6" s="1"/>
  <c r="N43" i="6"/>
  <c r="P43" i="6" s="1"/>
  <c r="O42" i="6"/>
  <c r="Q42" i="6" s="1"/>
  <c r="N42" i="6"/>
  <c r="P42" i="6" s="1"/>
  <c r="F38" i="6"/>
  <c r="E38" i="6"/>
  <c r="D38" i="6"/>
  <c r="C38" i="6"/>
  <c r="E36" i="6"/>
  <c r="D36" i="6"/>
  <c r="C36" i="6"/>
  <c r="E34" i="6"/>
  <c r="D34" i="6"/>
  <c r="C34" i="6"/>
  <c r="G31" i="6"/>
  <c r="G30" i="6"/>
  <c r="G29" i="6"/>
  <c r="G28" i="6"/>
  <c r="G27" i="6"/>
  <c r="G26" i="6"/>
  <c r="G25" i="6"/>
  <c r="G24" i="6"/>
  <c r="F23" i="6"/>
  <c r="G18" i="6"/>
  <c r="F18" i="6"/>
  <c r="E18" i="6"/>
  <c r="C18" i="6"/>
  <c r="F16" i="6"/>
  <c r="E16" i="6"/>
  <c r="C16" i="6"/>
  <c r="F14" i="6"/>
  <c r="E14" i="6"/>
  <c r="C14" i="6"/>
  <c r="I13" i="6"/>
  <c r="H13" i="6"/>
  <c r="E63" i="6" s="1"/>
  <c r="I12" i="6"/>
  <c r="H12" i="6"/>
  <c r="D62" i="6" s="1"/>
  <c r="N11" i="6"/>
  <c r="I11" i="6"/>
  <c r="H11" i="6"/>
  <c r="C61" i="6" s="1"/>
  <c r="Z10" i="6"/>
  <c r="Y10" i="6"/>
  <c r="U10" i="6"/>
  <c r="R10" i="6"/>
  <c r="I10" i="6"/>
  <c r="H10" i="6"/>
  <c r="H60" i="6" s="1"/>
  <c r="Z9" i="6"/>
  <c r="S9" i="6"/>
  <c r="P9" i="6"/>
  <c r="R9" i="6" s="1"/>
  <c r="O9" i="6"/>
  <c r="I9" i="6"/>
  <c r="H9" i="6"/>
  <c r="H59" i="6" s="1"/>
  <c r="Z8" i="6"/>
  <c r="S8" i="6"/>
  <c r="U8" i="6" s="1"/>
  <c r="P8" i="6"/>
  <c r="R8" i="6" s="1"/>
  <c r="O8" i="6"/>
  <c r="I8" i="6"/>
  <c r="H8" i="6"/>
  <c r="H58" i="6" s="1"/>
  <c r="Z7" i="6"/>
  <c r="S7" i="6"/>
  <c r="U7" i="6" s="1"/>
  <c r="P7" i="6"/>
  <c r="R7" i="6" s="1"/>
  <c r="O7" i="6"/>
  <c r="I7" i="6"/>
  <c r="H7" i="6"/>
  <c r="G57" i="6" s="1"/>
  <c r="Z6" i="6"/>
  <c r="S6" i="6"/>
  <c r="P6" i="6"/>
  <c r="R6" i="6" s="1"/>
  <c r="O6" i="6"/>
  <c r="I6" i="6"/>
  <c r="H6" i="6"/>
  <c r="F56" i="6" s="1"/>
  <c r="Z5" i="6"/>
  <c r="S5" i="6"/>
  <c r="U5" i="6" s="1"/>
  <c r="P5" i="6"/>
  <c r="R5" i="6" s="1"/>
  <c r="O5" i="6"/>
  <c r="I5" i="6"/>
  <c r="H5" i="6"/>
  <c r="E55" i="6" s="1"/>
  <c r="Z4" i="6"/>
  <c r="S4" i="6"/>
  <c r="O4" i="6"/>
  <c r="I4" i="6"/>
  <c r="H4" i="6"/>
  <c r="E54" i="6" s="1"/>
  <c r="G16" i="6"/>
  <c r="AC2" i="6"/>
  <c r="Z2" i="6"/>
  <c r="Y2" i="6"/>
  <c r="W2" i="6"/>
  <c r="U2" i="6"/>
  <c r="S2" i="6"/>
  <c r="P2" i="6"/>
  <c r="O2" i="6"/>
  <c r="N2" i="6"/>
  <c r="R49" i="6" l="1"/>
  <c r="D60" i="6"/>
  <c r="W10" i="6"/>
  <c r="AA10" i="6"/>
  <c r="R48" i="6"/>
  <c r="R50" i="6"/>
  <c r="R42" i="6"/>
  <c r="R44" i="6"/>
  <c r="C60" i="6"/>
  <c r="AS55" i="4"/>
  <c r="AT54" i="4"/>
  <c r="AE55" i="4"/>
  <c r="AF54" i="4"/>
  <c r="G23" i="6"/>
  <c r="F22" i="6"/>
  <c r="G22" i="6" s="1"/>
  <c r="Y5" i="6"/>
  <c r="AA5" i="6" s="1"/>
  <c r="Y8" i="6"/>
  <c r="AA8" i="6" s="1"/>
  <c r="Y9" i="6"/>
  <c r="AA9" i="6" s="1"/>
  <c r="R47" i="6"/>
  <c r="G38" i="6"/>
  <c r="F54" i="6"/>
  <c r="F55" i="6"/>
  <c r="F60" i="6"/>
  <c r="D61" i="6"/>
  <c r="Z15" i="6"/>
  <c r="AB15" i="6" s="1"/>
  <c r="F63" i="6"/>
  <c r="Y7" i="6"/>
  <c r="AA7" i="6" s="1"/>
  <c r="W8" i="6"/>
  <c r="R45" i="6"/>
  <c r="G55" i="6"/>
  <c r="G60" i="6"/>
  <c r="H57" i="6"/>
  <c r="E62" i="6"/>
  <c r="W5" i="6"/>
  <c r="R43" i="6"/>
  <c r="R51" i="6"/>
  <c r="D58" i="6"/>
  <c r="F62" i="6"/>
  <c r="W7" i="6"/>
  <c r="G56" i="6"/>
  <c r="E58" i="6"/>
  <c r="H62" i="6"/>
  <c r="S11" i="6"/>
  <c r="G54" i="6"/>
  <c r="Y6" i="6"/>
  <c r="AA6" i="6" s="1"/>
  <c r="I16" i="6"/>
  <c r="I18" i="6"/>
  <c r="E66" i="6"/>
  <c r="Q52" i="6"/>
  <c r="AB10" i="6"/>
  <c r="AC10" i="6" s="1"/>
  <c r="R46" i="6"/>
  <c r="P52" i="6"/>
  <c r="Q53" i="7" s="1"/>
  <c r="U6" i="6"/>
  <c r="W6" i="6" s="1"/>
  <c r="U9" i="6"/>
  <c r="W9" i="6" s="1"/>
  <c r="H56" i="6"/>
  <c r="C59" i="6"/>
  <c r="E61" i="6"/>
  <c r="G63" i="6"/>
  <c r="P4" i="6"/>
  <c r="H54" i="6"/>
  <c r="H55" i="6"/>
  <c r="C58" i="6"/>
  <c r="D59" i="6"/>
  <c r="E60" i="6"/>
  <c r="F61" i="6"/>
  <c r="G62" i="6"/>
  <c r="H63" i="6"/>
  <c r="I14" i="6"/>
  <c r="E59" i="6"/>
  <c r="U4" i="6"/>
  <c r="U11" i="6" s="1"/>
  <c r="C54" i="6"/>
  <c r="C55" i="6"/>
  <c r="D56" i="6"/>
  <c r="E57" i="6"/>
  <c r="F58" i="6"/>
  <c r="G59" i="6"/>
  <c r="C63" i="6"/>
  <c r="C57" i="6"/>
  <c r="C56" i="6"/>
  <c r="D57" i="6"/>
  <c r="F59" i="6"/>
  <c r="H61" i="6"/>
  <c r="G14" i="6"/>
  <c r="H18" i="6"/>
  <c r="D54" i="6"/>
  <c r="D55" i="6"/>
  <c r="E56" i="6"/>
  <c r="F57" i="6"/>
  <c r="G58" i="6"/>
  <c r="C62" i="6"/>
  <c r="D63" i="6"/>
  <c r="G61" i="6"/>
  <c r="O11" i="6"/>
  <c r="H14" i="6"/>
  <c r="H16" i="6"/>
  <c r="H68" i="6" l="1"/>
  <c r="I60" i="6"/>
  <c r="H28" i="6" s="1"/>
  <c r="I28" i="6" s="1"/>
  <c r="AB5" i="6"/>
  <c r="AC5" i="6" s="1"/>
  <c r="AG54" i="4"/>
  <c r="AF55" i="4"/>
  <c r="AT55" i="4"/>
  <c r="AU54" i="4"/>
  <c r="F66" i="6"/>
  <c r="G66" i="6"/>
  <c r="I55" i="6"/>
  <c r="H23" i="6" s="1"/>
  <c r="I23" i="6" s="1"/>
  <c r="AB9" i="6"/>
  <c r="AB8" i="6"/>
  <c r="AC8" i="6" s="1"/>
  <c r="F68" i="6"/>
  <c r="AB7" i="6"/>
  <c r="I62" i="6"/>
  <c r="H30" i="6" s="1"/>
  <c r="I30" i="6" s="1"/>
  <c r="R52" i="6"/>
  <c r="E68" i="6"/>
  <c r="I61" i="6"/>
  <c r="H29" i="6" s="1"/>
  <c r="I29" i="6" s="1"/>
  <c r="G64" i="6"/>
  <c r="F64" i="6"/>
  <c r="D68" i="6"/>
  <c r="AD5" i="6"/>
  <c r="F34" i="6"/>
  <c r="F36" i="6"/>
  <c r="E64" i="6"/>
  <c r="R18" i="6" s="1"/>
  <c r="C68" i="6"/>
  <c r="I56" i="6"/>
  <c r="C66" i="6"/>
  <c r="C64" i="6"/>
  <c r="I54" i="6"/>
  <c r="I58" i="6"/>
  <c r="H26" i="6" s="1"/>
  <c r="I26" i="6" s="1"/>
  <c r="I63" i="6"/>
  <c r="H31" i="6" s="1"/>
  <c r="I31" i="6" s="1"/>
  <c r="W15" i="6"/>
  <c r="AC15" i="6" s="1"/>
  <c r="AD15" i="6" s="1"/>
  <c r="AB6" i="6"/>
  <c r="H64" i="6"/>
  <c r="H66" i="6"/>
  <c r="R4" i="6"/>
  <c r="P11" i="6"/>
  <c r="I57" i="6"/>
  <c r="H25" i="6" s="1"/>
  <c r="I25" i="6" s="1"/>
  <c r="I59" i="6"/>
  <c r="H27" i="6" s="1"/>
  <c r="I27" i="6" s="1"/>
  <c r="G68" i="6"/>
  <c r="G36" i="6"/>
  <c r="G34" i="6"/>
  <c r="Y4" i="6"/>
  <c r="D64" i="6"/>
  <c r="D66" i="6"/>
  <c r="Z14" i="6"/>
  <c r="AB14" i="6" s="1"/>
  <c r="G4" i="5"/>
  <c r="AH54" i="4" l="1"/>
  <c r="AH55" i="4" s="1"/>
  <c r="AG55" i="4"/>
  <c r="AU55" i="4"/>
  <c r="AV54" i="4"/>
  <c r="AD8" i="6"/>
  <c r="R11" i="6"/>
  <c r="R17" i="6" s="1"/>
  <c r="W4" i="6"/>
  <c r="H24" i="6"/>
  <c r="I68" i="6"/>
  <c r="H22" i="6"/>
  <c r="I64" i="6"/>
  <c r="R53" i="6" s="1"/>
  <c r="Q54" i="6" s="1"/>
  <c r="I66" i="6"/>
  <c r="AC6" i="6"/>
  <c r="AD6" i="6"/>
  <c r="Y11" i="6"/>
  <c r="AA4" i="6"/>
  <c r="AA11" i="6" s="1"/>
  <c r="O51" i="5"/>
  <c r="Q51" i="5" s="1"/>
  <c r="N51" i="5"/>
  <c r="P51" i="5" s="1"/>
  <c r="O50" i="5"/>
  <c r="Q50" i="5" s="1"/>
  <c r="N50" i="5"/>
  <c r="P50" i="5" s="1"/>
  <c r="O49" i="5"/>
  <c r="Q49" i="5" s="1"/>
  <c r="N49" i="5"/>
  <c r="P49" i="5" s="1"/>
  <c r="O48" i="5"/>
  <c r="Q48" i="5" s="1"/>
  <c r="N48" i="5"/>
  <c r="P48" i="5" s="1"/>
  <c r="O47" i="5"/>
  <c r="Q47" i="5" s="1"/>
  <c r="N47" i="5"/>
  <c r="P47" i="5" s="1"/>
  <c r="O46" i="5"/>
  <c r="Q46" i="5" s="1"/>
  <c r="N46" i="5"/>
  <c r="P46" i="5" s="1"/>
  <c r="O45" i="5"/>
  <c r="Q45" i="5" s="1"/>
  <c r="N45" i="5"/>
  <c r="P45" i="5" s="1"/>
  <c r="O44" i="5"/>
  <c r="Q44" i="5" s="1"/>
  <c r="N44" i="5"/>
  <c r="P44" i="5" s="1"/>
  <c r="O43" i="5"/>
  <c r="Q43" i="5" s="1"/>
  <c r="N43" i="5"/>
  <c r="P43" i="5" s="1"/>
  <c r="O42" i="5"/>
  <c r="Q42" i="5" s="1"/>
  <c r="N42" i="5"/>
  <c r="P42" i="5" s="1"/>
  <c r="F38" i="5"/>
  <c r="E38" i="5"/>
  <c r="D38" i="5"/>
  <c r="C38" i="5"/>
  <c r="E36" i="5"/>
  <c r="D36" i="5"/>
  <c r="C36" i="5"/>
  <c r="E34" i="5"/>
  <c r="D34" i="5"/>
  <c r="C34" i="5"/>
  <c r="G31" i="5"/>
  <c r="G30" i="5"/>
  <c r="G29" i="5"/>
  <c r="G28" i="5"/>
  <c r="G27" i="5"/>
  <c r="G26" i="5"/>
  <c r="G25" i="5"/>
  <c r="G24" i="5"/>
  <c r="F23" i="5"/>
  <c r="G18" i="5"/>
  <c r="F18" i="5"/>
  <c r="E18" i="5"/>
  <c r="C18" i="5"/>
  <c r="F16" i="5"/>
  <c r="E16" i="5"/>
  <c r="C16" i="5"/>
  <c r="F14" i="5"/>
  <c r="E14" i="5"/>
  <c r="C14" i="5"/>
  <c r="I13" i="5"/>
  <c r="H13" i="5"/>
  <c r="F63" i="5" s="1"/>
  <c r="I12" i="5"/>
  <c r="H12" i="5"/>
  <c r="E62" i="5" s="1"/>
  <c r="N11" i="5"/>
  <c r="I11" i="5"/>
  <c r="H11" i="5"/>
  <c r="D61" i="5" s="1"/>
  <c r="Z10" i="5"/>
  <c r="Y10" i="5"/>
  <c r="U10" i="5"/>
  <c r="R10" i="5"/>
  <c r="I10" i="5"/>
  <c r="H10" i="5"/>
  <c r="C60" i="5" s="1"/>
  <c r="Z9" i="5"/>
  <c r="S9" i="5"/>
  <c r="P9" i="5"/>
  <c r="R9" i="5" s="1"/>
  <c r="O9" i="5"/>
  <c r="I9" i="5"/>
  <c r="H9" i="5"/>
  <c r="H59" i="5" s="1"/>
  <c r="Z8" i="5"/>
  <c r="S8" i="5"/>
  <c r="U8" i="5" s="1"/>
  <c r="P8" i="5"/>
  <c r="R8" i="5" s="1"/>
  <c r="O8" i="5"/>
  <c r="I8" i="5"/>
  <c r="H8" i="5"/>
  <c r="H58" i="5" s="1"/>
  <c r="Z7" i="5"/>
  <c r="S7" i="5"/>
  <c r="U7" i="5" s="1"/>
  <c r="P7" i="5"/>
  <c r="R7" i="5" s="1"/>
  <c r="O7" i="5"/>
  <c r="I7" i="5"/>
  <c r="H7" i="5"/>
  <c r="H57" i="5" s="1"/>
  <c r="Z6" i="5"/>
  <c r="S6" i="5"/>
  <c r="P6" i="5"/>
  <c r="R6" i="5" s="1"/>
  <c r="O6" i="5"/>
  <c r="I6" i="5"/>
  <c r="H6" i="5"/>
  <c r="G56" i="5" s="1"/>
  <c r="Z5" i="5"/>
  <c r="S5" i="5"/>
  <c r="U5" i="5" s="1"/>
  <c r="P5" i="5"/>
  <c r="R5" i="5" s="1"/>
  <c r="O5" i="5"/>
  <c r="I5" i="5"/>
  <c r="H5" i="5"/>
  <c r="F55" i="5" s="1"/>
  <c r="Z4" i="5"/>
  <c r="S4" i="5"/>
  <c r="U4" i="5" s="1"/>
  <c r="O4" i="5"/>
  <c r="I4" i="5"/>
  <c r="H4" i="5"/>
  <c r="F54" i="5" s="1"/>
  <c r="G16" i="5"/>
  <c r="AC2" i="5"/>
  <c r="Z2" i="5"/>
  <c r="Y2" i="5"/>
  <c r="W2" i="5"/>
  <c r="U2" i="5"/>
  <c r="S2" i="5"/>
  <c r="P2" i="5"/>
  <c r="O2" i="5"/>
  <c r="N2" i="5"/>
  <c r="E30" i="2"/>
  <c r="F30" i="2" s="1"/>
  <c r="AA10" i="5" l="1"/>
  <c r="W10" i="5"/>
  <c r="AB10" i="5" s="1"/>
  <c r="AC10" i="5" s="1"/>
  <c r="R51" i="5"/>
  <c r="R44" i="5"/>
  <c r="E61" i="5"/>
  <c r="R48" i="5"/>
  <c r="R47" i="5"/>
  <c r="AW54" i="4"/>
  <c r="AW55" i="4" s="1"/>
  <c r="AV55" i="4"/>
  <c r="H34" i="6"/>
  <c r="H36" i="6"/>
  <c r="I22" i="6"/>
  <c r="H38" i="6"/>
  <c r="I24" i="6"/>
  <c r="I38" i="6" s="1"/>
  <c r="AB4" i="6"/>
  <c r="W14" i="6"/>
  <c r="AC14" i="6" s="1"/>
  <c r="AD14" i="6" s="1"/>
  <c r="W11" i="6"/>
  <c r="G23" i="5"/>
  <c r="F22" i="5"/>
  <c r="F34" i="5" s="1"/>
  <c r="P52" i="5"/>
  <c r="Q53" i="6" s="1"/>
  <c r="O11" i="5"/>
  <c r="Y9" i="5"/>
  <c r="AA9" i="5" s="1"/>
  <c r="I18" i="5"/>
  <c r="W7" i="5"/>
  <c r="Y5" i="5"/>
  <c r="AA5" i="5" s="1"/>
  <c r="Z15" i="5"/>
  <c r="AB15" i="5" s="1"/>
  <c r="I16" i="5"/>
  <c r="S11" i="5"/>
  <c r="G55" i="5"/>
  <c r="W5" i="5"/>
  <c r="H56" i="5"/>
  <c r="H68" i="5" s="1"/>
  <c r="Q52" i="5"/>
  <c r="C59" i="5"/>
  <c r="Y8" i="5"/>
  <c r="AA8" i="5" s="1"/>
  <c r="Y7" i="5"/>
  <c r="AA7" i="5" s="1"/>
  <c r="W8" i="5"/>
  <c r="R43" i="5"/>
  <c r="R45" i="5"/>
  <c r="G63" i="5"/>
  <c r="G38" i="5"/>
  <c r="R46" i="5"/>
  <c r="R50" i="5"/>
  <c r="F66" i="5"/>
  <c r="R49" i="5"/>
  <c r="G54" i="5"/>
  <c r="D60" i="5"/>
  <c r="F62" i="5"/>
  <c r="U6" i="5"/>
  <c r="W6" i="5" s="1"/>
  <c r="U9" i="5"/>
  <c r="W9" i="5" s="1"/>
  <c r="H54" i="5"/>
  <c r="H55" i="5"/>
  <c r="C58" i="5"/>
  <c r="D59" i="5"/>
  <c r="E60" i="5"/>
  <c r="F61" i="5"/>
  <c r="G62" i="5"/>
  <c r="H63" i="5"/>
  <c r="P4" i="5"/>
  <c r="Z14" i="5" s="1"/>
  <c r="AB14" i="5" s="1"/>
  <c r="R42" i="5"/>
  <c r="C57" i="5"/>
  <c r="D58" i="5"/>
  <c r="E59" i="5"/>
  <c r="F60" i="5"/>
  <c r="G61" i="5"/>
  <c r="H62" i="5"/>
  <c r="I14" i="5"/>
  <c r="C56" i="5"/>
  <c r="D57" i="5"/>
  <c r="E58" i="5"/>
  <c r="F59" i="5"/>
  <c r="G60" i="5"/>
  <c r="H61" i="5"/>
  <c r="C54" i="5"/>
  <c r="C55" i="5"/>
  <c r="D56" i="5"/>
  <c r="E57" i="5"/>
  <c r="F58" i="5"/>
  <c r="G59" i="5"/>
  <c r="H60" i="5"/>
  <c r="C63" i="5"/>
  <c r="Y6" i="5"/>
  <c r="AA6" i="5" s="1"/>
  <c r="D54" i="5"/>
  <c r="D55" i="5"/>
  <c r="E56" i="5"/>
  <c r="F57" i="5"/>
  <c r="G58" i="5"/>
  <c r="C62" i="5"/>
  <c r="D63" i="5"/>
  <c r="G14" i="5"/>
  <c r="H18" i="5"/>
  <c r="E54" i="5"/>
  <c r="E55" i="5"/>
  <c r="F56" i="5"/>
  <c r="G57" i="5"/>
  <c r="G68" i="5" s="1"/>
  <c r="C61" i="5"/>
  <c r="D62" i="5"/>
  <c r="E63" i="5"/>
  <c r="H14" i="5"/>
  <c r="H16" i="5"/>
  <c r="G18" i="3"/>
  <c r="C18" i="3"/>
  <c r="D38" i="3"/>
  <c r="C38" i="3"/>
  <c r="AB9" i="5" l="1"/>
  <c r="F68" i="5"/>
  <c r="I60" i="5"/>
  <c r="H28" i="5" s="1"/>
  <c r="I28" i="5" s="1"/>
  <c r="AB11" i="6"/>
  <c r="AD11" i="6" s="1"/>
  <c r="AD4" i="6"/>
  <c r="AC4" i="6"/>
  <c r="AC11" i="6" s="1"/>
  <c r="I34" i="6"/>
  <c r="I36" i="6"/>
  <c r="G22" i="5"/>
  <c r="F36" i="5"/>
  <c r="I61" i="5"/>
  <c r="H29" i="5" s="1"/>
  <c r="I29" i="5" s="1"/>
  <c r="AB7" i="5"/>
  <c r="AB5" i="5"/>
  <c r="AD5" i="5" s="1"/>
  <c r="I59" i="5"/>
  <c r="H27" i="5" s="1"/>
  <c r="I27" i="5" s="1"/>
  <c r="AC5" i="5"/>
  <c r="AB8" i="5"/>
  <c r="AC8" i="5" s="1"/>
  <c r="U11" i="5"/>
  <c r="D68" i="5"/>
  <c r="I63" i="5"/>
  <c r="H31" i="5" s="1"/>
  <c r="I31" i="5" s="1"/>
  <c r="H66" i="5"/>
  <c r="H64" i="5"/>
  <c r="E68" i="5"/>
  <c r="I62" i="5"/>
  <c r="H30" i="5" s="1"/>
  <c r="I30" i="5" s="1"/>
  <c r="F64" i="5"/>
  <c r="Y4" i="5"/>
  <c r="P11" i="5"/>
  <c r="R4" i="5"/>
  <c r="W15" i="5"/>
  <c r="AC15" i="5" s="1"/>
  <c r="AD15" i="5" s="1"/>
  <c r="AB6" i="5"/>
  <c r="E64" i="5"/>
  <c r="R18" i="5" s="1"/>
  <c r="E66" i="5"/>
  <c r="D64" i="5"/>
  <c r="D66" i="5"/>
  <c r="I55" i="5"/>
  <c r="H23" i="5" s="1"/>
  <c r="I23" i="5" s="1"/>
  <c r="I57" i="5"/>
  <c r="H25" i="5" s="1"/>
  <c r="I25" i="5" s="1"/>
  <c r="C64" i="5"/>
  <c r="C66" i="5"/>
  <c r="I54" i="5"/>
  <c r="C68" i="5"/>
  <c r="I56" i="5"/>
  <c r="R52" i="5"/>
  <c r="I58" i="5"/>
  <c r="H26" i="5" s="1"/>
  <c r="I26" i="5" s="1"/>
  <c r="G64" i="5"/>
  <c r="G66" i="5"/>
  <c r="G36" i="5" l="1"/>
  <c r="G34" i="5"/>
  <c r="AD8" i="5"/>
  <c r="AC6" i="5"/>
  <c r="AD6" i="5"/>
  <c r="R11" i="5"/>
  <c r="R17" i="5" s="1"/>
  <c r="W4" i="5"/>
  <c r="I68" i="5"/>
  <c r="H24" i="5"/>
  <c r="Y11" i="5"/>
  <c r="AA4" i="5"/>
  <c r="AA11" i="5" s="1"/>
  <c r="H22" i="5"/>
  <c r="I64" i="5"/>
  <c r="R53" i="5" s="1"/>
  <c r="Q54" i="5" s="1"/>
  <c r="I66" i="5"/>
  <c r="G4" i="3"/>
  <c r="H34" i="5" l="1"/>
  <c r="H36" i="5"/>
  <c r="I22" i="5"/>
  <c r="H38" i="5"/>
  <c r="I24" i="5"/>
  <c r="I38" i="5" s="1"/>
  <c r="AB4" i="5"/>
  <c r="W14" i="5"/>
  <c r="AC14" i="5" s="1"/>
  <c r="AD14" i="5" s="1"/>
  <c r="W11" i="5"/>
  <c r="O40" i="2"/>
  <c r="O52" i="2" s="1"/>
  <c r="O39" i="2"/>
  <c r="O51" i="2" s="1"/>
  <c r="O38" i="2"/>
  <c r="O50" i="2" s="1"/>
  <c r="O37" i="2"/>
  <c r="O46" i="2" s="1"/>
  <c r="C25" i="19" s="1"/>
  <c r="O13" i="2"/>
  <c r="O25" i="2" s="1"/>
  <c r="O12" i="2"/>
  <c r="O24" i="2" s="1"/>
  <c r="O11" i="2"/>
  <c r="O23" i="2" s="1"/>
  <c r="O10" i="2"/>
  <c r="N40" i="2"/>
  <c r="N52" i="2" s="1"/>
  <c r="N39" i="2"/>
  <c r="N51" i="2" s="1"/>
  <c r="N38" i="2"/>
  <c r="N50" i="2" s="1"/>
  <c r="N37" i="2"/>
  <c r="N13" i="2"/>
  <c r="N25" i="2" s="1"/>
  <c r="N12" i="2"/>
  <c r="N24" i="2" s="1"/>
  <c r="N11" i="2"/>
  <c r="N23" i="2" s="1"/>
  <c r="N10" i="2"/>
  <c r="M40" i="2"/>
  <c r="M52" i="2" s="1"/>
  <c r="M39" i="2"/>
  <c r="M51" i="2" s="1"/>
  <c r="M38" i="2"/>
  <c r="M50" i="2" s="1"/>
  <c r="M37" i="2"/>
  <c r="M46" i="2" s="1"/>
  <c r="M13" i="2"/>
  <c r="M25" i="2" s="1"/>
  <c r="M12" i="2"/>
  <c r="M24" i="2" s="1"/>
  <c r="M11" i="2"/>
  <c r="M23" i="2" s="1"/>
  <c r="M10" i="2"/>
  <c r="M19" i="2" s="1"/>
  <c r="L40" i="2"/>
  <c r="L52" i="2" s="1"/>
  <c r="L39" i="2"/>
  <c r="L51" i="2" s="1"/>
  <c r="L38" i="2"/>
  <c r="L50" i="2" s="1"/>
  <c r="L37" i="2"/>
  <c r="L46" i="2" s="1"/>
  <c r="L13" i="2"/>
  <c r="L25" i="2" s="1"/>
  <c r="L12" i="2"/>
  <c r="L24" i="2" s="1"/>
  <c r="L11" i="2"/>
  <c r="L23" i="2" s="1"/>
  <c r="L10" i="2"/>
  <c r="L19" i="2" s="1"/>
  <c r="K40" i="2"/>
  <c r="K52" i="2" s="1"/>
  <c r="K39" i="2"/>
  <c r="K51" i="2" s="1"/>
  <c r="K38" i="2"/>
  <c r="K50" i="2" s="1"/>
  <c r="K37" i="2"/>
  <c r="K46" i="2" s="1"/>
  <c r="K13" i="2"/>
  <c r="K25" i="2" s="1"/>
  <c r="K12" i="2"/>
  <c r="K24" i="2" s="1"/>
  <c r="K11" i="2"/>
  <c r="K23" i="2" s="1"/>
  <c r="K10" i="2"/>
  <c r="K19" i="2" s="1"/>
  <c r="J40" i="2"/>
  <c r="J52" i="2" s="1"/>
  <c r="J39" i="2"/>
  <c r="J51" i="2" s="1"/>
  <c r="J38" i="2"/>
  <c r="J50" i="2" s="1"/>
  <c r="J37" i="2"/>
  <c r="J46" i="2" s="1"/>
  <c r="J13" i="2"/>
  <c r="J25" i="2" s="1"/>
  <c r="J12" i="2"/>
  <c r="J24" i="2" s="1"/>
  <c r="J11" i="2"/>
  <c r="J23" i="2" s="1"/>
  <c r="J10" i="2"/>
  <c r="J19" i="2" s="1"/>
  <c r="I40" i="2"/>
  <c r="I52" i="2" s="1"/>
  <c r="I39" i="2"/>
  <c r="I51" i="2" s="1"/>
  <c r="I38" i="2"/>
  <c r="I50" i="2" s="1"/>
  <c r="I37" i="2"/>
  <c r="I46" i="2" s="1"/>
  <c r="I13" i="2"/>
  <c r="I25" i="2" s="1"/>
  <c r="I12" i="2"/>
  <c r="I24" i="2" s="1"/>
  <c r="I11" i="2"/>
  <c r="I23" i="2" s="1"/>
  <c r="I10" i="2"/>
  <c r="I19" i="2" s="1"/>
  <c r="H40" i="2"/>
  <c r="H52" i="2" s="1"/>
  <c r="H39" i="2"/>
  <c r="H51" i="2" s="1"/>
  <c r="H38" i="2"/>
  <c r="H50" i="2" s="1"/>
  <c r="H37" i="2"/>
  <c r="H46" i="2" s="1"/>
  <c r="H13" i="2"/>
  <c r="H25" i="2" s="1"/>
  <c r="H12" i="2"/>
  <c r="H24" i="2" s="1"/>
  <c r="H11" i="2"/>
  <c r="H23" i="2" s="1"/>
  <c r="H10" i="2"/>
  <c r="H19" i="2" s="1"/>
  <c r="N46" i="2"/>
  <c r="G40" i="2"/>
  <c r="G39" i="2"/>
  <c r="G51" i="2" s="1"/>
  <c r="G38" i="2"/>
  <c r="G50" i="2" s="1"/>
  <c r="G37" i="2"/>
  <c r="G46" i="2" s="1"/>
  <c r="C19" i="19" s="1"/>
  <c r="G13" i="2"/>
  <c r="G25" i="2" s="1"/>
  <c r="G12" i="2"/>
  <c r="G24" i="2" s="1"/>
  <c r="G11" i="2"/>
  <c r="G23" i="2" s="1"/>
  <c r="G10" i="2"/>
  <c r="N19" i="2" l="1"/>
  <c r="N96" i="2" s="1"/>
  <c r="N30" i="2"/>
  <c r="N57" i="2" s="1"/>
  <c r="O19" i="2"/>
  <c r="O30" i="2"/>
  <c r="H97" i="2"/>
  <c r="O97" i="2"/>
  <c r="L96" i="2"/>
  <c r="M97" i="2"/>
  <c r="M96" i="2"/>
  <c r="J96" i="2"/>
  <c r="L97" i="2"/>
  <c r="I97" i="2"/>
  <c r="I96" i="2"/>
  <c r="G52" i="2"/>
  <c r="G19" i="2"/>
  <c r="N97" i="2"/>
  <c r="J97" i="2"/>
  <c r="K97" i="2"/>
  <c r="H96" i="2"/>
  <c r="K96" i="2"/>
  <c r="G97" i="2"/>
  <c r="AB11" i="5"/>
  <c r="AD11" i="5" s="1"/>
  <c r="AD4" i="5"/>
  <c r="AC4" i="5"/>
  <c r="AC11" i="5" s="1"/>
  <c r="I34" i="5"/>
  <c r="I36" i="5"/>
  <c r="N166" i="17"/>
  <c r="M166" i="17"/>
  <c r="L166" i="17"/>
  <c r="K166" i="17"/>
  <c r="J166" i="17"/>
  <c r="I166" i="17"/>
  <c r="H166" i="17"/>
  <c r="G166" i="17"/>
  <c r="G155" i="17" s="1"/>
  <c r="F166" i="17"/>
  <c r="E166" i="17"/>
  <c r="D165" i="17"/>
  <c r="D166" i="17" s="1"/>
  <c r="P164" i="17"/>
  <c r="O163" i="17"/>
  <c r="P163" i="17" s="1"/>
  <c r="P162" i="17"/>
  <c r="R155" i="17"/>
  <c r="R157" i="17" s="1"/>
  <c r="M155" i="17"/>
  <c r="E155" i="17"/>
  <c r="O153" i="17"/>
  <c r="N153" i="17"/>
  <c r="M153" i="17"/>
  <c r="L153" i="17"/>
  <c r="L155" i="17" s="1"/>
  <c r="K153" i="17"/>
  <c r="K155" i="17" s="1"/>
  <c r="J153" i="17"/>
  <c r="J155" i="17" s="1"/>
  <c r="I153" i="17"/>
  <c r="H153" i="17"/>
  <c r="G153" i="17"/>
  <c r="F153" i="17"/>
  <c r="E153" i="17"/>
  <c r="P150" i="17"/>
  <c r="R146" i="17"/>
  <c r="R147" i="17" s="1"/>
  <c r="O146" i="17"/>
  <c r="N146" i="17"/>
  <c r="M146" i="17"/>
  <c r="L146" i="17"/>
  <c r="K146" i="17"/>
  <c r="J146" i="17"/>
  <c r="I146" i="17"/>
  <c r="H146" i="17"/>
  <c r="G146" i="17"/>
  <c r="F146" i="17"/>
  <c r="E146" i="17"/>
  <c r="D146" i="17"/>
  <c r="O145" i="17"/>
  <c r="N145" i="17"/>
  <c r="M145" i="17"/>
  <c r="L145" i="17"/>
  <c r="K145" i="17"/>
  <c r="J145" i="17"/>
  <c r="I145" i="17"/>
  <c r="H145" i="17"/>
  <c r="G145" i="17"/>
  <c r="F145" i="17"/>
  <c r="E145" i="17"/>
  <c r="D145" i="17"/>
  <c r="O144" i="17"/>
  <c r="O152" i="17" s="1"/>
  <c r="N144" i="17"/>
  <c r="N152" i="17" s="1"/>
  <c r="M144" i="17"/>
  <c r="M152" i="17" s="1"/>
  <c r="L144" i="17"/>
  <c r="L152" i="17" s="1"/>
  <c r="L160" i="17" s="1"/>
  <c r="K144" i="17"/>
  <c r="K152" i="17" s="1"/>
  <c r="J144" i="17"/>
  <c r="J152" i="17" s="1"/>
  <c r="I144" i="17"/>
  <c r="I152" i="17" s="1"/>
  <c r="H144" i="17"/>
  <c r="H152" i="17" s="1"/>
  <c r="H160" i="17" s="1"/>
  <c r="G144" i="17"/>
  <c r="G152" i="17" s="1"/>
  <c r="F144" i="17"/>
  <c r="F152" i="17" s="1"/>
  <c r="E144" i="17"/>
  <c r="E152" i="17" s="1"/>
  <c r="D144" i="17"/>
  <c r="D152" i="17" s="1"/>
  <c r="O142" i="17"/>
  <c r="N142" i="17"/>
  <c r="M142" i="17"/>
  <c r="L142" i="17"/>
  <c r="K142" i="17"/>
  <c r="J142" i="17"/>
  <c r="I142" i="17"/>
  <c r="H142" i="17"/>
  <c r="G142" i="17"/>
  <c r="F142" i="17"/>
  <c r="E142" i="17"/>
  <c r="D142" i="17"/>
  <c r="O141" i="17"/>
  <c r="N141" i="17"/>
  <c r="N149" i="17" s="1"/>
  <c r="N151" i="17" s="1"/>
  <c r="N99" i="2" s="1"/>
  <c r="M141" i="17"/>
  <c r="M149" i="17" s="1"/>
  <c r="M151" i="17" s="1"/>
  <c r="M99" i="2" s="1"/>
  <c r="L141" i="17"/>
  <c r="K141" i="17"/>
  <c r="K149" i="17" s="1"/>
  <c r="K151" i="17" s="1"/>
  <c r="K99" i="2" s="1"/>
  <c r="J141" i="17"/>
  <c r="I141" i="17"/>
  <c r="H141" i="17"/>
  <c r="H149" i="17" s="1"/>
  <c r="H151" i="17" s="1"/>
  <c r="H99" i="2" s="1"/>
  <c r="G141" i="17"/>
  <c r="G149" i="17" s="1"/>
  <c r="G151" i="17" s="1"/>
  <c r="G99" i="2" s="1"/>
  <c r="F141" i="17"/>
  <c r="F149" i="17" s="1"/>
  <c r="F151" i="17" s="1"/>
  <c r="E141" i="17"/>
  <c r="E149" i="17" s="1"/>
  <c r="E151" i="17" s="1"/>
  <c r="D141" i="17"/>
  <c r="O138" i="17"/>
  <c r="N138" i="17"/>
  <c r="M138" i="17"/>
  <c r="L138" i="17"/>
  <c r="K138" i="17"/>
  <c r="J138" i="17"/>
  <c r="I138" i="17"/>
  <c r="H138" i="17"/>
  <c r="G138" i="17"/>
  <c r="F138" i="17"/>
  <c r="E138" i="17"/>
  <c r="D138" i="17"/>
  <c r="P137" i="17"/>
  <c r="P136" i="17"/>
  <c r="P135" i="17"/>
  <c r="P134" i="17"/>
  <c r="P133" i="17"/>
  <c r="P132" i="17"/>
  <c r="O129" i="17"/>
  <c r="N129" i="17"/>
  <c r="M129" i="17"/>
  <c r="L129" i="17"/>
  <c r="K129" i="17"/>
  <c r="J129" i="17"/>
  <c r="I129" i="17"/>
  <c r="H129" i="17"/>
  <c r="G129" i="17"/>
  <c r="F129" i="17"/>
  <c r="E129" i="17"/>
  <c r="D129" i="17"/>
  <c r="P128" i="17"/>
  <c r="P127" i="17"/>
  <c r="P126" i="17"/>
  <c r="P125" i="17"/>
  <c r="P124" i="17"/>
  <c r="P123" i="17"/>
  <c r="G120" i="17"/>
  <c r="P119" i="17"/>
  <c r="O118" i="17"/>
  <c r="O120" i="17" s="1"/>
  <c r="N118" i="17"/>
  <c r="N120" i="17" s="1"/>
  <c r="M118" i="17"/>
  <c r="M120" i="17" s="1"/>
  <c r="L118" i="17"/>
  <c r="L143" i="17" s="1"/>
  <c r="K118" i="17"/>
  <c r="K120" i="17" s="1"/>
  <c r="J118" i="17"/>
  <c r="J120" i="17" s="1"/>
  <c r="I118" i="17"/>
  <c r="I143" i="17" s="1"/>
  <c r="H118" i="17"/>
  <c r="H143" i="17" s="1"/>
  <c r="G118" i="17"/>
  <c r="G143" i="17" s="1"/>
  <c r="F118" i="17"/>
  <c r="F120" i="17" s="1"/>
  <c r="E118" i="17"/>
  <c r="E120" i="17" s="1"/>
  <c r="D118" i="17"/>
  <c r="D120" i="17" s="1"/>
  <c r="P117" i="17"/>
  <c r="O114" i="17"/>
  <c r="N114" i="17"/>
  <c r="M114" i="17"/>
  <c r="L114" i="17"/>
  <c r="K114" i="17"/>
  <c r="J114" i="17"/>
  <c r="I114" i="17"/>
  <c r="H114" i="17"/>
  <c r="G114" i="17"/>
  <c r="F114" i="17"/>
  <c r="E114" i="17"/>
  <c r="D114" i="17"/>
  <c r="P113" i="17"/>
  <c r="P112" i="17"/>
  <c r="P111" i="17"/>
  <c r="P110" i="17"/>
  <c r="P109" i="17"/>
  <c r="P108" i="17"/>
  <c r="G19" i="17"/>
  <c r="G20" i="17" s="1"/>
  <c r="E19" i="17"/>
  <c r="G10" i="17"/>
  <c r="I9" i="17"/>
  <c r="H9" i="17"/>
  <c r="G9" i="17"/>
  <c r="E9" i="17"/>
  <c r="O96" i="2" l="1"/>
  <c r="C12" i="19"/>
  <c r="G96" i="2"/>
  <c r="C6" i="19"/>
  <c r="H120" i="17"/>
  <c r="H102" i="2"/>
  <c r="M102" i="2"/>
  <c r="H155" i="17"/>
  <c r="K102" i="2"/>
  <c r="L147" i="17"/>
  <c r="N102" i="2"/>
  <c r="P129" i="17"/>
  <c r="P138" i="17"/>
  <c r="I147" i="17"/>
  <c r="P146" i="17"/>
  <c r="F155" i="17"/>
  <c r="N155" i="17"/>
  <c r="H154" i="17"/>
  <c r="H156" i="17" s="1"/>
  <c r="H100" i="2" s="1"/>
  <c r="H103" i="2" s="1"/>
  <c r="G102" i="2"/>
  <c r="P118" i="17"/>
  <c r="L120" i="17"/>
  <c r="O143" i="17"/>
  <c r="O147" i="17" s="1"/>
  <c r="I155" i="17"/>
  <c r="P114" i="17"/>
  <c r="G147" i="17"/>
  <c r="P144" i="17"/>
  <c r="P145" i="17"/>
  <c r="O149" i="17"/>
  <c r="O151" i="17" s="1"/>
  <c r="O99" i="2" s="1"/>
  <c r="O102" i="2" s="1"/>
  <c r="P120" i="17"/>
  <c r="D153" i="17"/>
  <c r="P153" i="17" s="1"/>
  <c r="H147" i="17"/>
  <c r="P142" i="17"/>
  <c r="J160" i="17"/>
  <c r="E160" i="17"/>
  <c r="M160" i="17"/>
  <c r="F154" i="17"/>
  <c r="F156" i="17" s="1"/>
  <c r="F160" i="17"/>
  <c r="N160" i="17"/>
  <c r="P152" i="17"/>
  <c r="K160" i="17"/>
  <c r="G154" i="17"/>
  <c r="G156" i="17" s="1"/>
  <c r="G100" i="2" s="1"/>
  <c r="G103" i="2" s="1"/>
  <c r="G160" i="17"/>
  <c r="O160" i="17"/>
  <c r="I154" i="17"/>
  <c r="J143" i="17"/>
  <c r="J147" i="17" s="1"/>
  <c r="D160" i="17"/>
  <c r="I120" i="17"/>
  <c r="D143" i="17"/>
  <c r="D154" i="17" s="1"/>
  <c r="I149" i="17"/>
  <c r="I151" i="17" s="1"/>
  <c r="I99" i="2" s="1"/>
  <c r="I102" i="2" s="1"/>
  <c r="L154" i="17"/>
  <c r="L156" i="17" s="1"/>
  <c r="L100" i="2" s="1"/>
  <c r="L103" i="2" s="1"/>
  <c r="P165" i="17"/>
  <c r="P166" i="17" s="1"/>
  <c r="E143" i="17"/>
  <c r="E147" i="17" s="1"/>
  <c r="M143" i="17"/>
  <c r="M147" i="17" s="1"/>
  <c r="J149" i="17"/>
  <c r="J151" i="17" s="1"/>
  <c r="J99" i="2" s="1"/>
  <c r="J102" i="2" s="1"/>
  <c r="K143" i="17"/>
  <c r="K147" i="17" s="1"/>
  <c r="P141" i="17"/>
  <c r="F143" i="17"/>
  <c r="F147" i="17" s="1"/>
  <c r="N143" i="17"/>
  <c r="N147" i="17" s="1"/>
  <c r="D149" i="17"/>
  <c r="L149" i="17"/>
  <c r="L151" i="17" s="1"/>
  <c r="L99" i="2" s="1"/>
  <c r="L102" i="2" s="1"/>
  <c r="I160" i="17"/>
  <c r="O166" i="17"/>
  <c r="O155" i="17" s="1"/>
  <c r="D155" i="17" l="1"/>
  <c r="P155" i="17" s="1"/>
  <c r="O154" i="17"/>
  <c r="O156" i="17" s="1"/>
  <c r="O100" i="2" s="1"/>
  <c r="O103" i="2" s="1"/>
  <c r="N154" i="17"/>
  <c r="N156" i="17" s="1"/>
  <c r="N100" i="2" s="1"/>
  <c r="N103" i="2" s="1"/>
  <c r="P160" i="17"/>
  <c r="I156" i="17"/>
  <c r="I100" i="2" s="1"/>
  <c r="I103" i="2" s="1"/>
  <c r="K154" i="17"/>
  <c r="K156" i="17" s="1"/>
  <c r="K100" i="2" s="1"/>
  <c r="K103" i="2" s="1"/>
  <c r="D151" i="17"/>
  <c r="P149" i="17"/>
  <c r="P151" i="17" s="1"/>
  <c r="M154" i="17"/>
  <c r="M156" i="17" s="1"/>
  <c r="M100" i="2" s="1"/>
  <c r="M103" i="2" s="1"/>
  <c r="E154" i="17"/>
  <c r="E156" i="17" s="1"/>
  <c r="J154" i="17"/>
  <c r="J156" i="17" s="1"/>
  <c r="J100" i="2" s="1"/>
  <c r="J103" i="2" s="1"/>
  <c r="P143" i="17"/>
  <c r="P147" i="17" s="1"/>
  <c r="D147" i="17"/>
  <c r="D156" i="17" l="1"/>
  <c r="L158" i="17"/>
  <c r="O158" i="17"/>
  <c r="J158" i="17"/>
  <c r="M158" i="17"/>
  <c r="N158" i="17"/>
  <c r="H158" i="17"/>
  <c r="F158" i="17"/>
  <c r="E158" i="17"/>
  <c r="K158" i="17"/>
  <c r="G158" i="17"/>
  <c r="I158" i="17"/>
  <c r="D158" i="17"/>
  <c r="P154" i="17"/>
  <c r="P156" i="17" s="1"/>
  <c r="P158" i="17" l="1"/>
  <c r="D24" i="4"/>
  <c r="E24" i="4" s="1"/>
  <c r="F24" i="4" s="1"/>
  <c r="H24" i="4" s="1"/>
  <c r="I24" i="4" s="1"/>
  <c r="K24" i="4" s="1"/>
  <c r="L24" i="4" s="1"/>
  <c r="N24" i="4" s="1"/>
  <c r="O24" i="4" s="1"/>
  <c r="AK38" i="4"/>
  <c r="E1" i="4" l="1"/>
  <c r="F1" i="4" s="1"/>
  <c r="G1" i="4" s="1"/>
  <c r="H1" i="4" s="1"/>
  <c r="I1" i="4" s="1"/>
  <c r="J1" i="4" s="1"/>
  <c r="K1" i="4" s="1"/>
  <c r="L1" i="4" s="1"/>
  <c r="M1" i="4" s="1"/>
  <c r="N1" i="4" s="1"/>
  <c r="O1" i="4" s="1"/>
  <c r="P1" i="4" s="1"/>
  <c r="Q1" i="4" s="1"/>
  <c r="R1" i="4" s="1"/>
  <c r="S1" i="4" s="1"/>
  <c r="T1" i="4" s="1"/>
  <c r="U1" i="4" s="1"/>
  <c r="V1" i="4" s="1"/>
  <c r="W1" i="4" s="1"/>
  <c r="X1" i="4" s="1"/>
  <c r="Y1" i="4" s="1"/>
  <c r="Z1" i="4" s="1"/>
  <c r="AA1" i="4" s="1"/>
  <c r="AB1" i="4" s="1"/>
  <c r="AC1" i="4" s="1"/>
  <c r="AD1" i="4" s="1"/>
  <c r="AE1" i="4" s="1"/>
  <c r="AF1" i="4" s="1"/>
  <c r="AG1" i="4" s="1"/>
  <c r="AH1" i="4" s="1"/>
  <c r="AI1" i="4" s="1"/>
  <c r="AJ1" i="4" s="1"/>
  <c r="AK1" i="4" s="1"/>
  <c r="AL1" i="4" s="1"/>
  <c r="AM1" i="4" s="1"/>
  <c r="AN1" i="4" s="1"/>
  <c r="AO1" i="4" s="1"/>
  <c r="AP1" i="4" s="1"/>
  <c r="AQ1" i="4" s="1"/>
  <c r="AR1" i="4" s="1"/>
  <c r="AS1" i="4" s="1"/>
  <c r="AT1" i="4" s="1"/>
  <c r="AU1" i="4" s="1"/>
  <c r="AV1" i="4" s="1"/>
  <c r="AW1" i="4" s="1"/>
  <c r="B97" i="17"/>
  <c r="B96" i="17"/>
  <c r="A78" i="17"/>
  <c r="A79" i="17" s="1"/>
  <c r="A80" i="17" s="1"/>
  <c r="A81" i="17" s="1"/>
  <c r="A82" i="17" s="1"/>
  <c r="A83" i="17" s="1"/>
  <c r="A84" i="17" s="1"/>
  <c r="A85" i="17" s="1"/>
  <c r="A86" i="17" s="1"/>
  <c r="A87" i="17" s="1"/>
  <c r="A88" i="17" s="1"/>
  <c r="A89" i="17" s="1"/>
  <c r="A73" i="17"/>
  <c r="A71" i="17"/>
  <c r="C54" i="17"/>
  <c r="A45" i="17"/>
  <c r="E29" i="17"/>
  <c r="D29" i="17"/>
  <c r="D27" i="17"/>
  <c r="E26" i="17"/>
  <c r="E52" i="17" s="1"/>
  <c r="D26" i="17"/>
  <c r="D52" i="17" s="1"/>
  <c r="W22" i="17"/>
  <c r="F21" i="17"/>
  <c r="E21" i="17"/>
  <c r="D21" i="17"/>
  <c r="D28" i="17" s="1"/>
  <c r="D65" i="17" s="1"/>
  <c r="W20" i="17"/>
  <c r="I19" i="17"/>
  <c r="H19" i="17"/>
  <c r="E15" i="17"/>
  <c r="D15" i="17"/>
  <c r="D66" i="17" s="1"/>
  <c r="K14" i="17"/>
  <c r="K15" i="17" s="1"/>
  <c r="G15" i="17"/>
  <c r="E27" i="17"/>
  <c r="C13" i="17"/>
  <c r="K11" i="17"/>
  <c r="I11" i="17"/>
  <c r="H11" i="17"/>
  <c r="E11" i="17"/>
  <c r="D11" i="17"/>
  <c r="C10" i="17"/>
  <c r="G11" i="17"/>
  <c r="F11" i="17"/>
  <c r="C9" i="17"/>
  <c r="S6" i="17"/>
  <c r="O51" i="3"/>
  <c r="Q51" i="3" s="1"/>
  <c r="N51" i="3"/>
  <c r="P51" i="3" s="1"/>
  <c r="O50" i="3"/>
  <c r="Q50" i="3" s="1"/>
  <c r="N50" i="3"/>
  <c r="P50" i="3" s="1"/>
  <c r="O49" i="3"/>
  <c r="Q49" i="3" s="1"/>
  <c r="N49" i="3"/>
  <c r="P49" i="3" s="1"/>
  <c r="O48" i="3"/>
  <c r="Q48" i="3" s="1"/>
  <c r="N48" i="3"/>
  <c r="P48" i="3" s="1"/>
  <c r="O47" i="3"/>
  <c r="Q47" i="3" s="1"/>
  <c r="N47" i="3"/>
  <c r="P47" i="3" s="1"/>
  <c r="O46" i="3"/>
  <c r="Q46" i="3" s="1"/>
  <c r="N46" i="3"/>
  <c r="P46" i="3" s="1"/>
  <c r="O45" i="3"/>
  <c r="Q45" i="3" s="1"/>
  <c r="N45" i="3"/>
  <c r="P45" i="3" s="1"/>
  <c r="O44" i="3"/>
  <c r="Q44" i="3" s="1"/>
  <c r="N44" i="3"/>
  <c r="P44" i="3" s="1"/>
  <c r="O43" i="3"/>
  <c r="Q43" i="3" s="1"/>
  <c r="N43" i="3"/>
  <c r="P43" i="3" s="1"/>
  <c r="P42" i="3"/>
  <c r="O42" i="3"/>
  <c r="Q42" i="3" s="1"/>
  <c r="N42" i="3"/>
  <c r="F38" i="3"/>
  <c r="E38" i="3"/>
  <c r="E36" i="3"/>
  <c r="D36" i="3"/>
  <c r="C36" i="3"/>
  <c r="E34" i="3"/>
  <c r="D34" i="3"/>
  <c r="C34" i="3"/>
  <c r="G31" i="3"/>
  <c r="G30" i="3"/>
  <c r="G29" i="3"/>
  <c r="G28" i="3"/>
  <c r="G27" i="3"/>
  <c r="G26" i="3"/>
  <c r="G25" i="3"/>
  <c r="G24" i="3"/>
  <c r="F23" i="3"/>
  <c r="F18" i="3"/>
  <c r="E18" i="3"/>
  <c r="F16" i="3"/>
  <c r="E16" i="3"/>
  <c r="C16" i="3"/>
  <c r="F14" i="3"/>
  <c r="E14" i="3"/>
  <c r="C14" i="3"/>
  <c r="I13" i="3"/>
  <c r="H13" i="3"/>
  <c r="F63" i="3" s="1"/>
  <c r="I12" i="3"/>
  <c r="H12" i="3"/>
  <c r="E62" i="3" s="1"/>
  <c r="N11" i="3"/>
  <c r="I11" i="3"/>
  <c r="H11" i="3"/>
  <c r="D61" i="3" s="1"/>
  <c r="Z10" i="3"/>
  <c r="Y10" i="3"/>
  <c r="AA10" i="3" s="1"/>
  <c r="U10" i="3"/>
  <c r="R10" i="3"/>
  <c r="I10" i="3"/>
  <c r="H10" i="3"/>
  <c r="C60" i="3" s="1"/>
  <c r="Z9" i="3"/>
  <c r="S9" i="3"/>
  <c r="U9" i="3" s="1"/>
  <c r="P9" i="3"/>
  <c r="R9" i="3" s="1"/>
  <c r="O9" i="3"/>
  <c r="I9" i="3"/>
  <c r="H9" i="3"/>
  <c r="H59" i="3" s="1"/>
  <c r="Z8" i="3"/>
  <c r="S8" i="3"/>
  <c r="U8" i="3" s="1"/>
  <c r="P8" i="3"/>
  <c r="R8" i="3" s="1"/>
  <c r="O8" i="3"/>
  <c r="I8" i="3"/>
  <c r="H8" i="3"/>
  <c r="H58" i="3" s="1"/>
  <c r="Z7" i="3"/>
  <c r="S7" i="3"/>
  <c r="P7" i="3"/>
  <c r="R7" i="3" s="1"/>
  <c r="O7" i="3"/>
  <c r="I7" i="3"/>
  <c r="H7" i="3"/>
  <c r="H57" i="3" s="1"/>
  <c r="Z6" i="3"/>
  <c r="S6" i="3"/>
  <c r="P6" i="3"/>
  <c r="R6" i="3" s="1"/>
  <c r="O6" i="3"/>
  <c r="I6" i="3"/>
  <c r="H6" i="3"/>
  <c r="G56" i="3" s="1"/>
  <c r="Z5" i="3"/>
  <c r="S5" i="3"/>
  <c r="U5" i="3" s="1"/>
  <c r="P5" i="3"/>
  <c r="R5" i="3" s="1"/>
  <c r="O5" i="3"/>
  <c r="I5" i="3"/>
  <c r="H5" i="3"/>
  <c r="F55" i="3" s="1"/>
  <c r="Z4" i="3"/>
  <c r="S4" i="3"/>
  <c r="P4" i="3"/>
  <c r="O4" i="3"/>
  <c r="I4" i="3"/>
  <c r="H4" i="3"/>
  <c r="F54" i="3" s="1"/>
  <c r="G16" i="3"/>
  <c r="AC2" i="3"/>
  <c r="Z2" i="3"/>
  <c r="Y2" i="3"/>
  <c r="W2" i="3"/>
  <c r="U2" i="3"/>
  <c r="S2" i="3"/>
  <c r="P2" i="3"/>
  <c r="O2" i="3"/>
  <c r="N2" i="3"/>
  <c r="R44" i="3" l="1"/>
  <c r="W10" i="3"/>
  <c r="I18" i="3"/>
  <c r="C19" i="17"/>
  <c r="G38" i="3"/>
  <c r="G23" i="3"/>
  <c r="F22" i="3"/>
  <c r="F34" i="3" s="1"/>
  <c r="P11" i="3"/>
  <c r="R45" i="3"/>
  <c r="R4" i="3"/>
  <c r="G54" i="3"/>
  <c r="E17" i="17"/>
  <c r="E23" i="17"/>
  <c r="E37" i="17" s="1"/>
  <c r="E38" i="17" s="1"/>
  <c r="D17" i="17"/>
  <c r="D23" i="17" s="1"/>
  <c r="K17" i="17"/>
  <c r="R43" i="3"/>
  <c r="E58" i="3"/>
  <c r="Y7" i="3"/>
  <c r="AA7" i="3" s="1"/>
  <c r="Y6" i="3"/>
  <c r="AA6" i="3" s="1"/>
  <c r="Y5" i="3"/>
  <c r="AA5" i="3" s="1"/>
  <c r="R51" i="3"/>
  <c r="R49" i="3"/>
  <c r="F59" i="3"/>
  <c r="Y4" i="3"/>
  <c r="AA4" i="3" s="1"/>
  <c r="R47" i="3"/>
  <c r="D60" i="3"/>
  <c r="R50" i="3"/>
  <c r="W5" i="3"/>
  <c r="U7" i="3"/>
  <c r="W7" i="3" s="1"/>
  <c r="G60" i="3"/>
  <c r="G55" i="3"/>
  <c r="F62" i="3"/>
  <c r="S11" i="3"/>
  <c r="C56" i="3"/>
  <c r="H56" i="3"/>
  <c r="H68" i="3" s="1"/>
  <c r="Y8" i="3"/>
  <c r="AA8" i="3" s="1"/>
  <c r="R48" i="3"/>
  <c r="W8" i="3"/>
  <c r="W9" i="3"/>
  <c r="C59" i="3"/>
  <c r="Z15" i="3"/>
  <c r="AB15" i="3" s="1"/>
  <c r="I14" i="3"/>
  <c r="C11" i="17"/>
  <c r="G17" i="17"/>
  <c r="A90" i="17"/>
  <c r="A91" i="17" s="1"/>
  <c r="A92" i="17" s="1"/>
  <c r="A93" i="17" s="1"/>
  <c r="C90" i="17"/>
  <c r="D80" i="17"/>
  <c r="L80" i="17"/>
  <c r="E80" i="17"/>
  <c r="M80" i="17"/>
  <c r="K20" i="17"/>
  <c r="K21" i="17" s="1"/>
  <c r="G21" i="17"/>
  <c r="E28" i="17" s="1"/>
  <c r="W24" i="17"/>
  <c r="W26" i="17" s="1"/>
  <c r="F80" i="17"/>
  <c r="N80" i="17"/>
  <c r="F15" i="17"/>
  <c r="C15" i="17" s="1"/>
  <c r="D30" i="17"/>
  <c r="F66" i="3"/>
  <c r="P52" i="3"/>
  <c r="Q53" i="5" s="1"/>
  <c r="Q52" i="3"/>
  <c r="R11" i="3"/>
  <c r="R46" i="3"/>
  <c r="AB10" i="3"/>
  <c r="AC10" i="3" s="1"/>
  <c r="I16" i="3"/>
  <c r="E61" i="3"/>
  <c r="G63" i="3"/>
  <c r="Z14" i="3"/>
  <c r="AB14" i="3" s="1"/>
  <c r="R42" i="3"/>
  <c r="H54" i="3"/>
  <c r="H55" i="3"/>
  <c r="C58" i="3"/>
  <c r="D59" i="3"/>
  <c r="E60" i="3"/>
  <c r="F61" i="3"/>
  <c r="G62" i="3"/>
  <c r="H63" i="3"/>
  <c r="U6" i="3"/>
  <c r="W6" i="3" s="1"/>
  <c r="Y9" i="3"/>
  <c r="AA9" i="3" s="1"/>
  <c r="C57" i="3"/>
  <c r="D58" i="3"/>
  <c r="E59" i="3"/>
  <c r="F60" i="3"/>
  <c r="G61" i="3"/>
  <c r="H62" i="3"/>
  <c r="O11" i="3"/>
  <c r="D57" i="3"/>
  <c r="U4" i="3"/>
  <c r="W4" i="3" s="1"/>
  <c r="C54" i="3"/>
  <c r="C55" i="3"/>
  <c r="D56" i="3"/>
  <c r="E57" i="3"/>
  <c r="F58" i="3"/>
  <c r="G59" i="3"/>
  <c r="H60" i="3"/>
  <c r="C63" i="3"/>
  <c r="G14" i="3"/>
  <c r="H18" i="3"/>
  <c r="D54" i="3"/>
  <c r="D55" i="3"/>
  <c r="E56" i="3"/>
  <c r="F57" i="3"/>
  <c r="G58" i="3"/>
  <c r="C62" i="3"/>
  <c r="D63" i="3"/>
  <c r="H61" i="3"/>
  <c r="H14" i="3"/>
  <c r="H16" i="3"/>
  <c r="E54" i="3"/>
  <c r="E55" i="3"/>
  <c r="F56" i="3"/>
  <c r="F68" i="3" s="1"/>
  <c r="G57" i="3"/>
  <c r="C61" i="3"/>
  <c r="D62" i="3"/>
  <c r="E63" i="3"/>
  <c r="G68" i="3" l="1"/>
  <c r="E66" i="17"/>
  <c r="G66" i="3"/>
  <c r="E68" i="3"/>
  <c r="K23" i="17"/>
  <c r="D68" i="3"/>
  <c r="C66" i="3"/>
  <c r="C68" i="3"/>
  <c r="C21" i="17"/>
  <c r="G23" i="17"/>
  <c r="AB5" i="3"/>
  <c r="AC5" i="3" s="1"/>
  <c r="G22" i="3"/>
  <c r="G34" i="3" s="1"/>
  <c r="AB7" i="3"/>
  <c r="AB9" i="3"/>
  <c r="G64" i="3"/>
  <c r="AB8" i="3"/>
  <c r="AD8" i="3" s="1"/>
  <c r="I60" i="3"/>
  <c r="H28" i="3" s="1"/>
  <c r="I28" i="3" s="1"/>
  <c r="I59" i="3"/>
  <c r="H27" i="3" s="1"/>
  <c r="I27" i="3" s="1"/>
  <c r="R52" i="3"/>
  <c r="I58" i="3"/>
  <c r="H26" i="3" s="1"/>
  <c r="I26" i="3" s="1"/>
  <c r="F36" i="3"/>
  <c r="K84" i="17"/>
  <c r="E84" i="17"/>
  <c r="I80" i="17"/>
  <c r="D37" i="17"/>
  <c r="D38" i="17" s="1"/>
  <c r="D50" i="17"/>
  <c r="D54" i="17" s="1"/>
  <c r="F84" i="17"/>
  <c r="H80" i="17"/>
  <c r="J80" i="17"/>
  <c r="E65" i="17"/>
  <c r="E30" i="17"/>
  <c r="K80" i="17"/>
  <c r="N84" i="17"/>
  <c r="H84" i="17"/>
  <c r="O80" i="17"/>
  <c r="O84" i="17"/>
  <c r="G80" i="17"/>
  <c r="I84" i="17"/>
  <c r="C94" i="17"/>
  <c r="A94" i="17"/>
  <c r="A95" i="17" s="1"/>
  <c r="A96" i="17" s="1"/>
  <c r="A97" i="17" s="1"/>
  <c r="F17" i="17"/>
  <c r="J84" i="17"/>
  <c r="G84" i="17"/>
  <c r="W15" i="3"/>
  <c r="AC15" i="3" s="1"/>
  <c r="AD15" i="3" s="1"/>
  <c r="AB6" i="3"/>
  <c r="D66" i="3"/>
  <c r="D64" i="3"/>
  <c r="H66" i="3"/>
  <c r="H64" i="3"/>
  <c r="Y11" i="3"/>
  <c r="I56" i="3"/>
  <c r="I61" i="3"/>
  <c r="H29" i="3" s="1"/>
  <c r="I29" i="3" s="1"/>
  <c r="I55" i="3"/>
  <c r="H23" i="3" s="1"/>
  <c r="I23" i="3" s="1"/>
  <c r="AA11" i="3"/>
  <c r="I62" i="3"/>
  <c r="H30" i="3" s="1"/>
  <c r="I30" i="3" s="1"/>
  <c r="C64" i="3"/>
  <c r="I54" i="3"/>
  <c r="I63" i="3"/>
  <c r="H31" i="3" s="1"/>
  <c r="I31" i="3" s="1"/>
  <c r="U11" i="3"/>
  <c r="R17" i="3" s="1"/>
  <c r="I57" i="3"/>
  <c r="H25" i="3" s="1"/>
  <c r="I25" i="3" s="1"/>
  <c r="E64" i="3"/>
  <c r="R18" i="3" s="1"/>
  <c r="E66" i="3"/>
  <c r="W14" i="3"/>
  <c r="AC14" i="3" s="1"/>
  <c r="AD14" i="3" s="1"/>
  <c r="W11" i="3"/>
  <c r="AB4" i="3"/>
  <c r="F64" i="3"/>
  <c r="I64" i="3" l="1"/>
  <c r="R53" i="3" s="1"/>
  <c r="Q54" i="3" s="1"/>
  <c r="I68" i="3"/>
  <c r="AD5" i="3"/>
  <c r="AC8" i="3"/>
  <c r="G36" i="3"/>
  <c r="P89" i="17"/>
  <c r="D64" i="17"/>
  <c r="D67" i="17" s="1"/>
  <c r="D84" i="17"/>
  <c r="M84" i="17"/>
  <c r="L84" i="17"/>
  <c r="F23" i="17"/>
  <c r="C17" i="17"/>
  <c r="AD4" i="3"/>
  <c r="AB11" i="3"/>
  <c r="AD11" i="3" s="1"/>
  <c r="AC4" i="3"/>
  <c r="H22" i="3"/>
  <c r="I66" i="3"/>
  <c r="H24" i="3"/>
  <c r="H38" i="3" s="1"/>
  <c r="AC6" i="3"/>
  <c r="AD6" i="3"/>
  <c r="F37" i="17" l="1"/>
  <c r="F38" i="17" s="1"/>
  <c r="E50" i="17"/>
  <c r="E54" i="17" s="1"/>
  <c r="C23" i="17"/>
  <c r="I24" i="3"/>
  <c r="I38" i="3" s="1"/>
  <c r="H34" i="3"/>
  <c r="H36" i="3"/>
  <c r="I22" i="3"/>
  <c r="AC11" i="3"/>
  <c r="E64" i="17" l="1"/>
  <c r="E67" i="17" s="1"/>
  <c r="P93" i="17"/>
  <c r="I34" i="3"/>
  <c r="I36" i="3"/>
  <c r="B35" i="4" l="1"/>
  <c r="D50" i="4" l="1"/>
  <c r="E50" i="4" s="1"/>
  <c r="F50" i="4" s="1"/>
  <c r="G50" i="4" s="1"/>
  <c r="H50" i="4" s="1"/>
  <c r="I50" i="4" s="1"/>
  <c r="J50" i="4" s="1"/>
  <c r="O80" i="2" l="1"/>
  <c r="O79" i="2"/>
  <c r="O72" i="2"/>
  <c r="O71" i="2"/>
  <c r="O34" i="4"/>
  <c r="O2" i="4"/>
  <c r="N80" i="2"/>
  <c r="N79" i="2"/>
  <c r="N72" i="2"/>
  <c r="N71" i="2"/>
  <c r="N34" i="4"/>
  <c r="N2" i="4"/>
  <c r="M80" i="2"/>
  <c r="M79" i="2"/>
  <c r="M72" i="2"/>
  <c r="M71" i="2"/>
  <c r="M34" i="4"/>
  <c r="M2" i="4"/>
  <c r="L80" i="2"/>
  <c r="L79" i="2"/>
  <c r="L72" i="2"/>
  <c r="L71" i="2"/>
  <c r="L34" i="4"/>
  <c r="L2" i="4"/>
  <c r="K34" i="4"/>
  <c r="K2" i="4"/>
  <c r="I80" i="2"/>
  <c r="I79" i="2"/>
  <c r="I72" i="2"/>
  <c r="I71" i="2"/>
  <c r="I34" i="4"/>
  <c r="I2" i="4"/>
  <c r="H80" i="2"/>
  <c r="H79" i="2"/>
  <c r="H72" i="2"/>
  <c r="H71" i="2"/>
  <c r="H34" i="4"/>
  <c r="H2" i="4"/>
  <c r="G80" i="2"/>
  <c r="G79" i="2"/>
  <c r="G72" i="2"/>
  <c r="G71" i="2"/>
  <c r="G34" i="4"/>
  <c r="G2" i="4"/>
  <c r="N88" i="2"/>
  <c r="O89" i="2" s="1"/>
  <c r="O88" i="2"/>
  <c r="F52" i="2"/>
  <c r="F25" i="2"/>
  <c r="F46" i="2"/>
  <c r="F19" i="2"/>
  <c r="E52" i="2"/>
  <c r="E25" i="2"/>
  <c r="E46" i="2"/>
  <c r="E19" i="2"/>
  <c r="E50" i="2"/>
  <c r="E34" i="4" l="1"/>
  <c r="E97" i="2"/>
  <c r="J34" i="4"/>
  <c r="J2" i="4"/>
  <c r="F50" i="2"/>
  <c r="F23" i="2"/>
  <c r="E23" i="2"/>
  <c r="AJ37" i="4"/>
  <c r="A43" i="4"/>
  <c r="J56" i="4"/>
  <c r="G56" i="4"/>
  <c r="D56" i="4"/>
  <c r="D54" i="4"/>
  <c r="D55" i="4" s="1"/>
  <c r="E36" i="4"/>
  <c r="F36" i="4" s="1"/>
  <c r="G36" i="4" s="1"/>
  <c r="H36" i="4" s="1"/>
  <c r="K56" i="4"/>
  <c r="E56" i="4"/>
  <c r="C23" i="4"/>
  <c r="O22" i="4"/>
  <c r="P22" i="4" s="1"/>
  <c r="Q22" i="4" s="1"/>
  <c r="R22" i="4" s="1"/>
  <c r="S22" i="4" s="1"/>
  <c r="T22" i="4" s="1"/>
  <c r="U22" i="4" s="1"/>
  <c r="V22" i="4" s="1"/>
  <c r="D22" i="4"/>
  <c r="E22" i="4" s="1"/>
  <c r="D16" i="4"/>
  <c r="E4" i="4"/>
  <c r="F4" i="4" s="1"/>
  <c r="G4" i="4" s="1"/>
  <c r="H4" i="4" s="1"/>
  <c r="E2" i="4" l="1"/>
  <c r="E96" i="2"/>
  <c r="I4" i="4"/>
  <c r="I36" i="4"/>
  <c r="F2" i="4"/>
  <c r="F96" i="2"/>
  <c r="F34" i="4"/>
  <c r="F97" i="2"/>
  <c r="E16" i="4"/>
  <c r="D48" i="4"/>
  <c r="E48" i="4" s="1"/>
  <c r="O54" i="4"/>
  <c r="P54" i="4" s="1"/>
  <c r="Q54" i="4" s="1"/>
  <c r="F22" i="4"/>
  <c r="E23" i="4"/>
  <c r="D23" i="4"/>
  <c r="H56" i="4"/>
  <c r="I56" i="4"/>
  <c r="F56" i="4"/>
  <c r="C55" i="4"/>
  <c r="E54" i="4"/>
  <c r="J4" i="4" l="1"/>
  <c r="L7" i="4" s="1"/>
  <c r="K10" i="4" s="1"/>
  <c r="L10" i="4" s="1"/>
  <c r="M10" i="4" s="1"/>
  <c r="N10" i="4" s="1"/>
  <c r="J36" i="4"/>
  <c r="L56" i="4"/>
  <c r="J80" i="2"/>
  <c r="J79" i="2"/>
  <c r="F80" i="2"/>
  <c r="F79" i="2"/>
  <c r="E80" i="2"/>
  <c r="E79" i="2"/>
  <c r="E72" i="2"/>
  <c r="E71" i="2"/>
  <c r="O55" i="4"/>
  <c r="P55" i="4"/>
  <c r="F48" i="4"/>
  <c r="G22" i="4"/>
  <c r="F23" i="4"/>
  <c r="Q55" i="4"/>
  <c r="R54" i="4"/>
  <c r="F54" i="4"/>
  <c r="E55" i="4"/>
  <c r="F16" i="4"/>
  <c r="G16" i="4" s="1"/>
  <c r="L39" i="4" l="1"/>
  <c r="K42" i="4" s="1"/>
  <c r="L42" i="4" s="1"/>
  <c r="M42" i="4" s="1"/>
  <c r="N42" i="4" s="1"/>
  <c r="O42" i="4" s="1"/>
  <c r="P42" i="4" s="1"/>
  <c r="Q42" i="4" s="1"/>
  <c r="R42" i="4" s="1"/>
  <c r="S42" i="4" s="1"/>
  <c r="T42" i="4" s="1"/>
  <c r="U42" i="4" s="1"/>
  <c r="V42" i="4" s="1"/>
  <c r="H16" i="4"/>
  <c r="M56" i="4"/>
  <c r="J72" i="2"/>
  <c r="J71" i="2"/>
  <c r="F51" i="2"/>
  <c r="E24" i="2"/>
  <c r="E51" i="2"/>
  <c r="G48" i="4"/>
  <c r="F55" i="4"/>
  <c r="G54" i="4"/>
  <c r="R55" i="4"/>
  <c r="S54" i="4"/>
  <c r="G23" i="4"/>
  <c r="H22" i="4"/>
  <c r="I16" i="4" l="1"/>
  <c r="N56" i="4"/>
  <c r="F72" i="2"/>
  <c r="F71" i="2"/>
  <c r="F70" i="2" s="1"/>
  <c r="F27" i="4" s="1"/>
  <c r="H54" i="4"/>
  <c r="G55" i="4"/>
  <c r="H48" i="4"/>
  <c r="S55" i="4"/>
  <c r="T54" i="4"/>
  <c r="U54" i="4" s="1"/>
  <c r="I22" i="4"/>
  <c r="H23" i="4"/>
  <c r="U55" i="4" l="1"/>
  <c r="V54" i="4"/>
  <c r="V55" i="4" s="1"/>
  <c r="P24" i="4"/>
  <c r="O56" i="4"/>
  <c r="F24" i="2"/>
  <c r="H55" i="4"/>
  <c r="I54" i="4"/>
  <c r="T55" i="4"/>
  <c r="J22" i="4"/>
  <c r="I23" i="4"/>
  <c r="J16" i="4"/>
  <c r="I48" i="4"/>
  <c r="J48" i="4" s="1"/>
  <c r="F12" i="4" l="1"/>
  <c r="D12" i="4"/>
  <c r="G12" i="4"/>
  <c r="H12" i="4"/>
  <c r="I12" i="4"/>
  <c r="J12" i="4"/>
  <c r="E12" i="4"/>
  <c r="P15" i="4"/>
  <c r="P56" i="4"/>
  <c r="P47" i="4" s="1"/>
  <c r="Q24" i="4"/>
  <c r="J23" i="4"/>
  <c r="J54" i="4"/>
  <c r="I55" i="4"/>
  <c r="O10" i="4" l="1"/>
  <c r="P10" i="4" s="1"/>
  <c r="Q10" i="4" s="1"/>
  <c r="R10" i="4" s="1"/>
  <c r="S10" i="4" s="1"/>
  <c r="T10" i="4" s="1"/>
  <c r="U10" i="4" s="1"/>
  <c r="V10" i="4" s="1"/>
  <c r="Q56" i="4"/>
  <c r="Q47" i="4" s="1"/>
  <c r="R24" i="4"/>
  <c r="Q15" i="4"/>
  <c r="L16" i="4"/>
  <c r="J55" i="4"/>
  <c r="K23" i="4"/>
  <c r="L22" i="4"/>
  <c r="R15" i="4" l="1"/>
  <c r="S24" i="4"/>
  <c r="R56" i="4"/>
  <c r="R47" i="4" s="1"/>
  <c r="L48" i="4"/>
  <c r="M16" i="4"/>
  <c r="M22" i="4"/>
  <c r="L23" i="4"/>
  <c r="L54" i="4"/>
  <c r="K55" i="4"/>
  <c r="M23" i="4" l="1"/>
  <c r="N22" i="4"/>
  <c r="S56" i="4"/>
  <c r="S47" i="4" s="1"/>
  <c r="T24" i="4"/>
  <c r="U24" i="4" s="1"/>
  <c r="S15" i="4"/>
  <c r="T15" i="4" s="1"/>
  <c r="U15" i="4" s="1"/>
  <c r="M48" i="4"/>
  <c r="L55" i="4"/>
  <c r="M54" i="4"/>
  <c r="M55" i="4" l="1"/>
  <c r="N54" i="4"/>
  <c r="N55" i="4" s="1"/>
  <c r="N48" i="4"/>
  <c r="V24" i="4"/>
  <c r="U56" i="4"/>
  <c r="T56" i="4"/>
  <c r="T47" i="4" s="1"/>
  <c r="U47" i="4" s="1"/>
  <c r="W24" i="4" l="1"/>
  <c r="V56" i="4"/>
  <c r="V47" i="4" s="1"/>
  <c r="V15" i="4"/>
  <c r="W15" i="4" s="1"/>
  <c r="D93" i="2"/>
  <c r="D19" i="2"/>
  <c r="Q19" i="2" s="1"/>
  <c r="O90" i="2"/>
  <c r="O84" i="2" s="1"/>
  <c r="D64" i="2"/>
  <c r="C62" i="2"/>
  <c r="D57" i="2"/>
  <c r="E57" i="2"/>
  <c r="E6" i="2"/>
  <c r="E64" i="2" s="1"/>
  <c r="W56" i="4" l="1"/>
  <c r="W47" i="4" s="1"/>
  <c r="X24" i="4"/>
  <c r="F6" i="2"/>
  <c r="F64" i="2" s="1"/>
  <c r="D46" i="2"/>
  <c r="D25" i="2"/>
  <c r="Q25" i="2" s="1"/>
  <c r="D52" i="2"/>
  <c r="Q52" i="2" s="1"/>
  <c r="D50" i="2"/>
  <c r="F57" i="2"/>
  <c r="G6" i="2" l="1"/>
  <c r="G64" i="2" s="1"/>
  <c r="D34" i="4"/>
  <c r="D97" i="2"/>
  <c r="X56" i="4"/>
  <c r="X47" i="4" s="1"/>
  <c r="Y24" i="4"/>
  <c r="X15" i="4"/>
  <c r="Y15" i="4" s="1"/>
  <c r="Q46" i="2"/>
  <c r="Q50" i="2"/>
  <c r="D23" i="2"/>
  <c r="G57" i="2"/>
  <c r="H6" i="2" l="1"/>
  <c r="H64" i="2" s="1"/>
  <c r="D2" i="4"/>
  <c r="D96" i="2"/>
  <c r="Y56" i="4"/>
  <c r="Y48" i="4" s="1"/>
  <c r="Z24" i="4"/>
  <c r="Q97" i="2"/>
  <c r="Q23" i="2"/>
  <c r="Q96" i="2" s="1"/>
  <c r="D80" i="2"/>
  <c r="G78" i="2"/>
  <c r="G59" i="4" s="1"/>
  <c r="O78" i="2"/>
  <c r="D79" i="2"/>
  <c r="D71" i="2"/>
  <c r="J70" i="2"/>
  <c r="J27" i="4" s="1"/>
  <c r="N70" i="2"/>
  <c r="N27" i="4" s="1"/>
  <c r="D72" i="2"/>
  <c r="G70" i="2"/>
  <c r="G27" i="4" s="1"/>
  <c r="K70" i="2"/>
  <c r="K27" i="4" s="1"/>
  <c r="O70" i="2"/>
  <c r="H57" i="2"/>
  <c r="I6" i="2"/>
  <c r="Y47" i="4" l="1"/>
  <c r="AA24" i="4"/>
  <c r="Z56" i="4"/>
  <c r="Z15" i="4"/>
  <c r="AA15" i="4" s="1"/>
  <c r="H78" i="2"/>
  <c r="H59" i="4" s="1"/>
  <c r="H53" i="2"/>
  <c r="L53" i="2"/>
  <c r="E53" i="2"/>
  <c r="I53" i="2"/>
  <c r="M53" i="2"/>
  <c r="F53" i="2"/>
  <c r="J53" i="2"/>
  <c r="N53" i="2"/>
  <c r="G53" i="2"/>
  <c r="K53" i="2"/>
  <c r="O53" i="2"/>
  <c r="D51" i="2"/>
  <c r="I70" i="2"/>
  <c r="I27" i="4" s="1"/>
  <c r="H70" i="2"/>
  <c r="H27" i="4" s="1"/>
  <c r="D78" i="2"/>
  <c r="I78" i="2"/>
  <c r="I59" i="4" s="1"/>
  <c r="J78" i="2"/>
  <c r="J59" i="4" s="1"/>
  <c r="L70" i="2"/>
  <c r="L27" i="4" s="1"/>
  <c r="E70" i="2"/>
  <c r="E27" i="4" s="1"/>
  <c r="F78" i="2"/>
  <c r="F59" i="4" s="1"/>
  <c r="M78" i="2"/>
  <c r="M59" i="4" s="1"/>
  <c r="L78" i="2"/>
  <c r="L59" i="4" s="1"/>
  <c r="D70" i="2"/>
  <c r="D27" i="4" s="1"/>
  <c r="M70" i="2"/>
  <c r="M27" i="4" s="1"/>
  <c r="N78" i="2"/>
  <c r="N59" i="4" s="1"/>
  <c r="E78" i="2"/>
  <c r="E59" i="4" s="1"/>
  <c r="I57" i="2"/>
  <c r="I64" i="2"/>
  <c r="J6" i="2"/>
  <c r="Z47" i="4" l="1"/>
  <c r="D59" i="4"/>
  <c r="D49" i="4" s="1"/>
  <c r="E49" i="4" s="1"/>
  <c r="F49" i="4" s="1"/>
  <c r="G49" i="4" s="1"/>
  <c r="H49" i="4" s="1"/>
  <c r="I49" i="4" s="1"/>
  <c r="J49" i="4" s="1"/>
  <c r="AB24" i="4"/>
  <c r="AB16" i="4" s="1"/>
  <c r="AA56" i="4"/>
  <c r="D17" i="4"/>
  <c r="E17" i="4" s="1"/>
  <c r="F17" i="4" s="1"/>
  <c r="G17" i="4" s="1"/>
  <c r="H17" i="4" s="1"/>
  <c r="I17" i="4" s="1"/>
  <c r="J17" i="4" s="1"/>
  <c r="D18" i="4"/>
  <c r="E18" i="4" s="1"/>
  <c r="F18" i="4" s="1"/>
  <c r="G18" i="4" s="1"/>
  <c r="H18" i="4" s="1"/>
  <c r="I18" i="4" s="1"/>
  <c r="J18" i="4" s="1"/>
  <c r="K54" i="2"/>
  <c r="F54" i="2"/>
  <c r="L54" i="2"/>
  <c r="G54" i="2"/>
  <c r="M54" i="2"/>
  <c r="H54" i="2"/>
  <c r="D53" i="2"/>
  <c r="Q51" i="2"/>
  <c r="N54" i="2"/>
  <c r="I54" i="2"/>
  <c r="O54" i="2"/>
  <c r="J54" i="2"/>
  <c r="E54" i="2"/>
  <c r="J57" i="2"/>
  <c r="J64" i="2"/>
  <c r="K6" i="2"/>
  <c r="AA47" i="4" l="1"/>
  <c r="K5" i="4"/>
  <c r="K6" i="4" s="1"/>
  <c r="K8" i="4" s="1"/>
  <c r="J41" i="4"/>
  <c r="K37" i="4"/>
  <c r="K38" i="4" s="1"/>
  <c r="K40" i="4" s="1"/>
  <c r="K50" i="4"/>
  <c r="L50" i="4" s="1"/>
  <c r="M50" i="4" s="1"/>
  <c r="N50" i="4" s="1"/>
  <c r="J9" i="4"/>
  <c r="K17" i="4"/>
  <c r="AB15" i="4"/>
  <c r="AC24" i="4"/>
  <c r="AC16" i="4" s="1"/>
  <c r="AB56" i="4"/>
  <c r="AB47" i="4" s="1"/>
  <c r="H26" i="2"/>
  <c r="L26" i="2"/>
  <c r="E26" i="2"/>
  <c r="I26" i="2"/>
  <c r="M26" i="2"/>
  <c r="F26" i="2"/>
  <c r="J26" i="2"/>
  <c r="N26" i="2"/>
  <c r="G26" i="2"/>
  <c r="K26" i="2"/>
  <c r="O26" i="2"/>
  <c r="D24" i="2"/>
  <c r="Q53" i="2"/>
  <c r="D54" i="2"/>
  <c r="K57" i="2"/>
  <c r="K64" i="2"/>
  <c r="L6" i="2"/>
  <c r="AB48" i="4" l="1"/>
  <c r="K9" i="4"/>
  <c r="O9" i="4"/>
  <c r="T9" i="4"/>
  <c r="N9" i="4"/>
  <c r="V9" i="4"/>
  <c r="P9" i="4"/>
  <c r="L9" i="4"/>
  <c r="U9" i="4"/>
  <c r="Q9" i="4"/>
  <c r="R9" i="4"/>
  <c r="S9" i="4"/>
  <c r="M9" i="4"/>
  <c r="W9" i="4"/>
  <c r="J11" i="4" s="1"/>
  <c r="X9" i="4"/>
  <c r="AD41" i="4"/>
  <c r="AA41" i="4"/>
  <c r="AB41" i="4"/>
  <c r="W41" i="4"/>
  <c r="AE41" i="4"/>
  <c r="AF41" i="4"/>
  <c r="Y41" i="4"/>
  <c r="AG41" i="4"/>
  <c r="X41" i="4"/>
  <c r="Z41" i="4"/>
  <c r="AH41" i="4"/>
  <c r="AC41" i="4"/>
  <c r="N41" i="4"/>
  <c r="U41" i="4"/>
  <c r="R41" i="4"/>
  <c r="T41" i="4"/>
  <c r="L41" i="4"/>
  <c r="P41" i="4"/>
  <c r="K41" i="4"/>
  <c r="Q41" i="4"/>
  <c r="V41" i="4"/>
  <c r="O41" i="4"/>
  <c r="M41" i="4"/>
  <c r="S41" i="4"/>
  <c r="AD24" i="4"/>
  <c r="AD16" i="4" s="1"/>
  <c r="AC56" i="4"/>
  <c r="AC47" i="4" s="1"/>
  <c r="AC15" i="4"/>
  <c r="AG9" i="4"/>
  <c r="Y9" i="4"/>
  <c r="AF9" i="4"/>
  <c r="AE9" i="4"/>
  <c r="AC9" i="4"/>
  <c r="AB9" i="4"/>
  <c r="AH9" i="4"/>
  <c r="AD9" i="4"/>
  <c r="AA9" i="4"/>
  <c r="Z9" i="4"/>
  <c r="D26" i="2"/>
  <c r="Q24" i="2"/>
  <c r="N27" i="2"/>
  <c r="I27" i="2"/>
  <c r="O27" i="2"/>
  <c r="J27" i="2"/>
  <c r="E27" i="2"/>
  <c r="K27" i="2"/>
  <c r="F27" i="2"/>
  <c r="L27" i="2"/>
  <c r="G27" i="2"/>
  <c r="M27" i="2"/>
  <c r="H27" i="2"/>
  <c r="L57" i="2"/>
  <c r="M6" i="2"/>
  <c r="L64" i="2"/>
  <c r="J43" i="4" l="1"/>
  <c r="J44" i="4" s="1"/>
  <c r="L38" i="4"/>
  <c r="L36" i="4"/>
  <c r="K49" i="4"/>
  <c r="AD15" i="4"/>
  <c r="L6" i="4"/>
  <c r="K18" i="4"/>
  <c r="L4" i="4"/>
  <c r="D11" i="4"/>
  <c r="I11" i="4"/>
  <c r="E11" i="4"/>
  <c r="F11" i="4"/>
  <c r="G11" i="4"/>
  <c r="H11" i="4"/>
  <c r="AC48" i="4"/>
  <c r="AE24" i="4"/>
  <c r="AD56" i="4"/>
  <c r="AD47" i="4" s="1"/>
  <c r="D27" i="2"/>
  <c r="Q26" i="2"/>
  <c r="M57" i="2"/>
  <c r="M64" i="2"/>
  <c r="N6" i="2"/>
  <c r="M4" i="4" l="1"/>
  <c r="M36" i="4"/>
  <c r="L49" i="4"/>
  <c r="E43" i="4"/>
  <c r="E44" i="4" s="1"/>
  <c r="G43" i="4"/>
  <c r="G44" i="4" s="1"/>
  <c r="D43" i="4"/>
  <c r="D44" i="4" s="1"/>
  <c r="F43" i="4"/>
  <c r="F44" i="4" s="1"/>
  <c r="H43" i="4"/>
  <c r="H44" i="4" s="1"/>
  <c r="I43" i="4"/>
  <c r="I44" i="4" s="1"/>
  <c r="AE56" i="4"/>
  <c r="AE47" i="4" s="1"/>
  <c r="AF24" i="4"/>
  <c r="AE15" i="4"/>
  <c r="AF15" i="4" s="1"/>
  <c r="AD48" i="4"/>
  <c r="AE16" i="4"/>
  <c r="AF16" i="4" s="1"/>
  <c r="O57" i="2"/>
  <c r="N64" i="2"/>
  <c r="O6" i="2"/>
  <c r="O64" i="2" s="1"/>
  <c r="N4" i="4" l="1"/>
  <c r="N36" i="4"/>
  <c r="M49" i="4"/>
  <c r="L18" i="4"/>
  <c r="M18" i="4" s="1"/>
  <c r="L17" i="4"/>
  <c r="M17" i="4" s="1"/>
  <c r="O50" i="4"/>
  <c r="AE48" i="4"/>
  <c r="AF56" i="4"/>
  <c r="AG24" i="4"/>
  <c r="AF48" i="4" l="1"/>
  <c r="N49" i="4"/>
  <c r="O36" i="4"/>
  <c r="O4" i="4"/>
  <c r="AG56" i="4"/>
  <c r="AH24" i="4"/>
  <c r="AG15" i="4"/>
  <c r="AH15" i="4" s="1"/>
  <c r="AG16" i="4"/>
  <c r="AF47" i="4"/>
  <c r="P50" i="4"/>
  <c r="Q50" i="4" s="1"/>
  <c r="P4" i="4" l="1"/>
  <c r="N18" i="4"/>
  <c r="N17" i="4"/>
  <c r="O17" i="4" s="1"/>
  <c r="P17" i="4" s="1"/>
  <c r="Q17" i="4" s="1"/>
  <c r="AH16" i="4"/>
  <c r="O49" i="4"/>
  <c r="P36" i="4"/>
  <c r="AH56" i="4"/>
  <c r="AI24" i="4"/>
  <c r="AG47" i="4"/>
  <c r="AG48" i="4"/>
  <c r="R50" i="4"/>
  <c r="O18" i="4" l="1"/>
  <c r="AB12" i="4"/>
  <c r="AF12" i="4"/>
  <c r="AG12" i="4"/>
  <c r="AA12" i="4"/>
  <c r="AA19" i="4" s="1"/>
  <c r="AH12" i="4"/>
  <c r="AC12" i="4"/>
  <c r="AD12" i="4"/>
  <c r="AE12" i="4"/>
  <c r="Q36" i="4"/>
  <c r="P59" i="4"/>
  <c r="P49" i="4" s="1"/>
  <c r="P27" i="4"/>
  <c r="Q4" i="4"/>
  <c r="AH48" i="4"/>
  <c r="AI16" i="4"/>
  <c r="AI15" i="4"/>
  <c r="AJ24" i="4"/>
  <c r="AI56" i="4"/>
  <c r="AH47" i="4"/>
  <c r="S50" i="4"/>
  <c r="R17" i="4"/>
  <c r="P18" i="4" l="1"/>
  <c r="R4" i="4"/>
  <c r="Q27" i="4"/>
  <c r="R36" i="4"/>
  <c r="Q59" i="4"/>
  <c r="Q49" i="4" s="1"/>
  <c r="AI47" i="4"/>
  <c r="AK24" i="4"/>
  <c r="AJ56" i="4"/>
  <c r="AJ16" i="4"/>
  <c r="AI48" i="4"/>
  <c r="AJ15" i="4"/>
  <c r="T50" i="4"/>
  <c r="U50" i="4" s="1"/>
  <c r="V50" i="4" s="1"/>
  <c r="S17" i="4"/>
  <c r="Q18" i="4" l="1"/>
  <c r="S4" i="4"/>
  <c r="R27" i="4"/>
  <c r="S36" i="4"/>
  <c r="R59" i="4"/>
  <c r="R49" i="4" s="1"/>
  <c r="AK15" i="4"/>
  <c r="AJ48" i="4"/>
  <c r="AK16" i="4"/>
  <c r="AL24" i="4"/>
  <c r="AK56" i="4"/>
  <c r="AJ47" i="4"/>
  <c r="AK47" i="4" s="1"/>
  <c r="F52" i="4"/>
  <c r="T17" i="4"/>
  <c r="R18" i="4" l="1"/>
  <c r="AL15" i="4"/>
  <c r="T36" i="4"/>
  <c r="S59" i="4"/>
  <c r="S49" i="4" s="1"/>
  <c r="AK48" i="4"/>
  <c r="S27" i="4"/>
  <c r="T4" i="4"/>
  <c r="J52" i="4"/>
  <c r="E52" i="4"/>
  <c r="F63" i="4" s="1"/>
  <c r="G52" i="4"/>
  <c r="G63" i="4" s="1"/>
  <c r="AL56" i="4"/>
  <c r="AL47" i="4" s="1"/>
  <c r="AM24" i="4"/>
  <c r="AM15" i="4" s="1"/>
  <c r="D52" i="4"/>
  <c r="H52" i="4"/>
  <c r="I52" i="4"/>
  <c r="G20" i="4"/>
  <c r="U17" i="4"/>
  <c r="S18" i="4" l="1"/>
  <c r="E63" i="4"/>
  <c r="U4" i="4"/>
  <c r="T27" i="4"/>
  <c r="U36" i="4"/>
  <c r="T59" i="4"/>
  <c r="T49" i="4" s="1"/>
  <c r="H63" i="4"/>
  <c r="J63" i="4"/>
  <c r="J20" i="4"/>
  <c r="J88" i="2" s="1"/>
  <c r="AM56" i="4"/>
  <c r="AM47" i="4" s="1"/>
  <c r="AN24" i="4"/>
  <c r="AN16" i="4" s="1"/>
  <c r="I63" i="4"/>
  <c r="D20" i="4"/>
  <c r="I20" i="4"/>
  <c r="I88" i="2" s="1"/>
  <c r="J89" i="2" s="1"/>
  <c r="E20" i="4"/>
  <c r="H20" i="4"/>
  <c r="H31" i="4" s="1"/>
  <c r="F20" i="4"/>
  <c r="V17" i="4"/>
  <c r="G88" i="2"/>
  <c r="H89" i="2" s="1"/>
  <c r="B97" i="1"/>
  <c r="B96" i="1"/>
  <c r="T18" i="4" l="1"/>
  <c r="U18" i="4" s="1"/>
  <c r="V36" i="4"/>
  <c r="U59" i="4"/>
  <c r="U27" i="4"/>
  <c r="V4" i="4"/>
  <c r="U49" i="4"/>
  <c r="F31" i="4"/>
  <c r="AN56" i="4"/>
  <c r="AN47" i="4" s="1"/>
  <c r="AN15" i="4"/>
  <c r="AO24" i="4"/>
  <c r="D88" i="2"/>
  <c r="E89" i="2" s="1"/>
  <c r="E31" i="4"/>
  <c r="J31" i="4"/>
  <c r="E88" i="2"/>
  <c r="F89" i="2" s="1"/>
  <c r="I31" i="4"/>
  <c r="H88" i="2"/>
  <c r="H90" i="2" s="1"/>
  <c r="H84" i="2" s="1"/>
  <c r="F88" i="2"/>
  <c r="G89" i="2" s="1"/>
  <c r="G90" i="2" s="1"/>
  <c r="G84" i="2" s="1"/>
  <c r="G31" i="4"/>
  <c r="K89" i="2"/>
  <c r="J90" i="2"/>
  <c r="J84" i="2" s="1"/>
  <c r="N6" i="1"/>
  <c r="R20" i="1"/>
  <c r="R22" i="1" s="1"/>
  <c r="O166" i="1"/>
  <c r="N166" i="1"/>
  <c r="M166" i="1"/>
  <c r="L166" i="1"/>
  <c r="K166" i="1"/>
  <c r="J166" i="1"/>
  <c r="I166" i="1"/>
  <c r="H166" i="1"/>
  <c r="G166" i="1"/>
  <c r="F166" i="1"/>
  <c r="E166" i="1"/>
  <c r="D165" i="1"/>
  <c r="P165" i="1" s="1"/>
  <c r="P164" i="1"/>
  <c r="P163" i="1"/>
  <c r="P162" i="1"/>
  <c r="R155" i="1"/>
  <c r="R157" i="1" s="1"/>
  <c r="O153" i="1"/>
  <c r="N153" i="1"/>
  <c r="M153" i="1"/>
  <c r="L153" i="1"/>
  <c r="K153" i="1"/>
  <c r="K155" i="1" s="1"/>
  <c r="J153" i="1"/>
  <c r="I153" i="1"/>
  <c r="H153" i="1"/>
  <c r="G153" i="1"/>
  <c r="F153" i="1"/>
  <c r="E153" i="1"/>
  <c r="P150" i="1"/>
  <c r="R146" i="1"/>
  <c r="R147" i="1" s="1"/>
  <c r="O146" i="1"/>
  <c r="N146" i="1"/>
  <c r="M146" i="1"/>
  <c r="L146" i="1"/>
  <c r="K146" i="1"/>
  <c r="J146" i="1"/>
  <c r="I146" i="1"/>
  <c r="H146" i="1"/>
  <c r="G146" i="1"/>
  <c r="F146" i="1"/>
  <c r="E146" i="1"/>
  <c r="D146" i="1"/>
  <c r="O145" i="1"/>
  <c r="N145" i="1"/>
  <c r="M145" i="1"/>
  <c r="L145" i="1"/>
  <c r="K145" i="1"/>
  <c r="J145" i="1"/>
  <c r="I145" i="1"/>
  <c r="H145" i="1"/>
  <c r="G145" i="1"/>
  <c r="F145" i="1"/>
  <c r="E145" i="1"/>
  <c r="D145" i="1"/>
  <c r="O144" i="1"/>
  <c r="O152" i="1" s="1"/>
  <c r="N144" i="1"/>
  <c r="N152" i="1" s="1"/>
  <c r="N160" i="1" s="1"/>
  <c r="M144" i="1"/>
  <c r="M152" i="1" s="1"/>
  <c r="L144" i="1"/>
  <c r="L152" i="1" s="1"/>
  <c r="K144" i="1"/>
  <c r="K152" i="1" s="1"/>
  <c r="J144" i="1"/>
  <c r="J152" i="1" s="1"/>
  <c r="J160" i="1" s="1"/>
  <c r="I144" i="1"/>
  <c r="I152" i="1" s="1"/>
  <c r="H144" i="1"/>
  <c r="H152" i="1" s="1"/>
  <c r="G144" i="1"/>
  <c r="G152" i="1" s="1"/>
  <c r="F144" i="1"/>
  <c r="F152" i="1" s="1"/>
  <c r="F160" i="1" s="1"/>
  <c r="E144" i="1"/>
  <c r="E152" i="1" s="1"/>
  <c r="D144" i="1"/>
  <c r="O143" i="1"/>
  <c r="N143" i="1"/>
  <c r="O142" i="1"/>
  <c r="N142" i="1"/>
  <c r="M142" i="1"/>
  <c r="L142" i="1"/>
  <c r="K142" i="1"/>
  <c r="J142" i="1"/>
  <c r="I142" i="1"/>
  <c r="H142" i="1"/>
  <c r="G142" i="1"/>
  <c r="F142" i="1"/>
  <c r="E142" i="1"/>
  <c r="D142" i="1"/>
  <c r="O141" i="1"/>
  <c r="O149" i="1" s="1"/>
  <c r="O151" i="1" s="1"/>
  <c r="N141" i="1"/>
  <c r="M141" i="1"/>
  <c r="M149" i="1" s="1"/>
  <c r="L141" i="1"/>
  <c r="L149" i="1" s="1"/>
  <c r="L151" i="1" s="1"/>
  <c r="K141" i="1"/>
  <c r="K149" i="1" s="1"/>
  <c r="K80" i="1" s="1"/>
  <c r="J141" i="1"/>
  <c r="I141" i="1"/>
  <c r="I149" i="1" s="1"/>
  <c r="H141" i="1"/>
  <c r="H149" i="1" s="1"/>
  <c r="H151" i="1" s="1"/>
  <c r="G141" i="1"/>
  <c r="G149" i="1" s="1"/>
  <c r="G151" i="1" s="1"/>
  <c r="F141" i="1"/>
  <c r="E141" i="1"/>
  <c r="E149" i="1" s="1"/>
  <c r="E151" i="1" s="1"/>
  <c r="E99" i="2" s="1"/>
  <c r="E102" i="2" s="1"/>
  <c r="D141" i="1"/>
  <c r="D149" i="1" s="1"/>
  <c r="D80" i="1" s="1"/>
  <c r="O138" i="1"/>
  <c r="N138" i="1"/>
  <c r="M138" i="1"/>
  <c r="L138" i="1"/>
  <c r="K138" i="1"/>
  <c r="J138" i="1"/>
  <c r="I138" i="1"/>
  <c r="H138" i="1"/>
  <c r="G138" i="1"/>
  <c r="F138" i="1"/>
  <c r="E138" i="1"/>
  <c r="D138" i="1"/>
  <c r="P137" i="1"/>
  <c r="P136" i="1"/>
  <c r="P135" i="1"/>
  <c r="P134" i="1"/>
  <c r="P133" i="1"/>
  <c r="P132" i="1"/>
  <c r="O129" i="1"/>
  <c r="N129" i="1"/>
  <c r="M129" i="1"/>
  <c r="L129" i="1"/>
  <c r="K129" i="1"/>
  <c r="J129" i="1"/>
  <c r="I129" i="1"/>
  <c r="H129" i="1"/>
  <c r="G129" i="1"/>
  <c r="F129" i="1"/>
  <c r="E129" i="1"/>
  <c r="D129" i="1"/>
  <c r="P128" i="1"/>
  <c r="P127" i="1"/>
  <c r="P126" i="1"/>
  <c r="P125" i="1"/>
  <c r="P124" i="1"/>
  <c r="P123" i="1"/>
  <c r="O120" i="1"/>
  <c r="N120" i="1"/>
  <c r="P119" i="1"/>
  <c r="P118" i="1"/>
  <c r="M117" i="1"/>
  <c r="M120" i="1" s="1"/>
  <c r="L117" i="1"/>
  <c r="L120" i="1" s="1"/>
  <c r="K117" i="1"/>
  <c r="K143" i="1" s="1"/>
  <c r="J117" i="1"/>
  <c r="I117" i="1"/>
  <c r="I143" i="1" s="1"/>
  <c r="H117" i="1"/>
  <c r="H120" i="1" s="1"/>
  <c r="G117" i="1"/>
  <c r="G143" i="1" s="1"/>
  <c r="G147" i="1" s="1"/>
  <c r="F117" i="1"/>
  <c r="E117" i="1"/>
  <c r="E143" i="1" s="1"/>
  <c r="D117" i="1"/>
  <c r="D120" i="1" s="1"/>
  <c r="O114" i="1"/>
  <c r="N114" i="1"/>
  <c r="M114" i="1"/>
  <c r="L114" i="1"/>
  <c r="K114" i="1"/>
  <c r="J114" i="1"/>
  <c r="I114" i="1"/>
  <c r="H114" i="1"/>
  <c r="G114" i="1"/>
  <c r="F114" i="1"/>
  <c r="E114" i="1"/>
  <c r="D114" i="1"/>
  <c r="P113" i="1"/>
  <c r="P112" i="1"/>
  <c r="P111" i="1"/>
  <c r="P110" i="1"/>
  <c r="P109" i="1"/>
  <c r="P108" i="1"/>
  <c r="A73" i="1"/>
  <c r="A71" i="1"/>
  <c r="A78" i="1"/>
  <c r="A79" i="1" s="1"/>
  <c r="A80" i="1" s="1"/>
  <c r="A81" i="1" s="1"/>
  <c r="A82" i="1" s="1"/>
  <c r="A83" i="1" s="1"/>
  <c r="A84" i="1" s="1"/>
  <c r="A85" i="1" s="1"/>
  <c r="A86" i="1" s="1"/>
  <c r="A87" i="1" s="1"/>
  <c r="A88" i="1" s="1"/>
  <c r="A89" i="1" s="1"/>
  <c r="K14" i="1"/>
  <c r="K15" i="1" s="1"/>
  <c r="K11" i="1"/>
  <c r="A45" i="1"/>
  <c r="C54" i="1"/>
  <c r="D29" i="1"/>
  <c r="D28" i="1"/>
  <c r="D27" i="1"/>
  <c r="D26" i="1"/>
  <c r="D52" i="1" s="1"/>
  <c r="E21" i="1"/>
  <c r="D21" i="1"/>
  <c r="I19" i="1"/>
  <c r="H19" i="1"/>
  <c r="G19" i="1"/>
  <c r="G20" i="1" s="1"/>
  <c r="F19" i="1"/>
  <c r="E15" i="1"/>
  <c r="D15" i="1"/>
  <c r="D66" i="1" s="1"/>
  <c r="I13" i="1"/>
  <c r="H13" i="1"/>
  <c r="G13" i="1"/>
  <c r="G15" i="1" s="1"/>
  <c r="F13" i="1"/>
  <c r="E27" i="1" s="1"/>
  <c r="E11" i="1"/>
  <c r="D11" i="1"/>
  <c r="H10" i="1"/>
  <c r="G10" i="1"/>
  <c r="C10" i="1" s="1"/>
  <c r="I9" i="1"/>
  <c r="I11" i="1" s="1"/>
  <c r="H9" i="1"/>
  <c r="G9" i="1"/>
  <c r="F9" i="1"/>
  <c r="C9" i="1" s="1"/>
  <c r="G155" i="1" l="1"/>
  <c r="O155" i="1"/>
  <c r="D30" i="1"/>
  <c r="K147" i="1"/>
  <c r="C13" i="1"/>
  <c r="H155" i="1"/>
  <c r="M143" i="1"/>
  <c r="I89" i="2"/>
  <c r="I90" i="2" s="1"/>
  <c r="I84" i="2" s="1"/>
  <c r="V27" i="4"/>
  <c r="V18" i="4" s="1"/>
  <c r="X7" i="4"/>
  <c r="W10" i="4" s="1"/>
  <c r="X10" i="4" s="1"/>
  <c r="Y10" i="4" s="1"/>
  <c r="Z10" i="4" s="1"/>
  <c r="AA10" i="4" s="1"/>
  <c r="AB10" i="4" s="1"/>
  <c r="AC10" i="4" s="1"/>
  <c r="AD10" i="4" s="1"/>
  <c r="AE10" i="4" s="1"/>
  <c r="AF10" i="4" s="1"/>
  <c r="AG10" i="4" s="1"/>
  <c r="AH10" i="4" s="1"/>
  <c r="D17" i="1"/>
  <c r="E17" i="1"/>
  <c r="E23" i="1" s="1"/>
  <c r="E37" i="1" s="1"/>
  <c r="E38" i="1" s="1"/>
  <c r="X39" i="4"/>
  <c r="W42" i="4" s="1"/>
  <c r="X42" i="4" s="1"/>
  <c r="Y42" i="4" s="1"/>
  <c r="Z42" i="4" s="1"/>
  <c r="AA42" i="4" s="1"/>
  <c r="AB42" i="4" s="1"/>
  <c r="AC42" i="4" s="1"/>
  <c r="AD42" i="4" s="1"/>
  <c r="AE42" i="4" s="1"/>
  <c r="AF42" i="4" s="1"/>
  <c r="AG42" i="4" s="1"/>
  <c r="AH42" i="4" s="1"/>
  <c r="V59" i="4"/>
  <c r="V49" i="4" s="1"/>
  <c r="M151" i="1"/>
  <c r="M80" i="1"/>
  <c r="I151" i="1"/>
  <c r="I80" i="1"/>
  <c r="F11" i="1"/>
  <c r="F15" i="1"/>
  <c r="E66" i="1" s="1"/>
  <c r="K17" i="1"/>
  <c r="H80" i="1"/>
  <c r="E120" i="1"/>
  <c r="P138" i="1"/>
  <c r="I155" i="1"/>
  <c r="O80" i="1"/>
  <c r="G80" i="1"/>
  <c r="M147" i="1"/>
  <c r="I120" i="1"/>
  <c r="D143" i="1"/>
  <c r="D147" i="1" s="1"/>
  <c r="P144" i="1"/>
  <c r="P146" i="1"/>
  <c r="J155" i="1"/>
  <c r="D65" i="1"/>
  <c r="I147" i="1"/>
  <c r="E80" i="1"/>
  <c r="P114" i="1"/>
  <c r="H143" i="1"/>
  <c r="H147" i="1" s="1"/>
  <c r="K151" i="1"/>
  <c r="D166" i="1"/>
  <c r="D155" i="1" s="1"/>
  <c r="L155" i="1"/>
  <c r="L80" i="1"/>
  <c r="E155" i="1"/>
  <c r="M155" i="1"/>
  <c r="E147" i="1"/>
  <c r="P129" i="1"/>
  <c r="L143" i="1"/>
  <c r="L147" i="1" s="1"/>
  <c r="P145" i="1"/>
  <c r="F155" i="1"/>
  <c r="N155" i="1"/>
  <c r="AO56" i="4"/>
  <c r="AO47" i="4" s="1"/>
  <c r="AP24" i="4"/>
  <c r="AO15" i="4"/>
  <c r="AO16" i="4"/>
  <c r="AN48" i="4"/>
  <c r="E90" i="2"/>
  <c r="E84" i="2" s="1"/>
  <c r="F90" i="2"/>
  <c r="F84" i="2" s="1"/>
  <c r="R24" i="1"/>
  <c r="R26" i="1" s="1"/>
  <c r="N147" i="1"/>
  <c r="N149" i="1"/>
  <c r="P166" i="1"/>
  <c r="H154" i="1"/>
  <c r="H160" i="1"/>
  <c r="L160" i="1"/>
  <c r="F149" i="1"/>
  <c r="J149" i="1"/>
  <c r="E160" i="1"/>
  <c r="E154" i="1"/>
  <c r="I160" i="1"/>
  <c r="I154" i="1"/>
  <c r="M160" i="1"/>
  <c r="M154" i="1"/>
  <c r="F120" i="1"/>
  <c r="F143" i="1"/>
  <c r="F147" i="1" s="1"/>
  <c r="J143" i="1"/>
  <c r="J147" i="1" s="1"/>
  <c r="J120" i="1"/>
  <c r="P117" i="1"/>
  <c r="P120" i="1" s="1"/>
  <c r="D151" i="1"/>
  <c r="D99" i="2" s="1"/>
  <c r="D102" i="2" s="1"/>
  <c r="P142" i="1"/>
  <c r="G154" i="1"/>
  <c r="G160" i="1"/>
  <c r="K154" i="1"/>
  <c r="K160" i="1"/>
  <c r="O154" i="1"/>
  <c r="O160" i="1"/>
  <c r="O147" i="1"/>
  <c r="D152" i="1"/>
  <c r="N154" i="1"/>
  <c r="G120" i="1"/>
  <c r="K120" i="1"/>
  <c r="P141" i="1"/>
  <c r="D153" i="1"/>
  <c r="P153" i="1" s="1"/>
  <c r="A90" i="1"/>
  <c r="A91" i="1" s="1"/>
  <c r="A92" i="1" s="1"/>
  <c r="A93" i="1" s="1"/>
  <c r="C90" i="1"/>
  <c r="G21" i="1"/>
  <c r="K20" i="1"/>
  <c r="K21" i="1" s="1"/>
  <c r="C15" i="1"/>
  <c r="C19" i="1"/>
  <c r="G11" i="1"/>
  <c r="G17" i="1" s="1"/>
  <c r="H11" i="1"/>
  <c r="E29" i="1"/>
  <c r="D23" i="1"/>
  <c r="D50" i="1" s="1"/>
  <c r="D54" i="1" s="1"/>
  <c r="F21" i="1"/>
  <c r="E26" i="1"/>
  <c r="E52" i="1" s="1"/>
  <c r="P143" i="1" l="1"/>
  <c r="J154" i="1"/>
  <c r="P155" i="1"/>
  <c r="AO48" i="4"/>
  <c r="C11" i="1"/>
  <c r="G23" i="1"/>
  <c r="K23" i="1"/>
  <c r="I156" i="1"/>
  <c r="I84" i="1"/>
  <c r="N156" i="1"/>
  <c r="N84" i="1"/>
  <c r="K156" i="1"/>
  <c r="K84" i="1"/>
  <c r="E156" i="1"/>
  <c r="E100" i="2" s="1"/>
  <c r="E103" i="2" s="1"/>
  <c r="E84" i="1"/>
  <c r="H156" i="1"/>
  <c r="H84" i="1"/>
  <c r="F17" i="1"/>
  <c r="C17" i="1" s="1"/>
  <c r="O156" i="1"/>
  <c r="O84" i="1"/>
  <c r="J156" i="1"/>
  <c r="J84" i="1"/>
  <c r="F154" i="1"/>
  <c r="G156" i="1"/>
  <c r="G84" i="1"/>
  <c r="J151" i="1"/>
  <c r="J80" i="1"/>
  <c r="N151" i="1"/>
  <c r="N80" i="1"/>
  <c r="AP16" i="4"/>
  <c r="M156" i="1"/>
  <c r="M84" i="1"/>
  <c r="AP15" i="4"/>
  <c r="F151" i="1"/>
  <c r="F99" i="2" s="1"/>
  <c r="F102" i="2" s="1"/>
  <c r="F80" i="1"/>
  <c r="D64" i="1"/>
  <c r="D67" i="1" s="1"/>
  <c r="P89" i="1"/>
  <c r="P147" i="1"/>
  <c r="K158" i="1" s="1"/>
  <c r="L154" i="1"/>
  <c r="AP56" i="4"/>
  <c r="AQ24" i="4"/>
  <c r="I158" i="1"/>
  <c r="G158" i="1"/>
  <c r="M158" i="1"/>
  <c r="D154" i="1"/>
  <c r="D84" i="1" s="1"/>
  <c r="D160" i="1"/>
  <c r="P160" i="1" s="1"/>
  <c r="P152" i="1"/>
  <c r="O158" i="1"/>
  <c r="P149" i="1"/>
  <c r="P151" i="1" s="1"/>
  <c r="C94" i="1"/>
  <c r="A94" i="1"/>
  <c r="A95" i="1" s="1"/>
  <c r="A96" i="1" s="1"/>
  <c r="A97" i="1" s="1"/>
  <c r="D37" i="1"/>
  <c r="D38" i="1" s="1"/>
  <c r="C21" i="1"/>
  <c r="E28" i="1"/>
  <c r="E158" i="1" l="1"/>
  <c r="D158" i="1"/>
  <c r="N158" i="1"/>
  <c r="AP48" i="4"/>
  <c r="L158" i="1"/>
  <c r="H158" i="1"/>
  <c r="F23" i="1"/>
  <c r="F156" i="1"/>
  <c r="F100" i="2" s="1"/>
  <c r="F103" i="2" s="1"/>
  <c r="F84" i="1"/>
  <c r="L156" i="1"/>
  <c r="L84" i="1"/>
  <c r="F158" i="1"/>
  <c r="P80" i="1"/>
  <c r="J158" i="1"/>
  <c r="E30" i="1"/>
  <c r="E65" i="1"/>
  <c r="AP47" i="4"/>
  <c r="AR24" i="4"/>
  <c r="AQ56" i="4"/>
  <c r="AQ15" i="4"/>
  <c r="AQ16" i="4"/>
  <c r="D156" i="1"/>
  <c r="D100" i="2" s="1"/>
  <c r="D103" i="2" s="1"/>
  <c r="P154" i="1"/>
  <c r="P156" i="1" s="1"/>
  <c r="P158" i="1"/>
  <c r="P84" i="1" l="1"/>
  <c r="G85" i="1" s="1"/>
  <c r="AQ48" i="4"/>
  <c r="I85" i="1"/>
  <c r="J85" i="1"/>
  <c r="N85" i="1"/>
  <c r="K81" i="1"/>
  <c r="K90" i="1" s="1"/>
  <c r="I81" i="1"/>
  <c r="I90" i="1" s="1"/>
  <c r="G81" i="1"/>
  <c r="G90" i="1" s="1"/>
  <c r="D81" i="1"/>
  <c r="H81" i="1"/>
  <c r="H90" i="1" s="1"/>
  <c r="L81" i="1"/>
  <c r="L90" i="1" s="1"/>
  <c r="E81" i="1"/>
  <c r="E90" i="1" s="1"/>
  <c r="E20" i="2" s="1"/>
  <c r="E21" i="2" s="1"/>
  <c r="E28" i="2" s="1"/>
  <c r="O81" i="1"/>
  <c r="O90" i="1" s="1"/>
  <c r="M81" i="1"/>
  <c r="M90" i="1" s="1"/>
  <c r="F37" i="1"/>
  <c r="F38" i="1" s="1"/>
  <c r="E50" i="1"/>
  <c r="E54" i="1" s="1"/>
  <c r="C23" i="1"/>
  <c r="F81" i="1"/>
  <c r="F90" i="1" s="1"/>
  <c r="F20" i="2" s="1"/>
  <c r="F21" i="2" s="1"/>
  <c r="F28" i="2" s="1"/>
  <c r="N81" i="1"/>
  <c r="N90" i="1" s="1"/>
  <c r="AR16" i="4"/>
  <c r="F85" i="1"/>
  <c r="AR15" i="4"/>
  <c r="J81" i="1"/>
  <c r="J90" i="1" s="1"/>
  <c r="L85" i="1"/>
  <c r="AS24" i="4"/>
  <c r="AR56" i="4"/>
  <c r="AR48" i="4" s="1"/>
  <c r="AQ47" i="4"/>
  <c r="P84" i="17"/>
  <c r="G85" i="17" s="1"/>
  <c r="G94" i="17" s="1"/>
  <c r="G47" i="2" s="1"/>
  <c r="P80" i="17"/>
  <c r="M81" i="17" s="1"/>
  <c r="M90" i="17" s="1"/>
  <c r="M20" i="2" s="1"/>
  <c r="M21" i="2" s="1"/>
  <c r="M28" i="2" s="1"/>
  <c r="E85" i="1" l="1"/>
  <c r="O85" i="1"/>
  <c r="M85" i="1"/>
  <c r="K85" i="1"/>
  <c r="H85" i="1"/>
  <c r="D85" i="1"/>
  <c r="P85" i="1" s="1"/>
  <c r="AR47" i="4"/>
  <c r="F29" i="2"/>
  <c r="F66" i="2" s="1"/>
  <c r="E64" i="1"/>
  <c r="E67" i="1" s="1"/>
  <c r="P93" i="1"/>
  <c r="AS16" i="4"/>
  <c r="P81" i="1"/>
  <c r="D90" i="1"/>
  <c r="E29" i="2"/>
  <c r="E66" i="2" s="1"/>
  <c r="AS15" i="4"/>
  <c r="AT24" i="4"/>
  <c r="AS56" i="4"/>
  <c r="AS48" i="4" s="1"/>
  <c r="H81" i="17"/>
  <c r="H90" i="17" s="1"/>
  <c r="H20" i="2" s="1"/>
  <c r="H21" i="2" s="1"/>
  <c r="H28" i="2" s="1"/>
  <c r="H29" i="2" s="1"/>
  <c r="H66" i="2" s="1"/>
  <c r="G81" i="17"/>
  <c r="G90" i="17" s="1"/>
  <c r="G20" i="2" s="1"/>
  <c r="G48" i="2"/>
  <c r="M29" i="2"/>
  <c r="M66" i="2" s="1"/>
  <c r="K85" i="17"/>
  <c r="K94" i="17" s="1"/>
  <c r="K47" i="2" s="1"/>
  <c r="K48" i="2" s="1"/>
  <c r="K55" i="2" s="1"/>
  <c r="I85" i="17"/>
  <c r="I94" i="17" s="1"/>
  <c r="I47" i="2" s="1"/>
  <c r="I48" i="2" s="1"/>
  <c r="I55" i="2" s="1"/>
  <c r="L85" i="17"/>
  <c r="L94" i="17" s="1"/>
  <c r="L47" i="2" s="1"/>
  <c r="L48" i="2" s="1"/>
  <c r="L55" i="2" s="1"/>
  <c r="E85" i="17"/>
  <c r="E94" i="17" s="1"/>
  <c r="O85" i="17"/>
  <c r="O94" i="17" s="1"/>
  <c r="O47" i="2" s="1"/>
  <c r="I81" i="17"/>
  <c r="I90" i="17" s="1"/>
  <c r="I20" i="2" s="1"/>
  <c r="I21" i="2" s="1"/>
  <c r="I28" i="2" s="1"/>
  <c r="N85" i="17"/>
  <c r="N94" i="17" s="1"/>
  <c r="N47" i="2" s="1"/>
  <c r="N48" i="2" s="1"/>
  <c r="N55" i="2" s="1"/>
  <c r="H85" i="17"/>
  <c r="H94" i="17" s="1"/>
  <c r="H47" i="2" s="1"/>
  <c r="H48" i="2" s="1"/>
  <c r="H55" i="2" s="1"/>
  <c r="M85" i="17"/>
  <c r="M94" i="17" s="1"/>
  <c r="M47" i="2" s="1"/>
  <c r="M48" i="2" s="1"/>
  <c r="M55" i="2" s="1"/>
  <c r="K81" i="17"/>
  <c r="K90" i="17" s="1"/>
  <c r="K20" i="2" s="1"/>
  <c r="K21" i="2" s="1"/>
  <c r="K28" i="2" s="1"/>
  <c r="O81" i="17"/>
  <c r="O90" i="17" s="1"/>
  <c r="O20" i="2" s="1"/>
  <c r="E81" i="17"/>
  <c r="E90" i="17" s="1"/>
  <c r="D81" i="17"/>
  <c r="F81" i="17"/>
  <c r="F90" i="17" s="1"/>
  <c r="N81" i="17"/>
  <c r="N90" i="17" s="1"/>
  <c r="N20" i="2" s="1"/>
  <c r="N21" i="2" s="1"/>
  <c r="N28" i="2" s="1"/>
  <c r="J81" i="17"/>
  <c r="J90" i="17" s="1"/>
  <c r="J20" i="2" s="1"/>
  <c r="J21" i="2" s="1"/>
  <c r="J28" i="2" s="1"/>
  <c r="J85" i="17"/>
  <c r="J94" i="17" s="1"/>
  <c r="J47" i="2" s="1"/>
  <c r="J48" i="2" s="1"/>
  <c r="J55" i="2" s="1"/>
  <c r="L81" i="17"/>
  <c r="L90" i="17" s="1"/>
  <c r="L20" i="2" s="1"/>
  <c r="L21" i="2" s="1"/>
  <c r="L28" i="2" s="1"/>
  <c r="D85" i="17"/>
  <c r="F85" i="17"/>
  <c r="F94" i="17" s="1"/>
  <c r="C22" i="19" l="1"/>
  <c r="G21" i="2"/>
  <c r="C9" i="19" s="1"/>
  <c r="C7" i="19"/>
  <c r="O55" i="2"/>
  <c r="O56" i="2" s="1"/>
  <c r="C26" i="19"/>
  <c r="C27" i="19" s="1"/>
  <c r="O28" i="2"/>
  <c r="O29" i="2" s="1"/>
  <c r="O66" i="2" s="1"/>
  <c r="C13" i="19"/>
  <c r="C14" i="19" s="1"/>
  <c r="C20" i="19"/>
  <c r="C21" i="19" s="1"/>
  <c r="C23" i="19" s="1"/>
  <c r="C29" i="19" s="1"/>
  <c r="F26" i="4"/>
  <c r="F29" i="4" s="1"/>
  <c r="E26" i="4"/>
  <c r="E29" i="4" s="1"/>
  <c r="H94" i="1"/>
  <c r="D94" i="1"/>
  <c r="G94" i="1"/>
  <c r="I94" i="1"/>
  <c r="J94" i="1"/>
  <c r="K94" i="1"/>
  <c r="L94" i="1"/>
  <c r="O94" i="1"/>
  <c r="E94" i="1"/>
  <c r="E47" i="2" s="1"/>
  <c r="E48" i="2" s="1"/>
  <c r="E55" i="2" s="1"/>
  <c r="M94" i="1"/>
  <c r="F94" i="1"/>
  <c r="F47" i="2" s="1"/>
  <c r="F48" i="2" s="1"/>
  <c r="F55" i="2" s="1"/>
  <c r="N94" i="1"/>
  <c r="D20" i="2"/>
  <c r="D21" i="2" s="1"/>
  <c r="D28" i="2" s="1"/>
  <c r="P90" i="1"/>
  <c r="AU24" i="4"/>
  <c r="AT56" i="4"/>
  <c r="AT48" i="4" s="1"/>
  <c r="AS47" i="4"/>
  <c r="AT47" i="4" s="1"/>
  <c r="AT15" i="4"/>
  <c r="AT16" i="4"/>
  <c r="M26" i="4"/>
  <c r="P85" i="17"/>
  <c r="D94" i="17"/>
  <c r="P94" i="17" s="1"/>
  <c r="L56" i="2"/>
  <c r="L74" i="2" s="1"/>
  <c r="H26" i="4"/>
  <c r="H29" i="4" s="1"/>
  <c r="G55" i="2"/>
  <c r="I56" i="2"/>
  <c r="I74" i="2" s="1"/>
  <c r="L29" i="2"/>
  <c r="M56" i="2"/>
  <c r="M74" i="2" s="1"/>
  <c r="K56" i="2"/>
  <c r="K74" i="2" s="1"/>
  <c r="I29" i="2"/>
  <c r="I66" i="2" s="1"/>
  <c r="J56" i="2"/>
  <c r="J74" i="2" s="1"/>
  <c r="H56" i="2"/>
  <c r="H74" i="2" s="1"/>
  <c r="P81" i="17"/>
  <c r="D90" i="17"/>
  <c r="P90" i="17" s="1"/>
  <c r="K29" i="2"/>
  <c r="K66" i="2" s="1"/>
  <c r="J29" i="2"/>
  <c r="J66" i="2" s="1"/>
  <c r="N29" i="2"/>
  <c r="N66" i="2" s="1"/>
  <c r="N56" i="2"/>
  <c r="N74" i="2" s="1"/>
  <c r="G28" i="2"/>
  <c r="C16" i="19" l="1"/>
  <c r="Q21" i="2"/>
  <c r="AU15" i="4"/>
  <c r="Q20" i="2"/>
  <c r="D47" i="2"/>
  <c r="P94" i="1"/>
  <c r="E56" i="2"/>
  <c r="E74" i="2" s="1"/>
  <c r="F56" i="2"/>
  <c r="F74" i="2" s="1"/>
  <c r="AU16" i="4"/>
  <c r="D29" i="2"/>
  <c r="D31" i="2"/>
  <c r="D33" i="2" s="1"/>
  <c r="AU56" i="4"/>
  <c r="AU48" i="4" s="1"/>
  <c r="AV24" i="4"/>
  <c r="N58" i="4"/>
  <c r="J26" i="4"/>
  <c r="J29" i="4" s="1"/>
  <c r="O26" i="4"/>
  <c r="K26" i="4"/>
  <c r="I58" i="4"/>
  <c r="I61" i="4" s="1"/>
  <c r="G56" i="2"/>
  <c r="I26" i="4"/>
  <c r="I29" i="4" s="1"/>
  <c r="O74" i="2"/>
  <c r="J58" i="4"/>
  <c r="J61" i="4" s="1"/>
  <c r="L66" i="2"/>
  <c r="H58" i="4"/>
  <c r="H61" i="4" s="1"/>
  <c r="N26" i="4"/>
  <c r="K58" i="4"/>
  <c r="L58" i="4"/>
  <c r="M58" i="4"/>
  <c r="Q28" i="2"/>
  <c r="G29" i="2"/>
  <c r="D32" i="2" l="1"/>
  <c r="Q29" i="2"/>
  <c r="D66" i="2"/>
  <c r="D26" i="4" s="1"/>
  <c r="D15" i="4" s="1"/>
  <c r="E31" i="2"/>
  <c r="E33" i="2" s="1"/>
  <c r="F58" i="4"/>
  <c r="F61" i="4" s="1"/>
  <c r="E58" i="4"/>
  <c r="E61" i="4" s="1"/>
  <c r="D68" i="2"/>
  <c r="D67" i="2"/>
  <c r="D69" i="2" s="1"/>
  <c r="D48" i="2"/>
  <c r="Q47" i="2"/>
  <c r="AV56" i="4"/>
  <c r="AV48" i="4" s="1"/>
  <c r="AW24" i="4"/>
  <c r="AW56" i="4" s="1"/>
  <c r="AU47" i="4"/>
  <c r="AV15" i="4"/>
  <c r="AW15" i="4" s="1"/>
  <c r="AV16" i="4"/>
  <c r="G74" i="2"/>
  <c r="G58" i="4" s="1"/>
  <c r="L26" i="4"/>
  <c r="G66" i="2"/>
  <c r="O58" i="4"/>
  <c r="AW16" i="4" l="1"/>
  <c r="E15" i="4"/>
  <c r="E28" i="4" s="1"/>
  <c r="E30" i="4" s="1"/>
  <c r="D21" i="4"/>
  <c r="D55" i="2"/>
  <c r="Q48" i="2"/>
  <c r="F31" i="2"/>
  <c r="F33" i="2" s="1"/>
  <c r="AV47" i="4"/>
  <c r="AW47" i="4" s="1"/>
  <c r="E68" i="2"/>
  <c r="E67" i="2"/>
  <c r="E32" i="2"/>
  <c r="AW48" i="4"/>
  <c r="G26" i="4"/>
  <c r="G61" i="4"/>
  <c r="E69" i="2" l="1"/>
  <c r="G31" i="2"/>
  <c r="G33" i="2" s="1"/>
  <c r="F67" i="2"/>
  <c r="F69" i="2" s="1"/>
  <c r="F68" i="2"/>
  <c r="F32" i="2"/>
  <c r="D56" i="2"/>
  <c r="Q56" i="2" s="1"/>
  <c r="Q55" i="2"/>
  <c r="F15" i="4"/>
  <c r="F21" i="4" s="1"/>
  <c r="E21" i="4"/>
  <c r="G29" i="4"/>
  <c r="H31" i="2" l="1"/>
  <c r="H33" i="2" s="1"/>
  <c r="F28" i="4"/>
  <c r="F30" i="4" s="1"/>
  <c r="G15" i="4"/>
  <c r="G21" i="4" s="1"/>
  <c r="G32" i="2"/>
  <c r="G67" i="2"/>
  <c r="G68" i="2"/>
  <c r="D74" i="2"/>
  <c r="D58" i="2"/>
  <c r="D59" i="2" s="1"/>
  <c r="G69" i="2" l="1"/>
  <c r="G28" i="4"/>
  <c r="G30" i="4" s="1"/>
  <c r="H15" i="4"/>
  <c r="H28" i="4" s="1"/>
  <c r="H30" i="4" s="1"/>
  <c r="I31" i="2"/>
  <c r="I67" i="2" s="1"/>
  <c r="D60" i="2"/>
  <c r="D76" i="2"/>
  <c r="D75" i="2"/>
  <c r="D77" i="2" s="1"/>
  <c r="D58" i="4"/>
  <c r="D47" i="4" s="1"/>
  <c r="H68" i="2"/>
  <c r="H32" i="2"/>
  <c r="H67" i="2"/>
  <c r="I15" i="4" l="1"/>
  <c r="I28" i="4" s="1"/>
  <c r="I30" i="4" s="1"/>
  <c r="H21" i="4"/>
  <c r="I68" i="2"/>
  <c r="I69" i="2" s="1"/>
  <c r="E47" i="4"/>
  <c r="D53" i="4"/>
  <c r="E60" i="4"/>
  <c r="E62" i="4" s="1"/>
  <c r="I32" i="2"/>
  <c r="I33" i="2"/>
  <c r="E58" i="2"/>
  <c r="E60" i="2" s="1"/>
  <c r="D62" i="2"/>
  <c r="H69" i="2"/>
  <c r="I21" i="4"/>
  <c r="J15" i="4"/>
  <c r="J28" i="4" s="1"/>
  <c r="J30" i="4" s="1"/>
  <c r="E75" i="2" l="1"/>
  <c r="E76" i="2"/>
  <c r="E59" i="2"/>
  <c r="J31" i="2"/>
  <c r="J68" i="2" s="1"/>
  <c r="F58" i="2"/>
  <c r="F60" i="2" s="1"/>
  <c r="E62" i="2"/>
  <c r="F47" i="4"/>
  <c r="F60" i="4" s="1"/>
  <c r="F62" i="4" s="1"/>
  <c r="E53" i="4"/>
  <c r="J21" i="4"/>
  <c r="K15" i="4"/>
  <c r="E77" i="2" l="1"/>
  <c r="G58" i="2"/>
  <c r="F62" i="2"/>
  <c r="J67" i="2"/>
  <c r="J69" i="2" s="1"/>
  <c r="F75" i="2"/>
  <c r="F76" i="2"/>
  <c r="F59" i="2"/>
  <c r="J32" i="2"/>
  <c r="J33" i="2"/>
  <c r="K31" i="2" s="1"/>
  <c r="F53" i="4"/>
  <c r="G47" i="4"/>
  <c r="L15" i="4"/>
  <c r="K68" i="2" l="1"/>
  <c r="K67" i="2"/>
  <c r="K69" i="2" s="1"/>
  <c r="F77" i="2"/>
  <c r="K33" i="2"/>
  <c r="L31" i="2" s="1"/>
  <c r="G60" i="2"/>
  <c r="G76" i="2"/>
  <c r="G59" i="2"/>
  <c r="G75" i="2"/>
  <c r="G77" i="2" s="1"/>
  <c r="H47" i="4"/>
  <c r="G53" i="4"/>
  <c r="K32" i="2"/>
  <c r="G60" i="4"/>
  <c r="G62" i="4" s="1"/>
  <c r="M15" i="4"/>
  <c r="H58" i="2" l="1"/>
  <c r="G62" i="2"/>
  <c r="H60" i="4"/>
  <c r="H62" i="4" s="1"/>
  <c r="I47" i="4"/>
  <c r="I60" i="4" s="1"/>
  <c r="I62" i="4" s="1"/>
  <c r="H53" i="4"/>
  <c r="L67" i="2"/>
  <c r="L68" i="2"/>
  <c r="L32" i="2"/>
  <c r="N15" i="4"/>
  <c r="L33" i="2"/>
  <c r="I53" i="4" l="1"/>
  <c r="J47" i="4"/>
  <c r="H60" i="2"/>
  <c r="H75" i="2"/>
  <c r="H76" i="2"/>
  <c r="H59" i="2"/>
  <c r="M31" i="2"/>
  <c r="M33" i="2" s="1"/>
  <c r="L69" i="2"/>
  <c r="N21" i="4"/>
  <c r="O15" i="4"/>
  <c r="H77" i="2" l="1"/>
  <c r="I58" i="2"/>
  <c r="I60" i="2" s="1"/>
  <c r="H62" i="2"/>
  <c r="J60" i="4"/>
  <c r="J62" i="4" s="1"/>
  <c r="K47" i="4"/>
  <c r="L47" i="4" s="1"/>
  <c r="M47" i="4" s="1"/>
  <c r="N47" i="4" s="1"/>
  <c r="J53" i="4"/>
  <c r="N31" i="2"/>
  <c r="N33" i="2" s="1"/>
  <c r="M68" i="2"/>
  <c r="M67" i="2"/>
  <c r="M32" i="2"/>
  <c r="P16" i="4"/>
  <c r="J58" i="2" l="1"/>
  <c r="I62" i="2"/>
  <c r="O47" i="4"/>
  <c r="P48" i="4" s="1"/>
  <c r="Q48" i="4" s="1"/>
  <c r="R48" i="4" s="1"/>
  <c r="N53" i="4"/>
  <c r="I76" i="2"/>
  <c r="I75" i="2"/>
  <c r="I59" i="2"/>
  <c r="O31" i="2"/>
  <c r="O33" i="2" s="1"/>
  <c r="M69" i="2"/>
  <c r="N68" i="2"/>
  <c r="N67" i="2"/>
  <c r="N32" i="2"/>
  <c r="Q16" i="4"/>
  <c r="I77" i="2" l="1"/>
  <c r="J60" i="2"/>
  <c r="J76" i="2"/>
  <c r="J75" i="2"/>
  <c r="J77" i="2" s="1"/>
  <c r="J59" i="2"/>
  <c r="N69" i="2"/>
  <c r="R16" i="4"/>
  <c r="S48" i="4"/>
  <c r="O67" i="2"/>
  <c r="O68" i="2"/>
  <c r="O32" i="2"/>
  <c r="Q32" i="2" s="1"/>
  <c r="Q31" i="2"/>
  <c r="K58" i="2" l="1"/>
  <c r="J62" i="2"/>
  <c r="O69" i="2"/>
  <c r="T48" i="4"/>
  <c r="U48" i="4" s="1"/>
  <c r="S16" i="4"/>
  <c r="K76" i="2" l="1"/>
  <c r="K75" i="2"/>
  <c r="K60" i="2"/>
  <c r="K59" i="2"/>
  <c r="V48" i="4"/>
  <c r="T16" i="4"/>
  <c r="U16" i="4" s="1"/>
  <c r="W37" i="4" l="1"/>
  <c r="K77" i="2"/>
  <c r="L58" i="2"/>
  <c r="L60" i="2" s="1"/>
  <c r="K62" i="2"/>
  <c r="V16" i="4"/>
  <c r="W5" i="4" s="1"/>
  <c r="M58" i="2" l="1"/>
  <c r="L62" i="2"/>
  <c r="L76" i="2"/>
  <c r="L75" i="2"/>
  <c r="L59" i="2"/>
  <c r="W38" i="4"/>
  <c r="W40" i="4" s="1"/>
  <c r="W36" i="4" s="1"/>
  <c r="L77" i="2" l="1"/>
  <c r="M60" i="2"/>
  <c r="M76" i="2"/>
  <c r="M59" i="2"/>
  <c r="M75" i="2"/>
  <c r="X38" i="4"/>
  <c r="X36" i="4"/>
  <c r="W59" i="4"/>
  <c r="W6" i="4"/>
  <c r="W8" i="4" s="1"/>
  <c r="W4" i="4" s="1"/>
  <c r="AR41" i="4"/>
  <c r="AQ41" i="4"/>
  <c r="AL41" i="4"/>
  <c r="AN41" i="4"/>
  <c r="AJ41" i="4"/>
  <c r="AP41" i="4"/>
  <c r="AI41" i="4"/>
  <c r="O43" i="4" s="1"/>
  <c r="O44" i="4" s="1"/>
  <c r="AO41" i="4"/>
  <c r="AM41" i="4"/>
  <c r="AK41" i="4"/>
  <c r="AT41" i="4"/>
  <c r="AS41" i="4"/>
  <c r="W50" i="4" l="1"/>
  <c r="W49" i="4"/>
  <c r="P43" i="4"/>
  <c r="P44" i="4" s="1"/>
  <c r="M77" i="2"/>
  <c r="N58" i="2"/>
  <c r="N60" i="2" s="1"/>
  <c r="M62" i="2"/>
  <c r="X4" i="4"/>
  <c r="W27" i="4"/>
  <c r="X6" i="4"/>
  <c r="C51" i="4"/>
  <c r="U43" i="4"/>
  <c r="U44" i="4" s="1"/>
  <c r="U52" i="4" s="1"/>
  <c r="M52" i="4"/>
  <c r="K52" i="4"/>
  <c r="L52" i="4"/>
  <c r="V43" i="4"/>
  <c r="V44" i="4" s="1"/>
  <c r="V52" i="4" s="1"/>
  <c r="AM9" i="4"/>
  <c r="AI9" i="4"/>
  <c r="AS9" i="4"/>
  <c r="AT9" i="4"/>
  <c r="AK9" i="4"/>
  <c r="AR9" i="4"/>
  <c r="AJ9" i="4"/>
  <c r="AL9" i="4"/>
  <c r="AO9" i="4"/>
  <c r="AQ9" i="4"/>
  <c r="AP9" i="4"/>
  <c r="AN9" i="4"/>
  <c r="Y36" i="4"/>
  <c r="X59" i="4"/>
  <c r="E93" i="2"/>
  <c r="D94" i="2"/>
  <c r="D83" i="2" s="1"/>
  <c r="W17" i="4" l="1"/>
  <c r="W18" i="4"/>
  <c r="O11" i="4"/>
  <c r="O12" i="4" s="1"/>
  <c r="P11" i="4"/>
  <c r="P12" i="4" s="1"/>
  <c r="O58" i="2"/>
  <c r="O60" i="2" s="1"/>
  <c r="O62" i="2" s="1"/>
  <c r="N62" i="2"/>
  <c r="N75" i="2"/>
  <c r="N76" i="2"/>
  <c r="N59" i="2"/>
  <c r="U53" i="4"/>
  <c r="V63" i="4"/>
  <c r="V61" i="4" s="1"/>
  <c r="V53" i="4"/>
  <c r="X49" i="4"/>
  <c r="D63" i="4"/>
  <c r="D61" i="4" s="1"/>
  <c r="C53" i="4"/>
  <c r="L63" i="4"/>
  <c r="L61" i="4" s="1"/>
  <c r="L53" i="4"/>
  <c r="Y59" i="4"/>
  <c r="Z36" i="4"/>
  <c r="K20" i="4"/>
  <c r="K21" i="4" s="1"/>
  <c r="U11" i="4"/>
  <c r="U12" i="4" s="1"/>
  <c r="U20" i="4" s="1"/>
  <c r="L20" i="4"/>
  <c r="L21" i="4" s="1"/>
  <c r="V11" i="4"/>
  <c r="V12" i="4" s="1"/>
  <c r="V20" i="4" s="1"/>
  <c r="C19" i="4"/>
  <c r="M21" i="4"/>
  <c r="X50" i="4"/>
  <c r="K63" i="4"/>
  <c r="K61" i="4" s="1"/>
  <c r="K53" i="4"/>
  <c r="N63" i="4"/>
  <c r="N61" i="4" s="1"/>
  <c r="M63" i="4"/>
  <c r="M61" i="4" s="1"/>
  <c r="M53" i="4"/>
  <c r="X27" i="4"/>
  <c r="Y4" i="4"/>
  <c r="Y49" i="4" l="1"/>
  <c r="Q58" i="2"/>
  <c r="N77" i="2"/>
  <c r="O59" i="2"/>
  <c r="Q59" i="2" s="1"/>
  <c r="O75" i="2"/>
  <c r="O76" i="2"/>
  <c r="X18" i="4"/>
  <c r="V60" i="4"/>
  <c r="V62" i="4" s="1"/>
  <c r="X17" i="4"/>
  <c r="V31" i="4"/>
  <c r="V29" i="4" s="1"/>
  <c r="V21" i="4"/>
  <c r="U21" i="4"/>
  <c r="D60" i="4"/>
  <c r="D62" i="4" s="1"/>
  <c r="L60" i="4"/>
  <c r="L62" i="4" s="1"/>
  <c r="AA36" i="4"/>
  <c r="Z59" i="4"/>
  <c r="M31" i="4"/>
  <c r="M88" i="2"/>
  <c r="N31" i="4"/>
  <c r="M60" i="4"/>
  <c r="M62" i="4" s="1"/>
  <c r="C21" i="4"/>
  <c r="D89" i="2"/>
  <c r="D90" i="2" s="1"/>
  <c r="D84" i="2" s="1"/>
  <c r="D82" i="2" s="1"/>
  <c r="D85" i="2" s="1"/>
  <c r="D31" i="4"/>
  <c r="D29" i="4" s="1"/>
  <c r="Y50" i="4"/>
  <c r="Y27" i="4"/>
  <c r="Z4" i="4"/>
  <c r="K60" i="4"/>
  <c r="K62" i="4" s="1"/>
  <c r="L88" i="2"/>
  <c r="M89" i="2" s="1"/>
  <c r="L31" i="4"/>
  <c r="N60" i="4"/>
  <c r="N62" i="4" s="1"/>
  <c r="K31" i="4"/>
  <c r="K88" i="2"/>
  <c r="V28" i="4" l="1"/>
  <c r="V30" i="4" s="1"/>
  <c r="O77" i="2"/>
  <c r="Y18" i="4"/>
  <c r="Z49" i="4"/>
  <c r="Y17" i="4"/>
  <c r="D28" i="4"/>
  <c r="D30" i="4" s="1"/>
  <c r="Z50" i="4"/>
  <c r="N29" i="4"/>
  <c r="N28" i="4"/>
  <c r="N30" i="4" s="1"/>
  <c r="N89" i="2"/>
  <c r="N90" i="2" s="1"/>
  <c r="N84" i="2" s="1"/>
  <c r="M90" i="2"/>
  <c r="M84" i="2" s="1"/>
  <c r="L29" i="4"/>
  <c r="L28" i="4"/>
  <c r="L30" i="4" s="1"/>
  <c r="M29" i="4"/>
  <c r="M28" i="4"/>
  <c r="M30" i="4" s="1"/>
  <c r="L89" i="2"/>
  <c r="L90" i="2" s="1"/>
  <c r="L84" i="2" s="1"/>
  <c r="K90" i="2"/>
  <c r="K84" i="2" s="1"/>
  <c r="Z27" i="4"/>
  <c r="AA4" i="4"/>
  <c r="K29" i="4"/>
  <c r="K28" i="4"/>
  <c r="K30" i="4" s="1"/>
  <c r="AA59" i="4"/>
  <c r="AB36" i="4"/>
  <c r="Z18" i="4" l="1"/>
  <c r="AA49" i="4"/>
  <c r="Z17" i="4"/>
  <c r="AB4" i="4"/>
  <c r="AA27" i="4"/>
  <c r="AB59" i="4"/>
  <c r="AC36" i="4"/>
  <c r="AA50" i="4"/>
  <c r="Z53" i="4"/>
  <c r="AA18" i="4" l="1"/>
  <c r="AB49" i="4"/>
  <c r="AA17" i="4"/>
  <c r="AB50" i="4"/>
  <c r="AC59" i="4"/>
  <c r="AC61" i="4" s="1"/>
  <c r="AD36" i="4"/>
  <c r="AC4" i="4"/>
  <c r="AB27" i="4"/>
  <c r="AB18" i="4" l="1"/>
  <c r="AC49" i="4"/>
  <c r="AB17" i="4"/>
  <c r="AC27" i="4"/>
  <c r="AD4" i="4"/>
  <c r="AE36" i="4"/>
  <c r="AD59" i="4"/>
  <c r="AD61" i="4" s="1"/>
  <c r="AC50" i="4"/>
  <c r="AB53" i="4"/>
  <c r="AC18" i="4" l="1"/>
  <c r="AB21" i="4"/>
  <c r="AC60" i="4"/>
  <c r="AC62" i="4" s="1"/>
  <c r="AD49" i="4"/>
  <c r="AC17" i="4"/>
  <c r="AE59" i="4"/>
  <c r="AE61" i="4" s="1"/>
  <c r="AF36" i="4"/>
  <c r="AD50" i="4"/>
  <c r="AC53" i="4"/>
  <c r="AD27" i="4"/>
  <c r="AE4" i="4"/>
  <c r="AC29" i="4"/>
  <c r="AC21" i="4" l="1"/>
  <c r="AD18" i="4"/>
  <c r="AC28" i="4"/>
  <c r="AC30" i="4" s="1"/>
  <c r="AD60" i="4"/>
  <c r="AD62" i="4" s="1"/>
  <c r="AE49" i="4"/>
  <c r="AD17" i="4"/>
  <c r="AF59" i="4"/>
  <c r="AF61" i="4" s="1"/>
  <c r="AG36" i="4"/>
  <c r="AE50" i="4"/>
  <c r="AD53" i="4"/>
  <c r="AE27" i="4"/>
  <c r="AF4" i="4"/>
  <c r="AD29" i="4"/>
  <c r="AD21" i="4" l="1"/>
  <c r="AE18" i="4"/>
  <c r="AE60" i="4"/>
  <c r="AE62" i="4" s="1"/>
  <c r="AD28" i="4"/>
  <c r="AD30" i="4" s="1"/>
  <c r="AF49" i="4"/>
  <c r="AE17" i="4"/>
  <c r="AF50" i="4"/>
  <c r="AE53" i="4"/>
  <c r="AF27" i="4"/>
  <c r="AG4" i="4"/>
  <c r="AG59" i="4"/>
  <c r="AG61" i="4" s="1"/>
  <c r="AH36" i="4"/>
  <c r="AE29" i="4"/>
  <c r="AF18" i="4" l="1"/>
  <c r="AF60" i="4"/>
  <c r="AF62" i="4" s="1"/>
  <c r="AG49" i="4"/>
  <c r="AF17" i="4"/>
  <c r="AE28" i="4"/>
  <c r="AE30" i="4" s="1"/>
  <c r="AE21" i="4"/>
  <c r="AG50" i="4"/>
  <c r="AF53" i="4"/>
  <c r="AH59" i="4"/>
  <c r="AH61" i="4" s="1"/>
  <c r="AJ39" i="4"/>
  <c r="AI42" i="4" s="1"/>
  <c r="AG27" i="4"/>
  <c r="AH4" i="4"/>
  <c r="AF29" i="4"/>
  <c r="AF21" i="4" l="1"/>
  <c r="AG18" i="4"/>
  <c r="AF28" i="4"/>
  <c r="AF30" i="4" s="1"/>
  <c r="AH49" i="4"/>
  <c r="AG60" i="4"/>
  <c r="AG62" i="4" s="1"/>
  <c r="AG17" i="4"/>
  <c r="AH27" i="4"/>
  <c r="AJ7" i="4"/>
  <c r="AI10" i="4" s="1"/>
  <c r="AJ42" i="4"/>
  <c r="AK42" i="4" s="1"/>
  <c r="AL42" i="4" s="1"/>
  <c r="AM42" i="4" s="1"/>
  <c r="AN42" i="4" s="1"/>
  <c r="AO42" i="4" s="1"/>
  <c r="AP42" i="4" s="1"/>
  <c r="AQ42" i="4" s="1"/>
  <c r="AR42" i="4" s="1"/>
  <c r="AS42" i="4" s="1"/>
  <c r="AT42" i="4" s="1"/>
  <c r="AG29" i="4"/>
  <c r="AH50" i="4"/>
  <c r="AG53" i="4"/>
  <c r="AG28" i="4" l="1"/>
  <c r="AG30" i="4" s="1"/>
  <c r="AH18" i="4"/>
  <c r="AI37" i="4"/>
  <c r="R43" i="4"/>
  <c r="R44" i="4" s="1"/>
  <c r="R52" i="4" s="1"/>
  <c r="R53" i="4" s="1"/>
  <c r="AG21" i="4"/>
  <c r="AH60" i="4"/>
  <c r="AH62" i="4" s="1"/>
  <c r="T43" i="4"/>
  <c r="T44" i="4" s="1"/>
  <c r="T52" i="4" s="1"/>
  <c r="U63" i="4" s="1"/>
  <c r="U61" i="4" s="1"/>
  <c r="Q43" i="4"/>
  <c r="Q52" i="4" s="1"/>
  <c r="P52" i="4"/>
  <c r="P53" i="4" s="1"/>
  <c r="AH17" i="4"/>
  <c r="S43" i="4"/>
  <c r="S44" i="4" s="1"/>
  <c r="S52" i="4" s="1"/>
  <c r="AJ10" i="4"/>
  <c r="AK10" i="4" s="1"/>
  <c r="AL10" i="4" s="1"/>
  <c r="AM10" i="4" s="1"/>
  <c r="AN10" i="4" s="1"/>
  <c r="AO10" i="4" s="1"/>
  <c r="AP10" i="4" s="1"/>
  <c r="AQ10" i="4" s="1"/>
  <c r="AR10" i="4" s="1"/>
  <c r="AS10" i="4" s="1"/>
  <c r="AT10" i="4" s="1"/>
  <c r="AH53" i="4"/>
  <c r="O51" i="4"/>
  <c r="AH29" i="4"/>
  <c r="AI5" i="4" l="1"/>
  <c r="AI6" i="4" s="1"/>
  <c r="AI8" i="4" s="1"/>
  <c r="AI4" i="4" s="1"/>
  <c r="AI27" i="4" s="1"/>
  <c r="AH28" i="4"/>
  <c r="AH30" i="4" s="1"/>
  <c r="R63" i="4"/>
  <c r="R61" i="4" s="1"/>
  <c r="AH21" i="4"/>
  <c r="T63" i="4"/>
  <c r="T61" i="4" s="1"/>
  <c r="T53" i="4"/>
  <c r="Q53" i="4"/>
  <c r="Q63" i="4"/>
  <c r="Q61" i="4" s="1"/>
  <c r="P63" i="4"/>
  <c r="P61" i="4" s="1"/>
  <c r="S11" i="4"/>
  <c r="S12" i="4" s="1"/>
  <c r="S20" i="4" s="1"/>
  <c r="S21" i="4" s="1"/>
  <c r="T11" i="4"/>
  <c r="T12" i="4" s="1"/>
  <c r="T20" i="4" s="1"/>
  <c r="T21" i="4" s="1"/>
  <c r="Q11" i="4"/>
  <c r="Q12" i="4" s="1"/>
  <c r="Q20" i="4" s="1"/>
  <c r="Q21" i="4" s="1"/>
  <c r="P20" i="4"/>
  <c r="P21" i="4" s="1"/>
  <c r="O19" i="4"/>
  <c r="O21" i="4" s="1"/>
  <c r="R11" i="4"/>
  <c r="R12" i="4" s="1"/>
  <c r="R20" i="4" s="1"/>
  <c r="U60" i="4"/>
  <c r="U62" i="4" s="1"/>
  <c r="S53" i="4"/>
  <c r="S63" i="4"/>
  <c r="S61" i="4" s="1"/>
  <c r="AI38" i="4"/>
  <c r="AI40" i="4" s="1"/>
  <c r="AI36" i="4" s="1"/>
  <c r="O63" i="4"/>
  <c r="O61" i="4" s="1"/>
  <c r="O53" i="4"/>
  <c r="R60" i="4" l="1"/>
  <c r="R62" i="4" s="1"/>
  <c r="P60" i="4"/>
  <c r="P62" i="4" s="1"/>
  <c r="T60" i="4"/>
  <c r="T62" i="4" s="1"/>
  <c r="AU9" i="4"/>
  <c r="AJ6" i="4"/>
  <c r="AJ4" i="4"/>
  <c r="AK4" i="4" s="1"/>
  <c r="AW9" i="4"/>
  <c r="AV9" i="4"/>
  <c r="X20" i="4" s="1"/>
  <c r="Q60" i="4"/>
  <c r="Q62" i="4" s="1"/>
  <c r="O60" i="4"/>
  <c r="O62" i="4" s="1"/>
  <c r="AI17" i="4"/>
  <c r="AI18" i="4"/>
  <c r="T31" i="4"/>
  <c r="T29" i="4" s="1"/>
  <c r="U31" i="4"/>
  <c r="U28" i="4" s="1"/>
  <c r="U30" i="4" s="1"/>
  <c r="G93" i="2"/>
  <c r="I93" i="2"/>
  <c r="Q31" i="4"/>
  <c r="Q29" i="4" s="1"/>
  <c r="N93" i="2"/>
  <c r="O31" i="4"/>
  <c r="O29" i="4" s="1"/>
  <c r="H93" i="2"/>
  <c r="L93" i="2"/>
  <c r="F93" i="2"/>
  <c r="M93" i="2"/>
  <c r="O92" i="2"/>
  <c r="P31" i="4"/>
  <c r="P29" i="4" s="1"/>
  <c r="J93" i="2"/>
  <c r="O93" i="2"/>
  <c r="K93" i="2"/>
  <c r="R31" i="4"/>
  <c r="R21" i="4"/>
  <c r="S31" i="4"/>
  <c r="AI59" i="4"/>
  <c r="AI50" i="4" s="1"/>
  <c r="AJ36" i="4"/>
  <c r="AJ38" i="4"/>
  <c r="AV41" i="4"/>
  <c r="AU41" i="4"/>
  <c r="AI29" i="4"/>
  <c r="S60" i="4"/>
  <c r="S62" i="4" s="1"/>
  <c r="W20" i="4" l="1"/>
  <c r="W31" i="4" s="1"/>
  <c r="W29" i="4" s="1"/>
  <c r="AF11" i="4"/>
  <c r="AE11" i="4"/>
  <c r="AC11" i="4"/>
  <c r="AA11" i="4"/>
  <c r="AD11" i="4"/>
  <c r="AB11" i="4"/>
  <c r="AG11" i="4"/>
  <c r="AH11" i="4"/>
  <c r="AA20" i="4"/>
  <c r="AB31" i="4" s="1"/>
  <c r="AB29" i="4" s="1"/>
  <c r="W21" i="4"/>
  <c r="AJ27" i="4"/>
  <c r="AJ29" i="4" s="1"/>
  <c r="Y20" i="4"/>
  <c r="Y31" i="4" s="1"/>
  <c r="Y29" i="4" s="1"/>
  <c r="Z20" i="4"/>
  <c r="AI21" i="4"/>
  <c r="X31" i="4"/>
  <c r="X29" i="4" s="1"/>
  <c r="X21" i="4"/>
  <c r="AI28" i="4"/>
  <c r="AI30" i="4" s="1"/>
  <c r="T28" i="4"/>
  <c r="T30" i="4" s="1"/>
  <c r="U29" i="4"/>
  <c r="O94" i="2"/>
  <c r="O83" i="2" s="1"/>
  <c r="O82" i="2" s="1"/>
  <c r="O85" i="2" s="1"/>
  <c r="H94" i="2"/>
  <c r="H83" i="2" s="1"/>
  <c r="H82" i="2" s="1"/>
  <c r="H85" i="2" s="1"/>
  <c r="Q28" i="4"/>
  <c r="Q30" i="4" s="1"/>
  <c r="O28" i="4"/>
  <c r="O30" i="4" s="1"/>
  <c r="L94" i="2"/>
  <c r="L83" i="2" s="1"/>
  <c r="L82" i="2" s="1"/>
  <c r="L85" i="2" s="1"/>
  <c r="M94" i="2"/>
  <c r="M83" i="2" s="1"/>
  <c r="M82" i="2" s="1"/>
  <c r="M85" i="2" s="1"/>
  <c r="F94" i="2"/>
  <c r="F83" i="2" s="1"/>
  <c r="F82" i="2" s="1"/>
  <c r="F85" i="2" s="1"/>
  <c r="I94" i="2"/>
  <c r="I83" i="2" s="1"/>
  <c r="I82" i="2" s="1"/>
  <c r="I85" i="2" s="1"/>
  <c r="G94" i="2"/>
  <c r="G83" i="2" s="1"/>
  <c r="G82" i="2" s="1"/>
  <c r="G85" i="2" s="1"/>
  <c r="K94" i="2"/>
  <c r="K83" i="2" s="1"/>
  <c r="K82" i="2" s="1"/>
  <c r="K85" i="2" s="1"/>
  <c r="E94" i="2"/>
  <c r="E83" i="2" s="1"/>
  <c r="E82" i="2" s="1"/>
  <c r="E85" i="2" s="1"/>
  <c r="P28" i="4"/>
  <c r="P30" i="4" s="1"/>
  <c r="J94" i="2"/>
  <c r="J83" i="2" s="1"/>
  <c r="J82" i="2" s="1"/>
  <c r="J85" i="2" s="1"/>
  <c r="N94" i="2"/>
  <c r="N83" i="2" s="1"/>
  <c r="N82" i="2" s="1"/>
  <c r="N85" i="2" s="1"/>
  <c r="S28" i="4"/>
  <c r="S30" i="4" s="1"/>
  <c r="S29" i="4"/>
  <c r="R29" i="4"/>
  <c r="R28" i="4"/>
  <c r="R30" i="4" s="1"/>
  <c r="W43" i="4"/>
  <c r="W44" i="4" s="1"/>
  <c r="W52" i="4" s="1"/>
  <c r="Y43" i="4"/>
  <c r="Y44" i="4" s="1"/>
  <c r="Y52" i="4" s="1"/>
  <c r="X43" i="4"/>
  <c r="X44" i="4" s="1"/>
  <c r="X52" i="4" s="1"/>
  <c r="Z43" i="4"/>
  <c r="Z44" i="4" s="1"/>
  <c r="AA43" i="4"/>
  <c r="AA44" i="4" s="1"/>
  <c r="AA51" i="4" s="1"/>
  <c r="AJ59" i="4"/>
  <c r="AJ61" i="4" s="1"/>
  <c r="AK36" i="4"/>
  <c r="AL4" i="4"/>
  <c r="AK27" i="4"/>
  <c r="AI61" i="4"/>
  <c r="AI49" i="4"/>
  <c r="AJ18" i="4" l="1"/>
  <c r="AK18" i="4" s="1"/>
  <c r="W28" i="4"/>
  <c r="W30" i="4" s="1"/>
  <c r="AJ17" i="4"/>
  <c r="AK17" i="4" s="1"/>
  <c r="AA63" i="4"/>
  <c r="AA61" i="4" s="1"/>
  <c r="AB63" i="4"/>
  <c r="AB61" i="4" s="1"/>
  <c r="AA53" i="4"/>
  <c r="Y21" i="4"/>
  <c r="AA21" i="4"/>
  <c r="AA31" i="4"/>
  <c r="AA29" i="4" s="1"/>
  <c r="Z21" i="4"/>
  <c r="X28" i="4"/>
  <c r="X30" i="4" s="1"/>
  <c r="Z31" i="4"/>
  <c r="X63" i="4"/>
  <c r="X61" i="4" s="1"/>
  <c r="X53" i="4"/>
  <c r="Z63" i="4"/>
  <c r="Z61" i="4" s="1"/>
  <c r="Y63" i="4"/>
  <c r="Y61" i="4" s="1"/>
  <c r="Y53" i="4"/>
  <c r="W63" i="4"/>
  <c r="W61" i="4" s="1"/>
  <c r="W53" i="4"/>
  <c r="Y28" i="4"/>
  <c r="Y30" i="4" s="1"/>
  <c r="AB28" i="4"/>
  <c r="AB30" i="4" s="1"/>
  <c r="AJ50" i="4"/>
  <c r="AK29" i="4"/>
  <c r="AL27" i="4"/>
  <c r="AM4" i="4"/>
  <c r="AL36" i="4"/>
  <c r="AK59" i="4"/>
  <c r="AK61" i="4" s="1"/>
  <c r="AJ49" i="4"/>
  <c r="AI53" i="4"/>
  <c r="AI60" i="4"/>
  <c r="AI62" i="4" s="1"/>
  <c r="AJ28" i="4" l="1"/>
  <c r="AJ30" i="4" s="1"/>
  <c r="AA60" i="4"/>
  <c r="AA62" i="4" s="1"/>
  <c r="AJ21" i="4"/>
  <c r="AB60" i="4"/>
  <c r="AB62" i="4" s="1"/>
  <c r="AL17" i="4"/>
  <c r="AK21" i="4"/>
  <c r="AA28" i="4"/>
  <c r="AA30" i="4" s="1"/>
  <c r="X60" i="4"/>
  <c r="X62" i="4" s="1"/>
  <c r="Z60" i="4"/>
  <c r="Z62" i="4" s="1"/>
  <c r="Z29" i="4"/>
  <c r="Z28" i="4"/>
  <c r="Z30" i="4" s="1"/>
  <c r="Y60" i="4"/>
  <c r="Y62" i="4" s="1"/>
  <c r="W60" i="4"/>
  <c r="W62" i="4" s="1"/>
  <c r="AJ60" i="4"/>
  <c r="AJ62" i="4" s="1"/>
  <c r="AK28" i="4"/>
  <c r="AK30" i="4" s="1"/>
  <c r="AL18" i="4"/>
  <c r="AK50" i="4"/>
  <c r="AM27" i="4"/>
  <c r="AN4" i="4"/>
  <c r="AL59" i="4"/>
  <c r="AL61" i="4" s="1"/>
  <c r="AM36" i="4"/>
  <c r="AL29" i="4"/>
  <c r="AK49" i="4"/>
  <c r="AJ53" i="4"/>
  <c r="AM17" i="4" l="1"/>
  <c r="AL21" i="4"/>
  <c r="AL28" i="4"/>
  <c r="AL30" i="4" s="1"/>
  <c r="AM18" i="4"/>
  <c r="AL50" i="4"/>
  <c r="AL49" i="4"/>
  <c r="AK53" i="4"/>
  <c r="AN36" i="4"/>
  <c r="AM59" i="4"/>
  <c r="AM61" i="4" s="1"/>
  <c r="AO4" i="4"/>
  <c r="AN27" i="4"/>
  <c r="AK60" i="4"/>
  <c r="AK62" i="4" s="1"/>
  <c r="AM29" i="4"/>
  <c r="AM21" i="4" l="1"/>
  <c r="AN17" i="4"/>
  <c r="AL60" i="4"/>
  <c r="AL62" i="4" s="1"/>
  <c r="AM28" i="4"/>
  <c r="AM30" i="4" s="1"/>
  <c r="AN18" i="4"/>
  <c r="AM50" i="4"/>
  <c r="AO36" i="4"/>
  <c r="AN59" i="4"/>
  <c r="AN61" i="4" s="1"/>
  <c r="AN29" i="4"/>
  <c r="AO27" i="4"/>
  <c r="AP4" i="4"/>
  <c r="AM49" i="4"/>
  <c r="AL53" i="4"/>
  <c r="AN21" i="4" l="1"/>
  <c r="AO17" i="4"/>
  <c r="AN28" i="4"/>
  <c r="AN30" i="4" s="1"/>
  <c r="AO18" i="4"/>
  <c r="AM60" i="4"/>
  <c r="AM62" i="4" s="1"/>
  <c r="AN50" i="4"/>
  <c r="AN49" i="4"/>
  <c r="AM53" i="4"/>
  <c r="AO29" i="4"/>
  <c r="AP27" i="4"/>
  <c r="AQ4" i="4"/>
  <c r="AP36" i="4"/>
  <c r="AO59" i="4"/>
  <c r="AO61" i="4" s="1"/>
  <c r="AP17" i="4" l="1"/>
  <c r="AO21" i="4"/>
  <c r="AN60" i="4"/>
  <c r="AN62" i="4" s="1"/>
  <c r="AO28" i="4"/>
  <c r="AO30" i="4" s="1"/>
  <c r="AP18" i="4"/>
  <c r="AO50" i="4"/>
  <c r="AR4" i="4"/>
  <c r="AQ27" i="4"/>
  <c r="AP29" i="4"/>
  <c r="AO49" i="4"/>
  <c r="AN53" i="4"/>
  <c r="AP59" i="4"/>
  <c r="AP61" i="4" s="1"/>
  <c r="AQ36" i="4"/>
  <c r="AQ17" i="4" l="1"/>
  <c r="AP28" i="4"/>
  <c r="AP30" i="4" s="1"/>
  <c r="AP21" i="4"/>
  <c r="AO60" i="4"/>
  <c r="AO62" i="4" s="1"/>
  <c r="AQ18" i="4"/>
  <c r="AP50" i="4"/>
  <c r="AP49" i="4"/>
  <c r="AO53" i="4"/>
  <c r="AQ29" i="4"/>
  <c r="AQ59" i="4"/>
  <c r="AQ61" i="4" s="1"/>
  <c r="AR36" i="4"/>
  <c r="AS4" i="4"/>
  <c r="AR27" i="4"/>
  <c r="AQ28" i="4" l="1"/>
  <c r="AQ30" i="4" s="1"/>
  <c r="AR17" i="4"/>
  <c r="AQ21" i="4"/>
  <c r="AR18" i="4"/>
  <c r="AP60" i="4"/>
  <c r="AP62" i="4" s="1"/>
  <c r="AQ50" i="4"/>
  <c r="AT4" i="4"/>
  <c r="AS27" i="4"/>
  <c r="AR59" i="4"/>
  <c r="AR61" i="4" s="1"/>
  <c r="AS36" i="4"/>
  <c r="AR29" i="4"/>
  <c r="AQ49" i="4"/>
  <c r="AP53" i="4"/>
  <c r="AS17" i="4" l="1"/>
  <c r="AR28" i="4"/>
  <c r="AR30" i="4" s="1"/>
  <c r="AR21" i="4"/>
  <c r="AS18" i="4"/>
  <c r="AQ60" i="4"/>
  <c r="AQ62" i="4" s="1"/>
  <c r="AR50" i="4"/>
  <c r="AT36" i="4"/>
  <c r="AS59" i="4"/>
  <c r="AS61" i="4" s="1"/>
  <c r="AR49" i="4"/>
  <c r="AQ53" i="4"/>
  <c r="AS29" i="4"/>
  <c r="AT27" i="4"/>
  <c r="AU4" i="4"/>
  <c r="AS21" i="4" l="1"/>
  <c r="AT17" i="4"/>
  <c r="AS28" i="4"/>
  <c r="AS30" i="4" s="1"/>
  <c r="AT18" i="4"/>
  <c r="AS50" i="4"/>
  <c r="AS49" i="4"/>
  <c r="AR53" i="4"/>
  <c r="AU27" i="4"/>
  <c r="AV4" i="4"/>
  <c r="AT29" i="4"/>
  <c r="AR60" i="4"/>
  <c r="AR62" i="4" s="1"/>
  <c r="AT59" i="4"/>
  <c r="AT61" i="4" s="1"/>
  <c r="AU36" i="4"/>
  <c r="AU17" i="4" l="1"/>
  <c r="AT21" i="4"/>
  <c r="AT28" i="4"/>
  <c r="AT30" i="4" s="1"/>
  <c r="AU18" i="4"/>
  <c r="AS60" i="4"/>
  <c r="AS62" i="4" s="1"/>
  <c r="AT50" i="4"/>
  <c r="AU29" i="4"/>
  <c r="AV27" i="4"/>
  <c r="AW4" i="4"/>
  <c r="AW27" i="4" s="1"/>
  <c r="AV36" i="4"/>
  <c r="AU59" i="4"/>
  <c r="AU61" i="4" s="1"/>
  <c r="AT49" i="4"/>
  <c r="AS53" i="4"/>
  <c r="AV17" i="4" l="1"/>
  <c r="AW17" i="4" s="1"/>
  <c r="AU21" i="4"/>
  <c r="AU28" i="4"/>
  <c r="AU30" i="4" s="1"/>
  <c r="AV18" i="4"/>
  <c r="AW18" i="4" s="1"/>
  <c r="AU50" i="4"/>
  <c r="AU49" i="4"/>
  <c r="AT53" i="4"/>
  <c r="AW36" i="4"/>
  <c r="AW59" i="4" s="1"/>
  <c r="AW61" i="4" s="1"/>
  <c r="AV59" i="4"/>
  <c r="AV61" i="4" s="1"/>
  <c r="AW29" i="4"/>
  <c r="AV29" i="4"/>
  <c r="AT60" i="4"/>
  <c r="AT62" i="4" s="1"/>
  <c r="AU60" i="4" l="1"/>
  <c r="AU62" i="4" s="1"/>
  <c r="AW21" i="4"/>
  <c r="AV28" i="4"/>
  <c r="AV30" i="4" s="1"/>
  <c r="AV21" i="4"/>
  <c r="AW28" i="4"/>
  <c r="AW30" i="4" s="1"/>
  <c r="AV50" i="4"/>
  <c r="AW50" i="4" s="1"/>
  <c r="AV49" i="4"/>
  <c r="AU53" i="4"/>
  <c r="AV60" i="4" l="1"/>
  <c r="AV62" i="4" s="1"/>
  <c r="AW49" i="4"/>
  <c r="AW53" i="4" s="1"/>
  <c r="AV53" i="4"/>
  <c r="AW60" i="4" l="1"/>
  <c r="AW6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2" authorId="0" shapeId="0" xr:uid="{00000000-0006-0000-0100-000001000000}">
      <text>
        <r>
          <rPr>
            <b/>
            <sz val="8"/>
            <color rgb="FF000000"/>
            <rFont val="Tahoma"/>
            <family val="2"/>
          </rPr>
          <t>Author:</t>
        </r>
        <r>
          <rPr>
            <sz val="8"/>
            <color rgb="FF000000"/>
            <rFont val="Tahoma"/>
            <family val="2"/>
          </rPr>
          <t xml:space="preserve">
actual billed usage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B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B00-000002000000}">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00000000-0006-0000-0B00-000003000000}">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00000000-0006-0000-0B00-000004000000}">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00000000-0006-0000-0B00-000005000000}">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00000000-0006-0000-0B00-00000600000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C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C00-000002000000}">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00000000-0006-0000-0C00-000003000000}">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00000000-0006-0000-0C00-000004000000}">
      <text>
        <r>
          <rPr>
            <b/>
            <sz val="9"/>
            <color indexed="81"/>
            <rFont val="Tahoma"/>
            <family val="2"/>
          </rPr>
          <t>Author:</t>
        </r>
        <r>
          <rPr>
            <sz val="9"/>
            <color indexed="81"/>
            <rFont val="Tahoma"/>
            <family val="2"/>
          </rPr>
          <t xml:space="preserve">
Since Schedule 121 was merged with 111 apply 111 rate to any 121 values
</t>
        </r>
      </text>
    </comment>
    <comment ref="J46" authorId="0" shapeId="0" xr:uid="{00000000-0006-0000-0C00-000005000000}">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00000000-0006-0000-0C00-000006000000}">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00000000-0006-0000-0C00-000007000000}">
      <text>
        <r>
          <rPr>
            <b/>
            <sz val="9"/>
            <color indexed="81"/>
            <rFont val="Tahoma"/>
            <family val="2"/>
          </rPr>
          <t>Author:</t>
        </r>
        <r>
          <rPr>
            <sz val="9"/>
            <color indexed="81"/>
            <rFont val="Tahoma"/>
            <family val="2"/>
          </rPr>
          <t xml:space="preserve">
Since Schedule 122 was merged with 112 apply 112 rate to  any 122 values
</t>
        </r>
      </text>
    </comment>
    <comment ref="J47" authorId="0" shapeId="0" xr:uid="{00000000-0006-0000-0C00-00000800000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D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D00-000002000000}">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00000000-0006-0000-0D00-000003000000}">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00000000-0006-0000-0D00-000004000000}">
      <text>
        <r>
          <rPr>
            <b/>
            <sz val="9"/>
            <color indexed="81"/>
            <rFont val="Tahoma"/>
            <family val="2"/>
          </rPr>
          <t>Author:</t>
        </r>
        <r>
          <rPr>
            <sz val="9"/>
            <color indexed="81"/>
            <rFont val="Tahoma"/>
            <family val="2"/>
          </rPr>
          <t xml:space="preserve">
Since Schedule 121 was merged with 111 apply 111 rate to any 121 values
</t>
        </r>
      </text>
    </comment>
    <comment ref="J46" authorId="0" shapeId="0" xr:uid="{00000000-0006-0000-0D00-000005000000}">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00000000-0006-0000-0D00-000006000000}">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00000000-0006-0000-0D00-000007000000}">
      <text>
        <r>
          <rPr>
            <b/>
            <sz val="9"/>
            <color indexed="81"/>
            <rFont val="Tahoma"/>
            <family val="2"/>
          </rPr>
          <t>Author:</t>
        </r>
        <r>
          <rPr>
            <sz val="9"/>
            <color indexed="81"/>
            <rFont val="Tahoma"/>
            <family val="2"/>
          </rPr>
          <t xml:space="preserve">
Since Schedule 122 was merged with 112 apply 112 rate to  any 122 values
</t>
        </r>
      </text>
    </comment>
    <comment ref="J47" authorId="0" shapeId="0" xr:uid="{00000000-0006-0000-0D00-00000800000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E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E00-000002000000}">
      <text>
        <r>
          <rPr>
            <b/>
            <sz val="9"/>
            <color indexed="81"/>
            <rFont val="Tahoma"/>
            <family val="2"/>
          </rPr>
          <t>tlk:</t>
        </r>
        <r>
          <rPr>
            <sz val="9"/>
            <color indexed="81"/>
            <rFont val="Tahoma"/>
            <family val="2"/>
          </rPr>
          <t xml:space="preserve">
calculated average energy rate from billed Sch 102 revenue times unbilled therms</t>
        </r>
      </text>
    </comment>
    <comment ref="I46" authorId="0" shapeId="0" xr:uid="{00000000-0006-0000-0E00-000003000000}">
      <text>
        <r>
          <rPr>
            <b/>
            <sz val="9"/>
            <color indexed="81"/>
            <rFont val="Tahoma"/>
            <family val="2"/>
          </rPr>
          <t>Author:</t>
        </r>
        <r>
          <rPr>
            <sz val="9"/>
            <color indexed="81"/>
            <rFont val="Tahoma"/>
            <family val="2"/>
          </rPr>
          <t xml:space="preserve">
Since Schedule 121 was merged with 111 apply 111 rate to any 121 values
</t>
        </r>
      </text>
    </comment>
    <comment ref="J46" authorId="0" shapeId="0" xr:uid="{00000000-0006-0000-0E00-000004000000}">
      <text>
        <r>
          <rPr>
            <b/>
            <sz val="9"/>
            <color indexed="81"/>
            <rFont val="Tahoma"/>
            <family val="2"/>
          </rPr>
          <t>Author:</t>
        </r>
        <r>
          <rPr>
            <sz val="9"/>
            <color indexed="81"/>
            <rFont val="Tahoma"/>
            <family val="2"/>
          </rPr>
          <t xml:space="preserve">
Since Schedule 121 was merged with 111 apply 111 rate to any 121 values
</t>
        </r>
      </text>
    </comment>
    <comment ref="I47" authorId="0" shapeId="0" xr:uid="{00000000-0006-0000-0E00-000005000000}">
      <text>
        <r>
          <rPr>
            <b/>
            <sz val="9"/>
            <color indexed="81"/>
            <rFont val="Tahoma"/>
            <family val="2"/>
          </rPr>
          <t>Author:</t>
        </r>
        <r>
          <rPr>
            <sz val="9"/>
            <color indexed="81"/>
            <rFont val="Tahoma"/>
            <family val="2"/>
          </rPr>
          <t xml:space="preserve">
Since Schedule 122 was merged with 112 apply 112 rate to  any 122 values
</t>
        </r>
      </text>
    </comment>
    <comment ref="J47" authorId="0" shapeId="0" xr:uid="{00000000-0006-0000-0E00-00000600000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F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F00-000002000000}">
      <text>
        <r>
          <rPr>
            <b/>
            <sz val="9"/>
            <color indexed="81"/>
            <rFont val="Tahoma"/>
            <family val="2"/>
          </rPr>
          <t>tlk:</t>
        </r>
        <r>
          <rPr>
            <sz val="9"/>
            <color indexed="81"/>
            <rFont val="Tahoma"/>
            <family val="2"/>
          </rPr>
          <t xml:space="preserve">
calculated average energy rate from billed Sch 102 revenue times unbilled therms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10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1000-000002000000}">
      <text>
        <r>
          <rPr>
            <b/>
            <sz val="9"/>
            <color indexed="81"/>
            <rFont val="Tahoma"/>
            <family val="2"/>
          </rPr>
          <t>tlk:</t>
        </r>
        <r>
          <rPr>
            <sz val="9"/>
            <color indexed="81"/>
            <rFont val="Tahoma"/>
            <family val="2"/>
          </rPr>
          <t xml:space="preserve">
calculated average energy rate from billed Sch 102 revenue times unbilled therms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11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1100-000002000000}">
      <text>
        <r>
          <rPr>
            <b/>
            <sz val="9"/>
            <color indexed="81"/>
            <rFont val="Tahoma"/>
            <family val="2"/>
          </rPr>
          <t>tlk:</t>
        </r>
        <r>
          <rPr>
            <sz val="9"/>
            <color indexed="81"/>
            <rFont val="Tahoma"/>
            <family val="2"/>
          </rPr>
          <t xml:space="preserve">
calculated average energy rate from billed Sch 102 revenue times unbilled therms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2" authorId="0" shapeId="0" xr:uid="{00000000-0006-0000-0200-000001000000}">
      <text>
        <r>
          <rPr>
            <b/>
            <sz val="8"/>
            <color rgb="FF000000"/>
            <rFont val="Tahoma"/>
            <family val="2"/>
          </rPr>
          <t>Author:</t>
        </r>
        <r>
          <rPr>
            <sz val="8"/>
            <color rgb="FF000000"/>
            <rFont val="Tahoma"/>
            <family val="2"/>
          </rPr>
          <t xml:space="preserve">
actual billed usage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00000000-0006-0000-0300-000001000000}">
      <text>
        <r>
          <rPr>
            <b/>
            <sz val="9"/>
            <color indexed="81"/>
            <rFont val="Tahoma"/>
            <family val="2"/>
          </rPr>
          <t>Author:</t>
        </r>
        <r>
          <rPr>
            <sz val="9"/>
            <color indexed="81"/>
            <rFont val="Tahoma"/>
            <family val="2"/>
          </rPr>
          <t xml:space="preserve">
Jan - Jun from Dec MidMonth 12 11 19 pricing v2.... Forward new forecast
</t>
        </r>
      </text>
    </comment>
    <comment ref="J9" authorId="0" shapeId="0" xr:uid="{00000000-0006-0000-0300-000002000000}">
      <text>
        <r>
          <rPr>
            <b/>
            <sz val="9"/>
            <color indexed="81"/>
            <rFont val="Tahoma"/>
            <family val="2"/>
          </rPr>
          <t>Author:</t>
        </r>
        <r>
          <rPr>
            <sz val="9"/>
            <color indexed="81"/>
            <rFont val="Tahoma"/>
            <family val="2"/>
          </rPr>
          <t xml:space="preserve">
Transition to August 1 effective date, rate to recover revised 11/1/2019 carryover,</t>
        </r>
      </text>
    </comment>
    <comment ref="J41" authorId="0" shapeId="0" xr:uid="{00000000-0006-0000-0300-000003000000}">
      <text>
        <r>
          <rPr>
            <b/>
            <sz val="9"/>
            <color indexed="81"/>
            <rFont val="Tahoma"/>
            <family val="2"/>
          </rPr>
          <t>Author:</t>
        </r>
        <r>
          <rPr>
            <sz val="9"/>
            <color indexed="81"/>
            <rFont val="Tahoma"/>
            <family val="2"/>
          </rPr>
          <t xml:space="preserve">
Transition to August 1 effective date, rate to recover revised 11/1/2019 carryover,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8" authorId="0" shapeId="0" xr:uid="{00000000-0006-0000-0400-000001000000}">
      <text>
        <r>
          <rPr>
            <b/>
            <sz val="9"/>
            <color indexed="81"/>
            <rFont val="Tahoma"/>
            <family val="2"/>
          </rPr>
          <t>tlk:</t>
        </r>
        <r>
          <rPr>
            <sz val="9"/>
            <color indexed="81"/>
            <rFont val="Tahoma"/>
            <family val="2"/>
          </rPr>
          <t xml:space="preserve">
change formula to hard coded value in prior month before entering any deferral data in following month column</t>
        </r>
      </text>
    </comment>
    <comment ref="D92" authorId="0" shapeId="0" xr:uid="{00000000-0006-0000-0400-000002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E92" authorId="0" shapeId="0" xr:uid="{00000000-0006-0000-0400-000003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F92" authorId="0" shapeId="0" xr:uid="{00000000-0006-0000-0400-000004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G92" authorId="0" shapeId="0" xr:uid="{00000000-0006-0000-0400-000005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H92" authorId="0" shapeId="0" xr:uid="{00000000-0006-0000-0400-000006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I92" authorId="0" shapeId="0" xr:uid="{00000000-0006-0000-0400-000007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J92" authorId="0" shapeId="0" xr:uid="{00000000-0006-0000-0400-000008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K92" authorId="0" shapeId="0" xr:uid="{00000000-0006-0000-0400-000009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L92" authorId="0" shapeId="0" xr:uid="{B64417E8-B97F-4A9C-82E4-BBD74A317317}">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M92" authorId="0" shapeId="0" xr:uid="{00000000-0006-0000-0400-00000B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N92" authorId="0" shapeId="0" xr:uid="{00000000-0006-0000-0400-00000C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 ref="O92" authorId="0" shapeId="0" xr:uid="{00000000-0006-0000-0400-00000D000000}">
      <text>
        <r>
          <rPr>
            <b/>
            <sz val="9"/>
            <color indexed="81"/>
            <rFont val="Tahoma"/>
            <family val="2"/>
          </rPr>
          <t>tlk:</t>
        </r>
        <r>
          <rPr>
            <sz val="9"/>
            <color indexed="81"/>
            <rFont val="Tahoma"/>
            <family val="2"/>
          </rPr>
          <t xml:space="preserve">
change formula to hard coded December Balance value before entering any deferral data in following month column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375D650E-43FE-4028-AAC9-E566D2E5AD8C}">
      <text>
        <r>
          <rPr>
            <b/>
            <sz val="9"/>
            <color indexed="81"/>
            <rFont val="Tahoma"/>
            <family val="2"/>
          </rPr>
          <t>Author:</t>
        </r>
        <r>
          <rPr>
            <sz val="9"/>
            <color indexed="81"/>
            <rFont val="Tahoma"/>
            <family val="2"/>
          </rPr>
          <t xml:space="preserve">
From calendar sales volume report
</t>
        </r>
      </text>
    </comment>
    <comment ref="F23" authorId="0" shapeId="0" xr:uid="{DB1937AC-E4F5-42A7-B556-6C0A175B3BF1}">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11C0325F-FDD3-4C51-8ABD-877304803DCC}">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F093020E-E4B7-434B-B522-468920FAFFB2}">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0817FCE3-4EE1-40FA-BB6C-FD24E2B3E927}">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4F929AF4-63D0-47D2-9ABC-B94F1D88253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3C491EBA-771C-4B70-BBD0-541DDDDE3F47}">
      <text>
        <r>
          <rPr>
            <b/>
            <sz val="9"/>
            <color indexed="81"/>
            <rFont val="Tahoma"/>
            <family val="2"/>
          </rPr>
          <t>Author:</t>
        </r>
        <r>
          <rPr>
            <sz val="9"/>
            <color indexed="81"/>
            <rFont val="Tahoma"/>
            <family val="2"/>
          </rPr>
          <t xml:space="preserve">
From calendar sales volume report
</t>
        </r>
      </text>
    </comment>
    <comment ref="F23" authorId="0" shapeId="0" xr:uid="{10BBF5BF-2311-4CFF-AD61-FBF3FFB9DA79}">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027B5AC7-76AF-4B24-B5C3-5A7D60CCD721}">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4BE9BEDC-3837-44BD-BC4D-6FB8868BB772}">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D888AA9B-B799-4BD7-89DE-B67CB80650B3}">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7C5BE1A2-4838-4D80-B9B4-E67884D265F6}">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254D65B7-0C85-4320-9281-DB8A548BB436}">
      <text>
        <r>
          <rPr>
            <b/>
            <sz val="9"/>
            <color indexed="81"/>
            <rFont val="Tahoma"/>
            <family val="2"/>
          </rPr>
          <t>Author:</t>
        </r>
        <r>
          <rPr>
            <sz val="9"/>
            <color indexed="81"/>
            <rFont val="Tahoma"/>
            <family val="2"/>
          </rPr>
          <t xml:space="preserve">
From calendar sales volume report
</t>
        </r>
      </text>
    </comment>
    <comment ref="F23" authorId="0" shapeId="0" xr:uid="{42B835B2-C74F-44AA-A2EB-DCBAFFBA53F6}">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2B77B4EA-7DE7-4598-A935-4D83BA7EE754}">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6D76741A-04C1-4E50-9225-D3A9E71014DD}">
      <text>
        <r>
          <rPr>
            <b/>
            <sz val="9"/>
            <color indexed="81"/>
            <rFont val="Tahoma"/>
            <family val="2"/>
          </rPr>
          <t>Author:</t>
        </r>
        <r>
          <rPr>
            <sz val="9"/>
            <color indexed="81"/>
            <rFont val="Tahoma"/>
            <family val="2"/>
          </rPr>
          <t xml:space="preserve">
Since Schedule 121 was merged with 111 apply 111 rate to any 121 values
</t>
        </r>
      </text>
    </comment>
    <comment ref="J46" authorId="0" shapeId="0" xr:uid="{E4EFF446-B16E-4E7C-8B31-CEC27B850EFF}">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CA771615-1EA9-44B1-9670-4E748BD98449}">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1E6155DC-B807-4A5F-9CAA-321CA68C7877}">
      <text>
        <r>
          <rPr>
            <b/>
            <sz val="9"/>
            <color indexed="81"/>
            <rFont val="Tahoma"/>
            <family val="2"/>
          </rPr>
          <t>Author:</t>
        </r>
        <r>
          <rPr>
            <sz val="9"/>
            <color indexed="81"/>
            <rFont val="Tahoma"/>
            <family val="2"/>
          </rPr>
          <t xml:space="preserve">
Since Schedule 122 was merged with 112 apply 112 rate to  any 122 values
</t>
        </r>
      </text>
    </comment>
    <comment ref="J47" authorId="0" shapeId="0" xr:uid="{0441B936-D97C-4C57-9C15-143FA08C5496}">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366FB1E4-1334-41C3-9789-DDDCC4BFCFD5}">
      <text>
        <r>
          <rPr>
            <b/>
            <sz val="9"/>
            <color indexed="81"/>
            <rFont val="Tahoma"/>
            <family val="2"/>
          </rPr>
          <t>Author:</t>
        </r>
        <r>
          <rPr>
            <sz val="9"/>
            <color indexed="81"/>
            <rFont val="Tahoma"/>
            <family val="2"/>
          </rPr>
          <t xml:space="preserve">
From calendar sales volume report
</t>
        </r>
      </text>
    </comment>
    <comment ref="F23" authorId="0" shapeId="0" xr:uid="{9436CADF-1BAE-472B-9A7F-1B6D87BB12AA}">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759D54CB-226A-4C54-A4C7-C8454C8D7C3C}">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A8F68EA1-94F5-43A8-8994-F95C6551B12D}">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D7A493FB-B28A-4812-8024-F6E65C9ED695}">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06174254-C316-48E7-A7CE-7713E94319BB}">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5" authorId="0" shapeId="0" xr:uid="{00000000-0006-0000-0A00-000001000000}">
      <text>
        <r>
          <rPr>
            <b/>
            <sz val="9"/>
            <color indexed="81"/>
            <rFont val="Tahoma"/>
            <family val="2"/>
          </rPr>
          <t>Author:</t>
        </r>
        <r>
          <rPr>
            <sz val="9"/>
            <color indexed="81"/>
            <rFont val="Tahoma"/>
            <family val="2"/>
          </rPr>
          <t xml:space="preserve">
From calendar sales volume report
</t>
        </r>
      </text>
    </comment>
    <comment ref="F23" authorId="0" shapeId="0" xr:uid="{00000000-0006-0000-0A00-000002000000}">
      <text>
        <r>
          <rPr>
            <b/>
            <sz val="9"/>
            <color indexed="81"/>
            <rFont val="Tahoma"/>
            <family val="2"/>
          </rPr>
          <t>tlk:</t>
        </r>
        <r>
          <rPr>
            <sz val="9"/>
            <color indexed="81"/>
            <rFont val="Tahoma"/>
            <family val="2"/>
          </rPr>
          <t xml:space="preserve">
calculated average energy rate from billed Sch 102 revenue times unbilled therms</t>
        </r>
      </text>
    </comment>
    <comment ref="H46" authorId="0" shapeId="0" xr:uid="{00000000-0006-0000-0A00-000003000000}">
      <text>
        <r>
          <rPr>
            <b/>
            <sz val="9"/>
            <color indexed="81"/>
            <rFont val="Tahoma"/>
            <family val="2"/>
          </rPr>
          <t>Author:</t>
        </r>
        <r>
          <rPr>
            <sz val="9"/>
            <color indexed="81"/>
            <rFont val="Tahoma"/>
            <family val="2"/>
          </rPr>
          <t xml:space="preserve">
Since Schedule 121 was merged with 111 apply 111 rate to any 121 values
</t>
        </r>
      </text>
    </comment>
    <comment ref="I46" authorId="0" shapeId="0" xr:uid="{00000000-0006-0000-0A00-000004000000}">
      <text>
        <r>
          <rPr>
            <b/>
            <sz val="9"/>
            <color indexed="81"/>
            <rFont val="Tahoma"/>
            <family val="2"/>
          </rPr>
          <t>Author:</t>
        </r>
        <r>
          <rPr>
            <sz val="9"/>
            <color indexed="81"/>
            <rFont val="Tahoma"/>
            <family val="2"/>
          </rPr>
          <t xml:space="preserve">
Since Schedule 121 was merged with 111 apply 111 rate to any 121 values
</t>
        </r>
      </text>
    </comment>
    <comment ref="H47" authorId="0" shapeId="0" xr:uid="{00000000-0006-0000-0A00-000005000000}">
      <text>
        <r>
          <rPr>
            <b/>
            <sz val="9"/>
            <color indexed="81"/>
            <rFont val="Tahoma"/>
            <family val="2"/>
          </rPr>
          <t>Author:</t>
        </r>
        <r>
          <rPr>
            <sz val="9"/>
            <color indexed="81"/>
            <rFont val="Tahoma"/>
            <family val="2"/>
          </rPr>
          <t xml:space="preserve">
Since Schedule 122 was merged with 112 apply 112 rate to  any 122 values
</t>
        </r>
      </text>
    </comment>
    <comment ref="I47" authorId="0" shapeId="0" xr:uid="{00000000-0006-0000-0A00-000006000000}">
      <text>
        <r>
          <rPr>
            <b/>
            <sz val="9"/>
            <color indexed="81"/>
            <rFont val="Tahoma"/>
            <family val="2"/>
          </rPr>
          <t>Author:</t>
        </r>
        <r>
          <rPr>
            <sz val="9"/>
            <color indexed="81"/>
            <rFont val="Tahoma"/>
            <family val="2"/>
          </rPr>
          <t xml:space="preserve">
Since Schedule 122 was merged with 112 apply 112 rate to  any 122 values
</t>
        </r>
      </text>
    </comment>
  </commentList>
</comments>
</file>

<file path=xl/sharedStrings.xml><?xml version="1.0" encoding="utf-8"?>
<sst xmlns="http://schemas.openxmlformats.org/spreadsheetml/2006/main" count="2506" uniqueCount="412">
  <si>
    <t>Avista Utilities</t>
  </si>
  <si>
    <t>Natural Gas Decoupling Mechanism</t>
  </si>
  <si>
    <t>Development of Decoupled Revenue by Rate Schedule - Natural Gas</t>
  </si>
  <si>
    <t>Washington Docket No. UG-170486 Compliance Filing</t>
  </si>
  <si>
    <t xml:space="preserve"> </t>
  </si>
  <si>
    <t>RESIDENTIAL</t>
  </si>
  <si>
    <t xml:space="preserve">GENERAL SVC. </t>
  </si>
  <si>
    <t>LG. GEN. SVC.</t>
  </si>
  <si>
    <t>INTERRUPTIBLE</t>
  </si>
  <si>
    <t>SCHEDULES</t>
  </si>
  <si>
    <t>TOTAL</t>
  </si>
  <si>
    <t>SCHEDULE 101/102</t>
  </si>
  <si>
    <t>SCH. 111/112/116</t>
  </si>
  <si>
    <t>SCH. 121/122/126</t>
  </si>
  <si>
    <t>SCH 131</t>
  </si>
  <si>
    <t>146 &amp; 148</t>
  </si>
  <si>
    <t>Total Normalized 12 ME Dec 2016 Revenue</t>
  </si>
  <si>
    <t>Allowed Revenue Decrease (Attachment 2)</t>
  </si>
  <si>
    <t>Allowed Base Rate Revenue</t>
  </si>
  <si>
    <t>Normalized Therms (12ME Dec 2016 Test Year)</t>
  </si>
  <si>
    <t>Schedule 150 PGA Rates excluded from base rates</t>
  </si>
  <si>
    <t>Variable Gas Supply Revenue</t>
  </si>
  <si>
    <t>Delivery Revenue  (Ln 3 - Ln 6)</t>
  </si>
  <si>
    <t>Customer Bills (12ME Dec 2016 Test Year)</t>
  </si>
  <si>
    <t xml:space="preserve"> Allowed Basic / Minimum Charges</t>
  </si>
  <si>
    <t>Basic Charge Revenue (Ln 8 * Ln 9)</t>
  </si>
  <si>
    <t>Excluded From Decoupling</t>
  </si>
  <si>
    <t>Decoupled Revenue</t>
  </si>
  <si>
    <t>Residential</t>
  </si>
  <si>
    <t>Non-Residential Group</t>
  </si>
  <si>
    <t>Average Number of Customers (Line 8 / 12)</t>
  </si>
  <si>
    <t>Annual Therms</t>
  </si>
  <si>
    <t>Basic Charge Revenues</t>
  </si>
  <si>
    <t>Customer Bills</t>
  </si>
  <si>
    <t>Average Basic Charge</t>
  </si>
  <si>
    <t>Attachment 5, Page 1</t>
  </si>
  <si>
    <t>check calculations - DO NOT PRINT</t>
  </si>
  <si>
    <t>avg decoupled rev/th</t>
  </si>
  <si>
    <t>check to avg rates</t>
  </si>
  <si>
    <t>Development of Decoupled Revenue Per Customer - Natural Gas</t>
  </si>
  <si>
    <t>Line No.</t>
  </si>
  <si>
    <t>Source</t>
  </si>
  <si>
    <t>Residential Schedules*</t>
  </si>
  <si>
    <t>Non-Residential Schedules**</t>
  </si>
  <si>
    <t>(a)</t>
  </si>
  <si>
    <t>(b)</t>
  </si>
  <si>
    <t>(c)</t>
  </si>
  <si>
    <t>(d)</t>
  </si>
  <si>
    <t>Decoupled Revenues</t>
  </si>
  <si>
    <t>Test Year # of Customers 12 ME12.2016</t>
  </si>
  <si>
    <t>Revenue Data</t>
  </si>
  <si>
    <t>Decoupled Revenue Per Customer</t>
  </si>
  <si>
    <t xml:space="preserve">*Rate Schedules 101, 102.  </t>
  </si>
  <si>
    <t xml:space="preserve">**Rate Schedules 111, 112, 116, 121, 122, 126, 131.  </t>
  </si>
  <si>
    <t>Attachment 5, Page 2</t>
  </si>
  <si>
    <t>Revenues</t>
  </si>
  <si>
    <t>From Revenue Per Customer</t>
  </si>
  <si>
    <t>From Basic Charges</t>
  </si>
  <si>
    <t>From Gas Supply</t>
  </si>
  <si>
    <t>Total</t>
  </si>
  <si>
    <t>Schedule</t>
  </si>
  <si>
    <t>'Development of Monthly Decoupled Revenue Per Customer - Natural Gas</t>
  </si>
  <si>
    <t>Jan</t>
  </si>
  <si>
    <t>Feb</t>
  </si>
  <si>
    <t>Mar</t>
  </si>
  <si>
    <t>Apr</t>
  </si>
  <si>
    <t>May</t>
  </si>
  <si>
    <t>Jun</t>
  </si>
  <si>
    <t>Jul</t>
  </si>
  <si>
    <t>Aug</t>
  </si>
  <si>
    <t>Sep</t>
  </si>
  <si>
    <t>Oct</t>
  </si>
  <si>
    <t>Nov</t>
  </si>
  <si>
    <t>Dec</t>
  </si>
  <si>
    <t>(e)</t>
  </si>
  <si>
    <t>(f)</t>
  </si>
  <si>
    <t>(g)</t>
  </si>
  <si>
    <t>(h)</t>
  </si>
  <si>
    <t>(i)</t>
  </si>
  <si>
    <t>(j)</t>
  </si>
  <si>
    <t>(k)</t>
  </si>
  <si>
    <t>(l)</t>
  </si>
  <si>
    <t>(m)</t>
  </si>
  <si>
    <t>(n)</t>
  </si>
  <si>
    <t>(o)</t>
  </si>
  <si>
    <t>Natural Gas Delivery Volume</t>
  </si>
  <si>
    <t>Residential*</t>
  </si>
  <si>
    <t xml:space="preserve"> - Weather-Normalized Therm Delivery Volume</t>
  </si>
  <si>
    <t>Monthly Rate Year</t>
  </si>
  <si>
    <t xml:space="preserve">  - % of Annual Total</t>
  </si>
  <si>
    <t>% of Total</t>
  </si>
  <si>
    <t>Non-Residential**</t>
  </si>
  <si>
    <t>Monthly Decoupled Revenue Per Customer ("RPC")</t>
  </si>
  <si>
    <t xml:space="preserve">  -UG-150205 Decoupled RPC</t>
  </si>
  <si>
    <t>Attachment 5, P. 2 L. 3</t>
  </si>
  <si>
    <t xml:space="preserve">  -Monthly Decoupled RPC</t>
  </si>
  <si>
    <t>Attachment 5, Page 3</t>
  </si>
  <si>
    <t>WUTC Docket No. UG-17____</t>
  </si>
  <si>
    <t>Normalized Usage by Month</t>
  </si>
  <si>
    <t>Twelve Months Ended December 31, 2016</t>
  </si>
  <si>
    <t>WASHINGTON GAS SYSTEM</t>
  </si>
  <si>
    <t>Annual Total</t>
  </si>
  <si>
    <t>Revenue Run Billed Usage</t>
  </si>
  <si>
    <t>Small Service Schedule 101/102</t>
  </si>
  <si>
    <t>Large Service Schedule 111/112</t>
  </si>
  <si>
    <t>Extra Large Service Schedule 121/122</t>
  </si>
  <si>
    <t>Interrupt Service Schedule 131/132</t>
  </si>
  <si>
    <t>Transport Service Schedule 146</t>
  </si>
  <si>
    <t>Special Contract Transport</t>
  </si>
  <si>
    <t>Total Revenue Run Billed Usage</t>
  </si>
  <si>
    <t>Adjustments to Revenue Runs</t>
  </si>
  <si>
    <t>Schedule 121/122 Adjustments</t>
  </si>
  <si>
    <t>Schedule 132 Adjustments</t>
  </si>
  <si>
    <t>Schedule 146 Adjustments</t>
  </si>
  <si>
    <t>Total Adjustments to Revenue Runs</t>
  </si>
  <si>
    <t>Net Unbilled Usage</t>
  </si>
  <si>
    <t>Weather Adjustment</t>
  </si>
  <si>
    <t>Total Weather Adjustment</t>
  </si>
  <si>
    <t>Normalized Test Year Usage</t>
  </si>
  <si>
    <t>Erhbar wp</t>
  </si>
  <si>
    <t>Total Normalized Test Year Usage</t>
  </si>
  <si>
    <t>Residential Usage</t>
  </si>
  <si>
    <t>Schedule 101/102 Customers</t>
  </si>
  <si>
    <t>101/102</t>
  </si>
  <si>
    <t>Schedule 101 Norm Use/Customer</t>
  </si>
  <si>
    <t>Schedule 132 Usage</t>
  </si>
  <si>
    <t>111/112</t>
  </si>
  <si>
    <t>Schedule 132 Customers</t>
  </si>
  <si>
    <t>121/122</t>
  </si>
  <si>
    <t>Non-Residential Group Usage</t>
  </si>
  <si>
    <t>131/132</t>
  </si>
  <si>
    <t>Non-Residential Group Customers</t>
  </si>
  <si>
    <t>Sum</t>
  </si>
  <si>
    <t>Non-Residential Group Norm Use/Customer</t>
  </si>
  <si>
    <t>112/122/132</t>
  </si>
  <si>
    <t>Non-Res Group</t>
  </si>
  <si>
    <t>WA Jurisdiction % of Annual Usage</t>
  </si>
  <si>
    <t>Schedule 122</t>
  </si>
  <si>
    <t>Schedule 111/112 Customers</t>
  </si>
  <si>
    <t>Schedule 121/122 Customers</t>
  </si>
  <si>
    <t>Schedule Shifting 121 to 146</t>
  </si>
  <si>
    <t>Schedlule 131/132 Customers</t>
  </si>
  <si>
    <t>AVISTA UTILITIES</t>
  </si>
  <si>
    <t>REVENUE CONVERSION FACTOR</t>
  </si>
  <si>
    <t>WASHINGTON NATURAL GAS</t>
  </si>
  <si>
    <t>TWELVE MONTHS ENDED DECEMBER 31, 2016</t>
  </si>
  <si>
    <t>With Tax Reform</t>
  </si>
  <si>
    <t xml:space="preserve">Line </t>
  </si>
  <si>
    <t>No.</t>
  </si>
  <si>
    <t>Description</t>
  </si>
  <si>
    <t>Factor</t>
  </si>
  <si>
    <t>Expense:</t>
  </si>
  <si>
    <t xml:space="preserve">  Uncollectibles  </t>
  </si>
  <si>
    <t xml:space="preserve">  Commission Fees </t>
  </si>
  <si>
    <t xml:space="preserve">  Washington Excise Tax  </t>
  </si>
  <si>
    <t xml:space="preserve">    Total Expense</t>
  </si>
  <si>
    <t>Net Operating Income Before FIT</t>
  </si>
  <si>
    <t xml:space="preserve">  Federal Income Tax @ 21%</t>
  </si>
  <si>
    <t>(Per Order No. 6; UE-120437, dated 6/20/2012 - "hard" CF rounded to 6 digits)</t>
  </si>
  <si>
    <t>Revised Conversion Factor per Bench Request 9, Attachment B Page 4</t>
  </si>
  <si>
    <t>Attachment 5, Page 4</t>
  </si>
  <si>
    <t>Residential Group</t>
  </si>
  <si>
    <t>Actual Customers</t>
  </si>
  <si>
    <t>Revenue System</t>
  </si>
  <si>
    <t>Monthly Decoupled Revenue per Customer</t>
  </si>
  <si>
    <t>Actual Fixed Charge Revenue</t>
  </si>
  <si>
    <t>Customer Decoupled Payments</t>
  </si>
  <si>
    <t>Residential Revenue Per Customer Received</t>
  </si>
  <si>
    <t>Deferral - Surcharge (Rebate)</t>
  </si>
  <si>
    <t>Deferral - Revenue Related Expenses</t>
  </si>
  <si>
    <t>Rev Conv Factor</t>
  </si>
  <si>
    <t>FERC Rate</t>
  </si>
  <si>
    <t>Interest on Deferral</t>
  </si>
  <si>
    <t>Avg Balance Calc</t>
  </si>
  <si>
    <t>Monthly Residential Deferral Totals</t>
  </si>
  <si>
    <t>Cumulative Deferral (Rebate) Balance</t>
  </si>
  <si>
    <t>Non-Residential Revenue Per Customer Received</t>
  </si>
  <si>
    <t>Monthly Non-Residential Deferral Totals</t>
  </si>
  <si>
    <t>Total Cumulative Deferral (Rebate)</t>
  </si>
  <si>
    <t>Accounting Entries</t>
  </si>
  <si>
    <t>Debit (Credit)</t>
  </si>
  <si>
    <t>GDWA</t>
  </si>
  <si>
    <t>495328 Res Decoupling Deferral</t>
  </si>
  <si>
    <t>431328 Interest Expense (formerly 431605)</t>
  </si>
  <si>
    <t>419328 Interest Income (formerly 419605)</t>
  </si>
  <si>
    <t>186328 Residential Decoupled Deferred Revenue</t>
  </si>
  <si>
    <t>495329 Amortization Residential Decoupling Def Revenue</t>
  </si>
  <si>
    <t>182328 Reg Asset Residential Decoupling Surcharge</t>
  </si>
  <si>
    <t>254328 Reg Liability Residential Decoupling Rebate</t>
  </si>
  <si>
    <t xml:space="preserve">495338 Non-Res Decoupling Deferral </t>
  </si>
  <si>
    <t>186338 Non-Residential Decoupled Deferred Revenue</t>
  </si>
  <si>
    <t>495339 Amortization Non-Resid Decoupling Def Revenue</t>
  </si>
  <si>
    <t>182338 Reg Asset Non-Resid Decoupling Surcharge</t>
  </si>
  <si>
    <t>254338 Reg Liability Non-Resid Decoupling Rebate</t>
  </si>
  <si>
    <t>495311 Contra Decoupling Deferral</t>
  </si>
  <si>
    <t>253311 Contra Decoupling Deferred Revenue</t>
  </si>
  <si>
    <t>253312 Prior Year Contra Decoupling Deferred Revenue</t>
  </si>
  <si>
    <t>Contra Decoupling Detail - Account 253312</t>
  </si>
  <si>
    <t>Current Month Contra Decoupling Entry</t>
  </si>
  <si>
    <t>Contra Decoupling Detail - Account 253311</t>
  </si>
  <si>
    <t xml:space="preserve">Determination of Base Rate Revenue From Revenue System Reports </t>
  </si>
  <si>
    <t>Current Month</t>
  </si>
  <si>
    <t>December</t>
  </si>
  <si>
    <t>Prior Month</t>
  </si>
  <si>
    <t>Billed Customers</t>
  </si>
  <si>
    <t>Billed Usage</t>
  </si>
  <si>
    <t>Unbilled Reversal</t>
  </si>
  <si>
    <t>Unbilled Usage</t>
  </si>
  <si>
    <t>Calendar Usage</t>
  </si>
  <si>
    <t>Unbilled Schedule 175 Revenue</t>
  </si>
  <si>
    <t>Usage Calculated Schedule 75 Revenue</t>
  </si>
  <si>
    <t>Unbilled True-up Sch 175</t>
  </si>
  <si>
    <t>WA101</t>
  </si>
  <si>
    <t>Schedule 101</t>
  </si>
  <si>
    <t>WA102</t>
  </si>
  <si>
    <t>Schedule 102</t>
  </si>
  <si>
    <t>WA111</t>
  </si>
  <si>
    <t>Schedule 111</t>
  </si>
  <si>
    <t>WA112</t>
  </si>
  <si>
    <t>Schedule 112</t>
  </si>
  <si>
    <t>WA121</t>
  </si>
  <si>
    <t>Schedule 121</t>
  </si>
  <si>
    <t>WA122</t>
  </si>
  <si>
    <t>WA132</t>
  </si>
  <si>
    <t>Schedule 131</t>
  </si>
  <si>
    <t>WA146</t>
  </si>
  <si>
    <t>WA147</t>
  </si>
  <si>
    <t>WA148</t>
  </si>
  <si>
    <t>Conversion Factor</t>
  </si>
  <si>
    <t>Calendar therm</t>
  </si>
  <si>
    <t>Amortization Rate</t>
  </si>
  <si>
    <t>difference</t>
  </si>
  <si>
    <t>Residential Amortization</t>
  </si>
  <si>
    <t>Non-Residential Amortization</t>
  </si>
  <si>
    <t>Non-Residential</t>
  </si>
  <si>
    <t>Reasonableness check - do not print</t>
  </si>
  <si>
    <t>Fixed Charges from Billing Determinant Revenue Report</t>
  </si>
  <si>
    <t>Base Rate Billed Revenue from Billing Determinant Revenue Report</t>
  </si>
  <si>
    <t>Unbilled Revenue</t>
  </si>
  <si>
    <t>Calendar Total Revenue</t>
  </si>
  <si>
    <t>Deduct Net Unbilled Adder Schedule Revenue</t>
  </si>
  <si>
    <t>Base Rate Revenue</t>
  </si>
  <si>
    <t>Adder Schedule Revenues</t>
  </si>
  <si>
    <t>Other Revenues</t>
  </si>
  <si>
    <t>Rates effective 11/1/18</t>
  </si>
  <si>
    <t>Adder Schedule Rate Components:</t>
  </si>
  <si>
    <t>Sch 150</t>
  </si>
  <si>
    <t>Sch 155</t>
  </si>
  <si>
    <t>Sch 175</t>
  </si>
  <si>
    <t>Sch 189</t>
  </si>
  <si>
    <t>Sch 191</t>
  </si>
  <si>
    <t>Sch 192</t>
  </si>
  <si>
    <t>Current Month Adder Schedule Total Rate</t>
  </si>
  <si>
    <t>Current Month Adder Schedule Revenue</t>
  </si>
  <si>
    <t>Prior Month Adder Schedule Revenue</t>
  </si>
  <si>
    <t>Net Unbilled Adder Schedule Revenue</t>
  </si>
  <si>
    <t xml:space="preserve">
DJ431 - Sch 150</t>
  </si>
  <si>
    <t>DJ431 Sch 155</t>
  </si>
  <si>
    <t>DJ213 - Sch 189</t>
  </si>
  <si>
    <t>DJ213 - Sch 191</t>
  </si>
  <si>
    <t xml:space="preserve"> DJ213 - Sch 192</t>
  </si>
  <si>
    <t>Total Net Unbilled Adder Schedule Revenue</t>
  </si>
  <si>
    <t>January</t>
  </si>
  <si>
    <t>Prior Month Adder Schedule Total Rate</t>
  </si>
  <si>
    <t>Check Net Unbilled - Do not print</t>
  </si>
  <si>
    <t>Sch 102 Total Rev</t>
  </si>
  <si>
    <t>Prior Contra Decoupling Balance for 2019 Deferrals</t>
  </si>
  <si>
    <t>Current Contra Decoupling Balance for 2019 Deferrals</t>
  </si>
  <si>
    <t>Forecast Usage</t>
  </si>
  <si>
    <t>1 Year Amort Rate</t>
  </si>
  <si>
    <t>Incremental Revenue Change</t>
  </si>
  <si>
    <t>Maximum Incremental Change</t>
  </si>
  <si>
    <t>Est Norm Billed Rev $000s</t>
  </si>
  <si>
    <t>Surcharge Cap</t>
  </si>
  <si>
    <t>Estimated Carryover Rate</t>
  </si>
  <si>
    <t>Implied Carryover Amortization</t>
  </si>
  <si>
    <t>Maximum Year 1 Rate</t>
  </si>
  <si>
    <t>Residential Contra Decoupling Balance</t>
  </si>
  <si>
    <t>Balance Sheet Accounts</t>
  </si>
  <si>
    <t>Current Deferrals</t>
  </si>
  <si>
    <t>Prior Year Pending</t>
  </si>
  <si>
    <t>Approved Surcharge</t>
  </si>
  <si>
    <t>Approved Rebate</t>
  </si>
  <si>
    <t>Contra Deferrals</t>
  </si>
  <si>
    <t>Prior Year Contra</t>
  </si>
  <si>
    <t>ADFIT Decoupling</t>
  </si>
  <si>
    <t>Provision for Rate Ref</t>
  </si>
  <si>
    <t>ADFIT Prov Rate Ref</t>
  </si>
  <si>
    <t>Interest Rate</t>
  </si>
  <si>
    <t>Income Statement Accounts</t>
  </si>
  <si>
    <t>Res Deferral</t>
  </si>
  <si>
    <t>Decoupling Calc</t>
  </si>
  <si>
    <t xml:space="preserve">Res Amortization </t>
  </si>
  <si>
    <t>419328/431328</t>
  </si>
  <si>
    <t>Interest (Income)/Expense</t>
  </si>
  <si>
    <t>410100/411100</t>
  </si>
  <si>
    <t xml:space="preserve">DFIT </t>
  </si>
  <si>
    <t>410200/411200</t>
  </si>
  <si>
    <t>non-op DFIT</t>
  </si>
  <si>
    <t>Contra Deferral</t>
  </si>
  <si>
    <t>Carryover Rate</t>
  </si>
  <si>
    <t>Non-Residential Contra Decoupling Balance</t>
  </si>
  <si>
    <t>Non-Res Deferral</t>
  </si>
  <si>
    <t xml:space="preserve">Non-Res Amortization </t>
  </si>
  <si>
    <t>Actual Usage</t>
  </si>
  <si>
    <t>Check to Schedule 175 Unbilled Total</t>
  </si>
  <si>
    <t>UG-190710</t>
  </si>
  <si>
    <t>Unbilled Revenue Reversal</t>
  </si>
  <si>
    <t>11/1/2019 rate</t>
  </si>
  <si>
    <r>
      <t xml:space="preserve">WA Schedule 175 </t>
    </r>
    <r>
      <rPr>
        <b/>
        <sz val="10"/>
        <color theme="1"/>
        <rFont val="Times New Roman"/>
        <family val="1"/>
      </rPr>
      <t>2018 Deferral</t>
    </r>
    <r>
      <rPr>
        <sz val="10"/>
        <color theme="1"/>
        <rFont val="Times New Roman"/>
        <family val="1"/>
      </rPr>
      <t xml:space="preserve"> Decoupling Mechanism Amortization</t>
    </r>
  </si>
  <si>
    <t>Current Contra Decoupling Balance for 2020 Deferrals</t>
  </si>
  <si>
    <t>Prior Contra Decoupling Balance for 2020 Deferrals</t>
  </si>
  <si>
    <t>Development of WA Natural Gas Deferrals (Calendar Year 2020)</t>
  </si>
  <si>
    <t>Beg Bal Dec 2019</t>
  </si>
  <si>
    <t>Maximum 24 Month Recovery of 2020 Deferral</t>
  </si>
  <si>
    <t>Estimated Incremental</t>
  </si>
  <si>
    <t>Estimated Schedule 175 Rate</t>
  </si>
  <si>
    <t>Total Normalized 12 ME Dec 2018 Revenue</t>
  </si>
  <si>
    <t>Normalized Therms (12ME Dec 2018 Test Year)</t>
  </si>
  <si>
    <t>Customer Bills (12ME Dec 2018 Test Year)</t>
  </si>
  <si>
    <t>TWELVE MONTHS ENDED DECEMBER 31, 2018</t>
  </si>
  <si>
    <t>WUTC Docket No. UG-19____</t>
  </si>
  <si>
    <t>Twelve Months Ended December 31, 2018</t>
  </si>
  <si>
    <t>Large Service Schedule 111/112/116</t>
  </si>
  <si>
    <t>Extra Large Service Schedule 121/122/126</t>
  </si>
  <si>
    <t>Schedule 111/112/116 Adjustments</t>
  </si>
  <si>
    <t>Schedule 121/122/126 Adjustments</t>
  </si>
  <si>
    <t>Open</t>
  </si>
  <si>
    <t>Miller wp</t>
  </si>
  <si>
    <t>Actual Base Rate Revenue</t>
  </si>
  <si>
    <t>New Customers</t>
  </si>
  <si>
    <t>New Customer Base Rate Revenue</t>
  </si>
  <si>
    <t>Actual Usage ("Therms)</t>
  </si>
  <si>
    <t>New Customer Fixed Charge Revenue</t>
  </si>
  <si>
    <t>Decoupling Mechanism - UG-170486 Base effective 5/1/2018, 
UG-190335 Base effective 4/1/2020</t>
  </si>
  <si>
    <t>February</t>
  </si>
  <si>
    <t>Residential Use/Customer</t>
  </si>
  <si>
    <t>Non-Residential Use/Customer</t>
  </si>
  <si>
    <t>Test Year Norm Residential Use/Customer</t>
  </si>
  <si>
    <t>Test Year Norm Non-Residential Use/Customer</t>
  </si>
  <si>
    <t>Residential Variance from Norm</t>
  </si>
  <si>
    <t>Non-Residential Variance from Norm</t>
  </si>
  <si>
    <t>March</t>
  </si>
  <si>
    <t>Ö</t>
  </si>
  <si>
    <t>April</t>
  </si>
  <si>
    <t>Customers</t>
  </si>
  <si>
    <t>Usage</t>
  </si>
  <si>
    <t>Fixed Charge Revenue</t>
  </si>
  <si>
    <t>Adder Schedule Revenue</t>
  </si>
  <si>
    <t>Other Revenue</t>
  </si>
  <si>
    <t>Total Revenue</t>
  </si>
  <si>
    <t>Report Total</t>
  </si>
  <si>
    <t>Residential Total</t>
  </si>
  <si>
    <t>Non-Residential Total</t>
  </si>
  <si>
    <t>New Customer Usage (Therms)</t>
  </si>
  <si>
    <t>Actual/Test Year Existing Customers</t>
  </si>
  <si>
    <t>Actual Usage /Test Year Existing</t>
  </si>
  <si>
    <t>Actual Base Rate Revenue / Test Year Existing</t>
  </si>
  <si>
    <t>Actual Fixed Charge Revenue / Test Year Existing</t>
  </si>
  <si>
    <t>Attachment 4, Page 3</t>
  </si>
  <si>
    <t>Test Year Existing Customers</t>
  </si>
  <si>
    <t>Actual Usage (Therms) /Test Year Existing</t>
  </si>
  <si>
    <t>Summarize New Customer Report</t>
  </si>
  <si>
    <r>
      <rPr>
        <sz val="10"/>
        <color rgb="FFFF0000"/>
        <rFont val="Times New Roman"/>
        <family val="1"/>
      </rPr>
      <t>New</t>
    </r>
    <r>
      <rPr>
        <sz val="10"/>
        <color theme="1"/>
        <rFont val="Times New Roman"/>
        <family val="1"/>
      </rPr>
      <t xml:space="preserve"> 
4/1/2020</t>
    </r>
  </si>
  <si>
    <t>Sch 194</t>
  </si>
  <si>
    <r>
      <rPr>
        <sz val="10"/>
        <color rgb="FFFF0000"/>
        <rFont val="Times New Roman"/>
        <family val="1"/>
      </rPr>
      <t>Updated</t>
    </r>
    <r>
      <rPr>
        <sz val="10"/>
        <color theme="1"/>
        <rFont val="Times New Roman"/>
        <family val="1"/>
      </rPr>
      <t xml:space="preserve"> 
4/1/2021</t>
    </r>
    <r>
      <rPr>
        <sz val="11"/>
        <color theme="1"/>
        <rFont val="Calibri"/>
        <family val="2"/>
        <scheme val="minor"/>
      </rPr>
      <t/>
    </r>
  </si>
  <si>
    <t xml:space="preserve"> Sch 194</t>
  </si>
  <si>
    <t>Attachment 4, Page 1</t>
  </si>
  <si>
    <t>Test Year # of Customers 12 ME12.2018</t>
  </si>
  <si>
    <t>Attachment 4, Page 2</t>
  </si>
  <si>
    <t>Washington Docket No. UG-190335  2018 Compliance Filing</t>
  </si>
  <si>
    <t xml:space="preserve">  -UG-190335Decoupled RPC</t>
  </si>
  <si>
    <t xml:space="preserve">  -UG-190335 Decoupled RPC</t>
  </si>
  <si>
    <t xml:space="preserve">**Rate Schedules 111, 112, 116, 131.  </t>
  </si>
  <si>
    <t>Attachment 4, Page 4</t>
  </si>
  <si>
    <t xml:space="preserve">
4/1/2020</t>
  </si>
  <si>
    <t>June</t>
  </si>
  <si>
    <t>UG- 200499 filing</t>
  </si>
  <si>
    <t>Norm Billed Rev $000s</t>
  </si>
  <si>
    <t>Approved Schedule 175 Rate</t>
  </si>
  <si>
    <t>GSFM Jul MidMonth_(07 14 20 pricing)_v2 GRC Update</t>
  </si>
  <si>
    <t>July</t>
  </si>
  <si>
    <t>8/1/2020 rate</t>
  </si>
  <si>
    <t>August</t>
  </si>
  <si>
    <t>UG-200499</t>
  </si>
  <si>
    <t>First of Year Workbook Prep</t>
  </si>
  <si>
    <t>Monthly Journal Prep</t>
  </si>
  <si>
    <t>GRC Effective Rate Change</t>
  </si>
  <si>
    <r>
      <t xml:space="preserve">WA Schedule 175 </t>
    </r>
    <r>
      <rPr>
        <b/>
        <sz val="10"/>
        <color theme="1"/>
        <rFont val="Times New Roman"/>
        <family val="1"/>
      </rPr>
      <t>2019 Deferral</t>
    </r>
    <r>
      <rPr>
        <sz val="10"/>
        <color theme="1"/>
        <rFont val="Times New Roman"/>
        <family val="1"/>
      </rPr>
      <t xml:space="preserve"> Decoupling Mechanism Amortization</t>
    </r>
  </si>
  <si>
    <t>September</t>
  </si>
  <si>
    <t>October</t>
  </si>
  <si>
    <t>November</t>
  </si>
  <si>
    <t>Purpose:</t>
  </si>
  <si>
    <t>Procedure:</t>
  </si>
  <si>
    <t>Separately for residential and non-residential, calculated YTD average customers and multiplied that by the sum of decoupled revenue by month  to calculate total decoupled revenue for the period based on YTD average customers (for 2020, the YTD was from April through December as the order was effective 4/1/2020). This was compared to the amount recorded using monthly actual customers and monthly decoupled revenue per customer. The difference was recorded with the monthly decoupled revenue for December 2020.</t>
  </si>
  <si>
    <t>Average Actual Customers (average of line 9 in Deferral Calc for April-Dec 2020)</t>
  </si>
  <si>
    <t>Sum of Decoupled Revenue (sum of line 10 in Deferral Calc for April-Dec 2020)</t>
  </si>
  <si>
    <t>Total Decoupled Revenue using Average Actual Customers</t>
  </si>
  <si>
    <t>Less April - November Decoupled Revenue (sum of line 11 in Deferral Calc for April-Nov 2020)</t>
  </si>
  <si>
    <t>Decoupled Revenue to record for December to reflect true-up</t>
  </si>
  <si>
    <t>December Actual Customers (line 9, column n in Deferral Calc)</t>
  </si>
  <si>
    <t>December Decoupled Revenue per Customer (line 10, column n in Deferral Calc)</t>
  </si>
  <si>
    <t>Total Decoupled Revenue for December using monthly actuals</t>
  </si>
  <si>
    <t>Net increase/(decrease) to Decoupled Revenue due to Average Calculation</t>
  </si>
  <si>
    <t>Average Actual Customers (average of line 33 in Deferral Calc for April-Dec 2020)</t>
  </si>
  <si>
    <t>Sum of Decoupled Revenue (sum of line 34 in Deferral Calc for April-Dec 2020)</t>
  </si>
  <si>
    <t>Less April - November Decoupled Revenue (sum of line 35 in Deferral Calc for April-Nov 2020)</t>
  </si>
  <si>
    <t>December Actual Customers (line 33, column n in Deferral Calc)</t>
  </si>
  <si>
    <t>December Decoupled Revenue per Customer (line 34, column n in Deferral Calc)</t>
  </si>
  <si>
    <t>A</t>
  </si>
  <si>
    <r>
      <rPr>
        <b/>
        <sz val="10"/>
        <color rgb="FFFF0000"/>
        <rFont val="Times New Roman"/>
        <family val="1"/>
      </rPr>
      <t>A</t>
    </r>
    <r>
      <rPr>
        <b/>
        <sz val="10"/>
        <color theme="1"/>
        <rFont val="Times New Roman"/>
        <family val="1"/>
      </rPr>
      <t xml:space="preserve"> - For December only, see Annual Adjustment workpaper for decoupled revenue calculation.</t>
    </r>
  </si>
  <si>
    <t>As required by UG-190335 (UE-190222, consolidated) paragraph 111, the Company is required to calculate decoupled revenue using YTD average customers, compare to what was recorded using monthly customer counts, and record the difference so that the annual decoupled revenue is based on YTD average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</si>
</sst>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409]mmm\-yy;@"/>
    <numFmt numFmtId="168" formatCode="0.0%"/>
    <numFmt numFmtId="169" formatCode="0.000000"/>
    <numFmt numFmtId="170" formatCode="&quot;$&quot;#,##0.00"/>
    <numFmt numFmtId="171" formatCode="mmm\ yy"/>
    <numFmt numFmtId="172" formatCode="0.00000"/>
    <numFmt numFmtId="173" formatCode="_(* #,##0.00000_);_(* \(#,##0.00000\);_(* &quot;-&quot;??_);_(@_)"/>
  </numFmts>
  <fonts count="53" x14ac:knownFonts="1">
    <font>
      <sz val="11"/>
      <color theme="1"/>
      <name val="Calibri"/>
      <family val="2"/>
      <scheme val="minor"/>
    </font>
    <font>
      <sz val="11"/>
      <color theme="1"/>
      <name val="Calibri"/>
      <family val="2"/>
      <scheme val="minor"/>
    </font>
    <font>
      <sz val="10"/>
      <color theme="1"/>
      <name val="Calibri"/>
      <family val="2"/>
    </font>
    <font>
      <b/>
      <sz val="12"/>
      <name val="Times New Roman"/>
      <family val="1"/>
    </font>
    <font>
      <b/>
      <sz val="12"/>
      <color theme="1"/>
      <name val="Times New Roman"/>
      <family val="1"/>
    </font>
    <font>
      <sz val="12"/>
      <color theme="1"/>
      <name val="Times New Roman"/>
      <family val="1"/>
    </font>
    <font>
      <sz val="11"/>
      <name val="Times New Roman"/>
      <family val="1"/>
    </font>
    <font>
      <sz val="12"/>
      <name val="Times New Roman"/>
      <family val="1"/>
    </font>
    <font>
      <b/>
      <sz val="14"/>
      <color theme="1"/>
      <name val="Calibri"/>
      <family val="2"/>
      <scheme val="minor"/>
    </font>
    <font>
      <sz val="14"/>
      <color theme="1"/>
      <name val="Calibri"/>
      <family val="2"/>
      <scheme val="minor"/>
    </font>
    <font>
      <b/>
      <sz val="10"/>
      <name val="Arial"/>
      <family val="2"/>
    </font>
    <font>
      <sz val="10"/>
      <name val="Arial"/>
      <family val="2"/>
    </font>
    <font>
      <b/>
      <sz val="14"/>
      <name val="Times New Roman"/>
      <family val="1"/>
    </font>
    <font>
      <sz val="10"/>
      <color theme="1"/>
      <name val="Times New Roman"/>
      <family val="1"/>
    </font>
    <font>
      <b/>
      <sz val="10"/>
      <name val="Times New Roman"/>
      <family val="1"/>
    </font>
    <font>
      <b/>
      <i/>
      <u/>
      <sz val="10"/>
      <color theme="1"/>
      <name val="Times New Roman"/>
      <family val="1"/>
    </font>
    <font>
      <b/>
      <u/>
      <sz val="10"/>
      <color theme="1"/>
      <name val="Times New Roman"/>
      <family val="1"/>
    </font>
    <font>
      <i/>
      <u/>
      <sz val="10"/>
      <color theme="1"/>
      <name val="Times New Roman"/>
      <family val="1"/>
    </font>
    <font>
      <sz val="11"/>
      <color theme="1"/>
      <name val="Times New Roman"/>
      <family val="1"/>
    </font>
    <font>
      <sz val="10"/>
      <name val="Times New Roman"/>
      <family val="1"/>
    </font>
    <font>
      <sz val="11"/>
      <color theme="1"/>
      <name val="Calibri"/>
      <family val="2"/>
    </font>
    <font>
      <b/>
      <sz val="8"/>
      <color rgb="FF000000"/>
      <name val="Tahoma"/>
      <family val="2"/>
    </font>
    <font>
      <sz val="8"/>
      <color rgb="FF000000"/>
      <name val="Tahoma"/>
      <family val="2"/>
    </font>
    <font>
      <b/>
      <sz val="11"/>
      <name val="Times New Roman"/>
      <family val="1"/>
    </font>
    <font>
      <b/>
      <sz val="11"/>
      <color theme="1"/>
      <name val="Times New Roman"/>
      <family val="1"/>
    </font>
    <font>
      <b/>
      <sz val="9"/>
      <name val="Times New Roman"/>
      <family val="1"/>
    </font>
    <font>
      <b/>
      <sz val="10"/>
      <color indexed="48"/>
      <name val="Times New Roman"/>
      <family val="1"/>
    </font>
    <font>
      <sz val="10"/>
      <color indexed="48"/>
      <name val="Times New Roman"/>
      <family val="1"/>
    </font>
    <font>
      <sz val="10"/>
      <color indexed="12"/>
      <name val="Times New Roman"/>
      <family val="1"/>
    </font>
    <font>
      <i/>
      <sz val="10"/>
      <name val="Times New Roman"/>
      <family val="1"/>
    </font>
    <font>
      <i/>
      <sz val="9"/>
      <name val="Times New Roman"/>
      <family val="1"/>
    </font>
    <font>
      <b/>
      <sz val="11"/>
      <color theme="1"/>
      <name val="Calibri"/>
      <family val="2"/>
      <scheme val="minor"/>
    </font>
    <font>
      <b/>
      <sz val="10"/>
      <color theme="1"/>
      <name val="Times New Roman"/>
      <family val="1"/>
    </font>
    <font>
      <sz val="10"/>
      <color rgb="FF3333FF"/>
      <name val="Times New Roman"/>
      <family val="1"/>
    </font>
    <font>
      <sz val="10"/>
      <name val="Calibri"/>
      <family val="2"/>
    </font>
    <font>
      <sz val="11"/>
      <color rgb="FF3333FF"/>
      <name val="Calibri"/>
      <family val="2"/>
      <scheme val="minor"/>
    </font>
    <font>
      <sz val="11"/>
      <name val="Calibri"/>
      <family val="2"/>
    </font>
    <font>
      <sz val="11"/>
      <color rgb="FFFFC000"/>
      <name val="Calibri"/>
      <family val="2"/>
      <scheme val="minor"/>
    </font>
    <font>
      <sz val="11"/>
      <name val="Calibri"/>
      <family val="2"/>
      <scheme val="minor"/>
    </font>
    <font>
      <sz val="11"/>
      <color theme="9" tint="-0.249977111117893"/>
      <name val="Calibri"/>
      <family val="2"/>
    </font>
    <font>
      <b/>
      <sz val="9"/>
      <color indexed="81"/>
      <name val="Tahoma"/>
      <family val="2"/>
    </font>
    <font>
      <sz val="9"/>
      <color indexed="81"/>
      <name val="Tahoma"/>
      <family val="2"/>
    </font>
    <font>
      <sz val="10"/>
      <color rgb="FF3333CC"/>
      <name val="Times New Roman"/>
      <family val="1"/>
    </font>
    <font>
      <sz val="10"/>
      <color rgb="FF0000CC"/>
      <name val="Times New Roman"/>
      <family val="1"/>
    </font>
    <font>
      <sz val="10"/>
      <color rgb="FF0000FF"/>
      <name val="Times New Roman"/>
      <family val="1"/>
    </font>
    <font>
      <sz val="11"/>
      <color rgb="FFC00000"/>
      <name val="Calibri"/>
      <family val="2"/>
      <scheme val="minor"/>
    </font>
    <font>
      <sz val="11"/>
      <color rgb="FF0000FF"/>
      <name val="Calibri"/>
      <family val="2"/>
      <scheme val="minor"/>
    </font>
    <font>
      <sz val="10"/>
      <color theme="1"/>
      <name val="Symbol"/>
      <family val="1"/>
      <charset val="2"/>
    </font>
    <font>
      <sz val="10"/>
      <color rgb="FFFF0000"/>
      <name val="Times New Roman"/>
      <family val="1"/>
    </font>
    <font>
      <sz val="10"/>
      <color theme="1"/>
      <name val="Calibri"/>
      <family val="2"/>
      <scheme val="minor"/>
    </font>
    <font>
      <b/>
      <sz val="11"/>
      <color rgb="FF0000FF"/>
      <name val="Calibri"/>
      <family val="2"/>
      <scheme val="minor"/>
    </font>
    <font>
      <sz val="10"/>
      <color theme="1"/>
      <name val="Tahoma"/>
      <family val="2"/>
    </font>
    <font>
      <b/>
      <sz val="10"/>
      <color rgb="FFFF0000"/>
      <name val="Times New Roman"/>
      <family val="1"/>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22">
    <border>
      <left/>
      <right/>
      <top/>
      <bottom/>
      <diagonal/>
    </border>
    <border>
      <left style="thick">
        <color auto="1"/>
      </left>
      <right/>
      <top/>
      <bottom/>
      <diagonal/>
    </border>
    <border>
      <left/>
      <right/>
      <top/>
      <bottom style="thin">
        <color indexed="64"/>
      </bottom>
      <diagonal/>
    </border>
    <border>
      <left style="thick">
        <color auto="1"/>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FF0000"/>
      </left>
      <right/>
      <top/>
      <bottom/>
      <diagonal/>
    </border>
    <border>
      <left style="thick">
        <color rgb="FFFF0000"/>
      </left>
      <right/>
      <top/>
      <bottom style="thin">
        <color indexed="64"/>
      </bottom>
      <diagonal/>
    </border>
    <border>
      <left style="thick">
        <color rgb="FFFF0000"/>
      </left>
      <right/>
      <top style="thin">
        <color indexed="64"/>
      </top>
      <bottom/>
      <diagonal/>
    </border>
    <border>
      <left/>
      <right/>
      <top style="medium">
        <color indexed="64"/>
      </top>
      <bottom/>
      <diagonal/>
    </border>
    <border>
      <left/>
      <right/>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0" fillId="3" borderId="2" applyNumberFormat="0">
      <alignment horizontal="center" vertical="center" wrapText="1"/>
    </xf>
    <xf numFmtId="44" fontId="11" fillId="0" borderId="0" applyFont="0" applyFill="0" applyBorder="0" applyAlignment="0" applyProtection="0"/>
    <xf numFmtId="43" fontId="2" fillId="0" borderId="0" applyFont="0" applyFill="0" applyBorder="0" applyAlignment="0" applyProtection="0"/>
    <xf numFmtId="0" fontId="10" fillId="3" borderId="2" applyNumberFormat="0">
      <alignment horizontal="center" vertical="center" wrapText="1"/>
    </xf>
    <xf numFmtId="9" fontId="2" fillId="0" borderId="0" applyFont="0" applyFill="0" applyBorder="0" applyAlignment="0" applyProtection="0"/>
    <xf numFmtId="44" fontId="2" fillId="0" borderId="0" applyFont="0" applyFill="0" applyBorder="0" applyAlignment="0" applyProtection="0"/>
    <xf numFmtId="0" fontId="11" fillId="0" borderId="0"/>
    <xf numFmtId="0" fontId="5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3">
    <xf numFmtId="0" fontId="0" fillId="0" borderId="0" xfId="0"/>
    <xf numFmtId="0" fontId="4" fillId="2" borderId="0" xfId="0" applyFont="1" applyFill="1" applyAlignment="1">
      <alignment horizontal="center"/>
    </xf>
    <xf numFmtId="0" fontId="5" fillId="2" borderId="0" xfId="0" applyFont="1" applyFill="1"/>
    <xf numFmtId="0" fontId="6" fillId="2" borderId="0" xfId="0" applyFont="1" applyFill="1" applyBorder="1" applyAlignment="1">
      <alignment horizont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5" fillId="2" borderId="1" xfId="0" applyFont="1" applyFill="1" applyBorder="1"/>
    <xf numFmtId="0" fontId="0" fillId="2" borderId="0" xfId="0" applyFill="1" applyBorder="1"/>
    <xf numFmtId="164" fontId="5" fillId="2" borderId="0" xfId="2" applyNumberFormat="1" applyFont="1" applyFill="1"/>
    <xf numFmtId="164" fontId="5" fillId="0" borderId="0" xfId="2" applyNumberFormat="1" applyFont="1" applyFill="1"/>
    <xf numFmtId="164" fontId="5" fillId="0" borderId="1" xfId="2" applyNumberFormat="1" applyFont="1" applyFill="1" applyBorder="1"/>
    <xf numFmtId="164" fontId="5" fillId="0" borderId="0" xfId="2" applyNumberFormat="1" applyFont="1" applyFill="1" applyBorder="1"/>
    <xf numFmtId="0" fontId="7" fillId="2" borderId="0" xfId="0" applyFont="1" applyFill="1"/>
    <xf numFmtId="164" fontId="5" fillId="2" borderId="0" xfId="0" applyNumberFormat="1" applyFont="1" applyFill="1"/>
    <xf numFmtId="164" fontId="5" fillId="2" borderId="1" xfId="0" applyNumberFormat="1" applyFont="1" applyFill="1" applyBorder="1"/>
    <xf numFmtId="164" fontId="5" fillId="2" borderId="0" xfId="0" applyNumberFormat="1" applyFont="1" applyFill="1" applyBorder="1"/>
    <xf numFmtId="165" fontId="5" fillId="2" borderId="0" xfId="0" applyNumberFormat="1" applyFont="1" applyFill="1"/>
    <xf numFmtId="165" fontId="5" fillId="2" borderId="0" xfId="1" applyNumberFormat="1" applyFont="1" applyFill="1"/>
    <xf numFmtId="165" fontId="5" fillId="2" borderId="1" xfId="1" applyNumberFormat="1" applyFont="1" applyFill="1" applyBorder="1"/>
    <xf numFmtId="165" fontId="5" fillId="2" borderId="0" xfId="1" applyNumberFormat="1" applyFont="1" applyFill="1" applyBorder="1"/>
    <xf numFmtId="0" fontId="5" fillId="0" borderId="0" xfId="0" applyFont="1" applyFill="1"/>
    <xf numFmtId="166" fontId="5" fillId="0" borderId="0" xfId="2" applyNumberFormat="1" applyFont="1" applyFill="1"/>
    <xf numFmtId="0" fontId="0" fillId="0" borderId="1" xfId="0" applyBorder="1"/>
    <xf numFmtId="0" fontId="0" fillId="0" borderId="0" xfId="0" applyBorder="1"/>
    <xf numFmtId="37" fontId="5" fillId="2" borderId="0" xfId="0" applyNumberFormat="1" applyFont="1" applyFill="1"/>
    <xf numFmtId="7" fontId="5" fillId="0" borderId="0" xfId="2" applyNumberFormat="1" applyFont="1" applyFill="1"/>
    <xf numFmtId="7" fontId="5" fillId="0" borderId="0" xfId="2" applyNumberFormat="1" applyFont="1" applyFill="1" applyAlignment="1">
      <alignment horizontal="center"/>
    </xf>
    <xf numFmtId="164" fontId="5" fillId="2" borderId="1" xfId="2" applyNumberFormat="1" applyFont="1" applyFill="1" applyBorder="1" applyAlignment="1">
      <alignment horizontal="center"/>
    </xf>
    <xf numFmtId="164" fontId="5" fillId="2" borderId="0" xfId="2" applyNumberFormat="1" applyFont="1" applyFill="1" applyAlignment="1">
      <alignment horizontal="center"/>
    </xf>
    <xf numFmtId="0" fontId="5" fillId="0" borderId="0" xfId="0" applyFont="1"/>
    <xf numFmtId="0" fontId="0" fillId="2" borderId="1" xfId="0" applyFill="1" applyBorder="1" applyAlignment="1">
      <alignment vertical="center"/>
    </xf>
    <xf numFmtId="0" fontId="0" fillId="2" borderId="0" xfId="0" applyFill="1" applyBorder="1" applyAlignment="1">
      <alignment vertical="center"/>
    </xf>
    <xf numFmtId="0" fontId="5" fillId="2" borderId="0" xfId="0" applyFont="1" applyFill="1" applyAlignment="1">
      <alignment horizontal="center"/>
    </xf>
    <xf numFmtId="44" fontId="0" fillId="0" borderId="0" xfId="0" applyNumberFormat="1"/>
    <xf numFmtId="7" fontId="5" fillId="2" borderId="0" xfId="2" applyNumberFormat="1" applyFont="1" applyFill="1"/>
    <xf numFmtId="0" fontId="8" fillId="0" borderId="0" xfId="0" applyFont="1"/>
    <xf numFmtId="0" fontId="9" fillId="0" borderId="0" xfId="0" applyFont="1"/>
    <xf numFmtId="164" fontId="0" fillId="0" borderId="0" xfId="0" applyNumberFormat="1"/>
    <xf numFmtId="166" fontId="0" fillId="0" borderId="0" xfId="0" applyNumberFormat="1"/>
    <xf numFmtId="0" fontId="5" fillId="2" borderId="0" xfId="4" applyFont="1" applyFill="1"/>
    <xf numFmtId="41" fontId="3" fillId="2" borderId="2" xfId="5" applyNumberFormat="1" applyFont="1" applyFill="1" applyBorder="1">
      <alignment horizontal="center" vertical="center" wrapText="1"/>
    </xf>
    <xf numFmtId="0" fontId="5" fillId="2" borderId="2" xfId="4" applyFont="1" applyFill="1" applyBorder="1"/>
    <xf numFmtId="0" fontId="5" fillId="2" borderId="0" xfId="4" applyFont="1" applyFill="1" applyAlignment="1">
      <alignment horizontal="center"/>
    </xf>
    <xf numFmtId="0" fontId="5" fillId="2" borderId="0" xfId="4" applyFont="1" applyFill="1" applyAlignment="1">
      <alignment horizontal="left"/>
    </xf>
    <xf numFmtId="164" fontId="5" fillId="2" borderId="0" xfId="6" applyNumberFormat="1" applyFont="1" applyFill="1"/>
    <xf numFmtId="165" fontId="5" fillId="2" borderId="0" xfId="7" applyNumberFormat="1" applyFont="1" applyFill="1" applyBorder="1"/>
    <xf numFmtId="44" fontId="5" fillId="2" borderId="0" xfId="6" applyNumberFormat="1" applyFont="1" applyFill="1"/>
    <xf numFmtId="0" fontId="5" fillId="2" borderId="0" xfId="4" quotePrefix="1" applyFont="1" applyFill="1" applyAlignment="1">
      <alignment horizontal="left"/>
    </xf>
    <xf numFmtId="164" fontId="5" fillId="2" borderId="0" xfId="4" applyNumberFormat="1" applyFont="1" applyFill="1"/>
    <xf numFmtId="0" fontId="5" fillId="0" borderId="0" xfId="0" applyFont="1" applyAlignment="1">
      <alignment horizontal="right"/>
    </xf>
    <xf numFmtId="164" fontId="5" fillId="0" borderId="0" xfId="2" applyNumberFormat="1" applyFont="1"/>
    <xf numFmtId="164" fontId="5" fillId="0" borderId="4" xfId="2" applyNumberFormat="1" applyFont="1" applyBorder="1"/>
    <xf numFmtId="164" fontId="0" fillId="0" borderId="0" xfId="2" applyNumberFormat="1" applyFont="1"/>
    <xf numFmtId="165" fontId="0" fillId="0" borderId="0" xfId="1" applyNumberFormat="1" applyFont="1"/>
    <xf numFmtId="0" fontId="13" fillId="2" borderId="0" xfId="4" applyFont="1" applyFill="1"/>
    <xf numFmtId="0" fontId="13" fillId="2" borderId="0" xfId="4" applyFont="1" applyFill="1" applyAlignment="1">
      <alignment horizontal="center"/>
    </xf>
    <xf numFmtId="41" fontId="14" fillId="2" borderId="2" xfId="8" applyNumberFormat="1" applyFont="1" applyFill="1" applyBorder="1">
      <alignment horizontal="center" vertical="center" wrapText="1"/>
    </xf>
    <xf numFmtId="0" fontId="13" fillId="2" borderId="2" xfId="4" applyFont="1" applyFill="1" applyBorder="1"/>
    <xf numFmtId="41" fontId="14" fillId="2" borderId="2" xfId="8" applyNumberFormat="1" applyFont="1" applyFill="1" applyBorder="1" applyAlignment="1">
      <alignment horizontal="center" vertical="center" wrapText="1"/>
    </xf>
    <xf numFmtId="167" fontId="14" fillId="2" borderId="2" xfId="8" applyNumberFormat="1" applyFont="1" applyFill="1" applyBorder="1">
      <alignment horizontal="center" vertical="center" wrapText="1"/>
    </xf>
    <xf numFmtId="0" fontId="15" fillId="2" borderId="0" xfId="4" applyFont="1" applyFill="1" applyAlignment="1">
      <alignment horizontal="left"/>
    </xf>
    <xf numFmtId="0" fontId="16" fillId="2" borderId="0" xfId="4" applyFont="1" applyFill="1"/>
    <xf numFmtId="164" fontId="13" fillId="2" borderId="0" xfId="6" applyNumberFormat="1" applyFont="1" applyFill="1"/>
    <xf numFmtId="3" fontId="13" fillId="2" borderId="0" xfId="4" applyNumberFormat="1" applyFont="1" applyFill="1"/>
    <xf numFmtId="0" fontId="17" fillId="2" borderId="0" xfId="4" applyFont="1" applyFill="1"/>
    <xf numFmtId="0" fontId="13" fillId="2" borderId="0" xfId="4" quotePrefix="1" applyFont="1" applyFill="1" applyAlignment="1">
      <alignment horizontal="left"/>
    </xf>
    <xf numFmtId="165" fontId="18" fillId="0" borderId="0" xfId="0" applyNumberFormat="1" applyFont="1"/>
    <xf numFmtId="3" fontId="19" fillId="2" borderId="0" xfId="4" applyNumberFormat="1" applyFont="1" applyFill="1"/>
    <xf numFmtId="0" fontId="19" fillId="2" borderId="0" xfId="4" quotePrefix="1" applyFont="1" applyFill="1" applyAlignment="1">
      <alignment horizontal="center"/>
    </xf>
    <xf numFmtId="10" fontId="19" fillId="2" borderId="0" xfId="9" applyNumberFormat="1" applyFont="1" applyFill="1"/>
    <xf numFmtId="0" fontId="19" fillId="2" borderId="0" xfId="4" applyFont="1" applyFill="1" applyAlignment="1">
      <alignment horizontal="center"/>
    </xf>
    <xf numFmtId="0" fontId="19" fillId="2" borderId="0" xfId="4" applyFont="1" applyFill="1"/>
    <xf numFmtId="10" fontId="13" fillId="2" borderId="0" xfId="9" applyNumberFormat="1" applyFont="1" applyFill="1"/>
    <xf numFmtId="44" fontId="13" fillId="2" borderId="0" xfId="10" applyFont="1" applyFill="1" applyAlignment="1">
      <alignment horizontal="center"/>
    </xf>
    <xf numFmtId="44" fontId="13" fillId="2" borderId="0" xfId="4" applyNumberFormat="1" applyFont="1" applyFill="1"/>
    <xf numFmtId="165" fontId="13" fillId="2" borderId="0" xfId="7" applyNumberFormat="1" applyFont="1" applyFill="1" applyAlignment="1">
      <alignment horizontal="center"/>
    </xf>
    <xf numFmtId="0" fontId="18" fillId="0" borderId="0" xfId="0" applyFont="1"/>
    <xf numFmtId="0" fontId="20" fillId="0" borderId="0" xfId="0" applyFont="1" applyFill="1" applyBorder="1"/>
    <xf numFmtId="17" fontId="20" fillId="0" borderId="0" xfId="0" applyNumberFormat="1" applyFont="1" applyFill="1" applyBorder="1" applyAlignment="1">
      <alignment horizontal="center"/>
    </xf>
    <xf numFmtId="0" fontId="20" fillId="0" borderId="0" xfId="0" applyFont="1" applyFill="1" applyBorder="1" applyAlignment="1">
      <alignment horizontal="center"/>
    </xf>
    <xf numFmtId="165" fontId="20" fillId="0" borderId="0" xfId="1" applyNumberFormat="1" applyFont="1" applyFill="1" applyBorder="1"/>
    <xf numFmtId="165" fontId="20" fillId="0" borderId="0" xfId="0" applyNumberFormat="1" applyFont="1" applyFill="1" applyBorder="1"/>
    <xf numFmtId="165" fontId="20" fillId="0" borderId="4" xfId="1" applyNumberFormat="1" applyFont="1" applyFill="1" applyBorder="1"/>
    <xf numFmtId="165" fontId="20" fillId="0" borderId="4" xfId="0" applyNumberFormat="1" applyFont="1" applyFill="1" applyBorder="1"/>
    <xf numFmtId="0" fontId="0" fillId="0" borderId="0" xfId="0" applyAlignment="1">
      <alignment horizontal="center"/>
    </xf>
    <xf numFmtId="165" fontId="0" fillId="0" borderId="0" xfId="0" applyNumberFormat="1"/>
    <xf numFmtId="165" fontId="0" fillId="0" borderId="4" xfId="0" applyNumberFormat="1" applyBorder="1"/>
    <xf numFmtId="168" fontId="20" fillId="0" borderId="0" xfId="3" applyNumberFormat="1" applyFont="1" applyFill="1" applyBorder="1"/>
    <xf numFmtId="168" fontId="20" fillId="0" borderId="0" xfId="0" applyNumberFormat="1" applyFont="1" applyFill="1" applyBorder="1"/>
    <xf numFmtId="0" fontId="25" fillId="0" borderId="0" xfId="0" applyFont="1" applyBorder="1" applyAlignment="1">
      <alignment horizontal="center"/>
    </xf>
    <xf numFmtId="0" fontId="19" fillId="0" borderId="0" xfId="0" applyFont="1"/>
    <xf numFmtId="169" fontId="26" fillId="0" borderId="0" xfId="0" applyNumberFormat="1" applyFont="1" applyAlignment="1">
      <alignment horizontal="center"/>
    </xf>
    <xf numFmtId="169" fontId="19" fillId="0" borderId="0" xfId="0" applyNumberFormat="1" applyFont="1"/>
    <xf numFmtId="169" fontId="14" fillId="0" borderId="0" xfId="0" applyNumberFormat="1" applyFont="1"/>
    <xf numFmtId="0" fontId="25" fillId="0" borderId="2" xfId="0" applyFont="1" applyBorder="1" applyAlignment="1">
      <alignment horizontal="center"/>
    </xf>
    <xf numFmtId="0" fontId="19" fillId="0" borderId="0" xfId="0" applyFont="1" applyAlignment="1">
      <alignment horizontal="center"/>
    </xf>
    <xf numFmtId="0" fontId="25" fillId="0" borderId="0" xfId="0" applyFont="1" applyAlignment="1">
      <alignment horizontal="center"/>
    </xf>
    <xf numFmtId="169" fontId="19" fillId="0" borderId="0" xfId="11" applyNumberFormat="1" applyFont="1"/>
    <xf numFmtId="169" fontId="27" fillId="0" borderId="0" xfId="11" applyNumberFormat="1" applyFont="1"/>
    <xf numFmtId="169" fontId="28" fillId="0" borderId="0" xfId="0" applyNumberFormat="1" applyFont="1"/>
    <xf numFmtId="169" fontId="19" fillId="0" borderId="5" xfId="0" applyNumberFormat="1" applyFont="1" applyBorder="1"/>
    <xf numFmtId="10" fontId="27" fillId="0" borderId="0" xfId="0" applyNumberFormat="1" applyFont="1"/>
    <xf numFmtId="0" fontId="29" fillId="0" borderId="0" xfId="0" applyFont="1"/>
    <xf numFmtId="169" fontId="30" fillId="0" borderId="0" xfId="0" applyNumberFormat="1" applyFont="1"/>
    <xf numFmtId="0" fontId="4" fillId="2" borderId="0" xfId="4" applyFont="1" applyFill="1" applyAlignment="1">
      <alignment horizontal="center"/>
    </xf>
    <xf numFmtId="0" fontId="2" fillId="0" borderId="0" xfId="4"/>
    <xf numFmtId="0" fontId="4" fillId="2" borderId="0" xfId="4" quotePrefix="1" applyFont="1" applyFill="1" applyAlignment="1">
      <alignment horizontal="center"/>
    </xf>
    <xf numFmtId="0" fontId="32" fillId="2" borderId="0" xfId="4" applyFont="1" applyFill="1"/>
    <xf numFmtId="0" fontId="32" fillId="2" borderId="2" xfId="4" applyFont="1" applyFill="1" applyBorder="1" applyAlignment="1">
      <alignment horizontal="center" vertical="center" wrapText="1"/>
    </xf>
    <xf numFmtId="0" fontId="32" fillId="2" borderId="2" xfId="4" applyFont="1" applyFill="1" applyBorder="1" applyAlignment="1">
      <alignment vertical="center"/>
    </xf>
    <xf numFmtId="0" fontId="32" fillId="2" borderId="2" xfId="4" applyFont="1" applyFill="1" applyBorder="1" applyAlignment="1">
      <alignment horizontal="center" vertical="center"/>
    </xf>
    <xf numFmtId="167" fontId="32" fillId="2" borderId="2" xfId="4" applyNumberFormat="1" applyFont="1" applyFill="1" applyBorder="1" applyAlignment="1">
      <alignment horizontal="center" vertical="center"/>
    </xf>
    <xf numFmtId="0" fontId="32" fillId="2" borderId="0" xfId="4" applyFont="1" applyFill="1" applyAlignment="1">
      <alignment horizontal="center"/>
    </xf>
    <xf numFmtId="165" fontId="33" fillId="2" borderId="0" xfId="7" applyNumberFormat="1" applyFont="1" applyFill="1"/>
    <xf numFmtId="165" fontId="19" fillId="2" borderId="0" xfId="7" applyNumberFormat="1" applyFont="1" applyFill="1"/>
    <xf numFmtId="0" fontId="13" fillId="0" borderId="0" xfId="4" applyFont="1" applyFill="1" applyAlignment="1">
      <alignment horizontal="center" vertical="center"/>
    </xf>
    <xf numFmtId="0" fontId="13" fillId="0" borderId="0" xfId="4" applyFont="1" applyFill="1" applyAlignment="1">
      <alignment horizontal="center" vertical="center" wrapText="1"/>
    </xf>
    <xf numFmtId="0" fontId="13" fillId="0" borderId="0" xfId="4" applyFont="1" applyFill="1" applyAlignment="1">
      <alignment horizontal="center" wrapText="1"/>
    </xf>
    <xf numFmtId="170" fontId="19" fillId="0" borderId="0" xfId="4" applyNumberFormat="1" applyFont="1" applyFill="1" applyAlignment="1">
      <alignment vertical="center"/>
    </xf>
    <xf numFmtId="164" fontId="19" fillId="2" borderId="0" xfId="4" applyNumberFormat="1" applyFont="1" applyFill="1"/>
    <xf numFmtId="165" fontId="19" fillId="2" borderId="0" xfId="4" applyNumberFormat="1" applyFont="1" applyFill="1"/>
    <xf numFmtId="0" fontId="13" fillId="2" borderId="0" xfId="4" applyFont="1" applyFill="1" applyAlignment="1">
      <alignment horizontal="left" wrapText="1"/>
    </xf>
    <xf numFmtId="164" fontId="33" fillId="2" borderId="0" xfId="2" applyNumberFormat="1" applyFont="1" applyFill="1"/>
    <xf numFmtId="164" fontId="19" fillId="2" borderId="0" xfId="2" applyNumberFormat="1" applyFont="1" applyFill="1"/>
    <xf numFmtId="170" fontId="19" fillId="2" borderId="0" xfId="4" applyNumberFormat="1" applyFont="1" applyFill="1" applyAlignment="1">
      <alignment vertical="center"/>
    </xf>
    <xf numFmtId="164" fontId="19" fillId="4" borderId="0" xfId="4" applyNumberFormat="1" applyFont="1" applyFill="1"/>
    <xf numFmtId="164" fontId="34" fillId="0" borderId="0" xfId="4" applyNumberFormat="1" applyFont="1"/>
    <xf numFmtId="0" fontId="13" fillId="0" borderId="0" xfId="4" applyFont="1" applyFill="1" applyAlignment="1">
      <alignment horizontal="center"/>
    </xf>
    <xf numFmtId="10" fontId="19" fillId="0" borderId="0" xfId="3" applyNumberFormat="1" applyFont="1" applyFill="1"/>
    <xf numFmtId="10" fontId="19" fillId="0" borderId="0" xfId="3" applyNumberFormat="1" applyFont="1" applyFill="1" applyBorder="1"/>
    <xf numFmtId="164" fontId="19" fillId="2" borderId="0" xfId="10" applyNumberFormat="1" applyFont="1" applyFill="1"/>
    <xf numFmtId="164" fontId="14" fillId="2" borderId="4" xfId="4" applyNumberFormat="1" applyFont="1" applyFill="1" applyBorder="1"/>
    <xf numFmtId="164" fontId="14" fillId="2" borderId="6" xfId="4" applyNumberFormat="1" applyFont="1" applyFill="1" applyBorder="1"/>
    <xf numFmtId="165" fontId="2" fillId="0" borderId="0" xfId="4" applyNumberFormat="1"/>
    <xf numFmtId="164" fontId="19" fillId="2" borderId="0" xfId="4" applyNumberFormat="1" applyFont="1" applyFill="1" applyAlignment="1">
      <alignment vertical="center"/>
    </xf>
    <xf numFmtId="0" fontId="13" fillId="2" borderId="0" xfId="4" applyFont="1" applyFill="1" applyAlignment="1">
      <alignment horizontal="left"/>
    </xf>
    <xf numFmtId="170" fontId="13" fillId="2" borderId="0" xfId="4" applyNumberFormat="1" applyFont="1" applyFill="1"/>
    <xf numFmtId="0" fontId="13" fillId="0" borderId="0" xfId="4" applyFont="1" applyFill="1"/>
    <xf numFmtId="164" fontId="34" fillId="0" borderId="0" xfId="4" applyNumberFormat="1" applyFont="1" applyFill="1"/>
    <xf numFmtId="0" fontId="32" fillId="0" borderId="0" xfId="4" applyFont="1" applyFill="1"/>
    <xf numFmtId="167" fontId="31" fillId="0" borderId="0" xfId="0" applyNumberFormat="1" applyFont="1"/>
    <xf numFmtId="44" fontId="0" fillId="0" borderId="0" xfId="0" applyNumberFormat="1" applyBorder="1"/>
    <xf numFmtId="0" fontId="13" fillId="0" borderId="7" xfId="4" applyFont="1" applyFill="1" applyBorder="1"/>
    <xf numFmtId="0" fontId="0" fillId="0" borderId="8" xfId="0" applyBorder="1"/>
    <xf numFmtId="0" fontId="13" fillId="0" borderId="9" xfId="4" applyFont="1" applyFill="1" applyBorder="1"/>
    <xf numFmtId="0" fontId="0" fillId="0" borderId="10" xfId="0" applyBorder="1"/>
    <xf numFmtId="0" fontId="13" fillId="0" borderId="11" xfId="4" applyFont="1" applyFill="1" applyBorder="1"/>
    <xf numFmtId="0" fontId="0" fillId="0" borderId="12" xfId="0" applyBorder="1"/>
    <xf numFmtId="0" fontId="0" fillId="0" borderId="10" xfId="0" applyFill="1" applyBorder="1"/>
    <xf numFmtId="0" fontId="0" fillId="0" borderId="12" xfId="0" applyFill="1" applyBorder="1"/>
    <xf numFmtId="0" fontId="0" fillId="0" borderId="0" xfId="0" applyFill="1"/>
    <xf numFmtId="44" fontId="36" fillId="0" borderId="0" xfId="0" applyNumberFormat="1" applyFont="1" applyFill="1" applyBorder="1"/>
    <xf numFmtId="0" fontId="0" fillId="0" borderId="13" xfId="0" applyBorder="1"/>
    <xf numFmtId="0" fontId="37" fillId="0" borderId="13" xfId="0" applyFont="1" applyBorder="1"/>
    <xf numFmtId="0" fontId="38" fillId="0" borderId="0" xfId="0" applyFont="1" applyBorder="1" applyAlignment="1">
      <alignment horizontal="center"/>
    </xf>
    <xf numFmtId="0" fontId="32" fillId="0" borderId="0" xfId="4" applyFont="1" applyFill="1" applyAlignment="1">
      <alignment horizontal="left"/>
    </xf>
    <xf numFmtId="44" fontId="35" fillId="0" borderId="0" xfId="0" applyNumberFormat="1" applyFont="1" applyFill="1"/>
    <xf numFmtId="44" fontId="38" fillId="0" borderId="0" xfId="0" applyNumberFormat="1" applyFont="1" applyFill="1"/>
    <xf numFmtId="44" fontId="39" fillId="0" borderId="0" xfId="0" applyNumberFormat="1" applyFont="1" applyFill="1" applyBorder="1"/>
    <xf numFmtId="44" fontId="0" fillId="0" borderId="0" xfId="0" applyNumberFormat="1" applyFill="1"/>
    <xf numFmtId="0" fontId="32" fillId="2" borderId="0" xfId="4" applyFont="1" applyFill="1" applyBorder="1"/>
    <xf numFmtId="0" fontId="13" fillId="2" borderId="0" xfId="4" applyFont="1" applyFill="1" applyBorder="1" applyAlignment="1">
      <alignment horizontal="center"/>
    </xf>
    <xf numFmtId="164" fontId="19" fillId="2" borderId="0" xfId="4" applyNumberFormat="1" applyFont="1" applyFill="1" applyBorder="1"/>
    <xf numFmtId="170" fontId="19" fillId="2" borderId="0" xfId="4" applyNumberFormat="1" applyFont="1" applyFill="1" applyBorder="1" applyAlignment="1">
      <alignment vertical="center"/>
    </xf>
    <xf numFmtId="164" fontId="19" fillId="2" borderId="0" xfId="10" applyNumberFormat="1" applyFont="1" applyFill="1" applyBorder="1"/>
    <xf numFmtId="0" fontId="19" fillId="2" borderId="0" xfId="4" applyFont="1" applyFill="1" applyBorder="1"/>
    <xf numFmtId="170" fontId="13" fillId="2" borderId="0" xfId="4" applyNumberFormat="1" applyFont="1" applyFill="1" applyBorder="1"/>
    <xf numFmtId="0" fontId="13" fillId="2" borderId="0" xfId="4" applyFont="1" applyFill="1" applyBorder="1"/>
    <xf numFmtId="167" fontId="31" fillId="0" borderId="0" xfId="0" applyNumberFormat="1" applyFont="1" applyBorder="1"/>
    <xf numFmtId="0" fontId="13" fillId="0" borderId="0" xfId="0" applyFont="1"/>
    <xf numFmtId="0" fontId="13" fillId="0" borderId="0" xfId="0" applyFont="1" applyAlignment="1">
      <alignment horizontal="right"/>
    </xf>
    <xf numFmtId="0" fontId="33" fillId="0" borderId="0" xfId="0" applyFont="1"/>
    <xf numFmtId="0" fontId="14" fillId="5" borderId="0" xfId="0" applyFont="1" applyFill="1"/>
    <xf numFmtId="0" fontId="13" fillId="5" borderId="0" xfId="0" applyFont="1" applyFill="1"/>
    <xf numFmtId="171" fontId="13" fillId="5" borderId="0" xfId="0" applyNumberFormat="1" applyFont="1" applyFill="1" applyAlignment="1">
      <alignment horizontal="center"/>
    </xf>
    <xf numFmtId="171" fontId="13" fillId="5" borderId="0" xfId="0" applyNumberFormat="1" applyFont="1" applyFill="1" applyAlignment="1">
      <alignment horizontal="center" wrapText="1"/>
    </xf>
    <xf numFmtId="0" fontId="13" fillId="0" borderId="0" xfId="0" applyFont="1" applyFill="1"/>
    <xf numFmtId="3" fontId="19" fillId="0" borderId="0" xfId="4" applyNumberFormat="1" applyFont="1" applyFill="1" applyAlignment="1">
      <alignment horizontal="left" indent="1"/>
    </xf>
    <xf numFmtId="165" fontId="42" fillId="0" borderId="0" xfId="1" applyNumberFormat="1" applyFont="1" applyFill="1"/>
    <xf numFmtId="165" fontId="43" fillId="0" borderId="0" xfId="1" applyNumberFormat="1" applyFont="1" applyFill="1"/>
    <xf numFmtId="165" fontId="13" fillId="0" borderId="0" xfId="0" applyNumberFormat="1" applyFont="1"/>
    <xf numFmtId="165" fontId="19" fillId="0" borderId="0" xfId="1" applyNumberFormat="1" applyFont="1" applyFill="1"/>
    <xf numFmtId="44" fontId="44" fillId="0" borderId="0" xfId="2" applyFont="1" applyFill="1"/>
    <xf numFmtId="165" fontId="19" fillId="0" borderId="0" xfId="1" applyNumberFormat="1" applyFont="1" applyFill="1" applyBorder="1"/>
    <xf numFmtId="172" fontId="19" fillId="0" borderId="0" xfId="0" applyNumberFormat="1" applyFont="1" applyFill="1"/>
    <xf numFmtId="44" fontId="13" fillId="0" borderId="0" xfId="2" applyFont="1" applyFill="1"/>
    <xf numFmtId="44" fontId="13" fillId="0" borderId="0" xfId="2" applyFont="1"/>
    <xf numFmtId="44" fontId="13" fillId="0" borderId="0" xfId="0" applyNumberFormat="1" applyFont="1"/>
    <xf numFmtId="165" fontId="13" fillId="0" borderId="0" xfId="1" applyNumberFormat="1" applyFont="1"/>
    <xf numFmtId="172" fontId="13" fillId="0" borderId="0" xfId="0" applyNumberFormat="1" applyFont="1" applyFill="1"/>
    <xf numFmtId="43" fontId="13" fillId="0" borderId="0" xfId="0" applyNumberFormat="1" applyFont="1"/>
    <xf numFmtId="9" fontId="13" fillId="0" borderId="0" xfId="3" applyFont="1"/>
    <xf numFmtId="0" fontId="19" fillId="0" borderId="0" xfId="0" applyFont="1" applyFill="1"/>
    <xf numFmtId="44" fontId="13" fillId="0" borderId="4" xfId="0" applyNumberFormat="1" applyFont="1" applyBorder="1"/>
    <xf numFmtId="165" fontId="13" fillId="0" borderId="4" xfId="1" applyNumberFormat="1" applyFont="1" applyBorder="1"/>
    <xf numFmtId="165" fontId="13" fillId="0" borderId="0" xfId="1" applyNumberFormat="1" applyFont="1" applyFill="1" applyBorder="1"/>
    <xf numFmtId="165" fontId="13" fillId="0" borderId="4" xfId="0" applyNumberFormat="1" applyFont="1" applyBorder="1"/>
    <xf numFmtId="0" fontId="13" fillId="0" borderId="0" xfId="0" applyFont="1" applyBorder="1"/>
    <xf numFmtId="0" fontId="13" fillId="0" borderId="2" xfId="0" applyFont="1" applyFill="1" applyBorder="1"/>
    <xf numFmtId="169" fontId="13" fillId="0" borderId="0" xfId="0" applyNumberFormat="1" applyFont="1" applyFill="1"/>
    <xf numFmtId="165" fontId="13" fillId="0" borderId="4" xfId="0" applyNumberFormat="1" applyFont="1" applyFill="1" applyBorder="1"/>
    <xf numFmtId="44" fontId="32" fillId="0" borderId="0" xfId="0" applyNumberFormat="1" applyFont="1"/>
    <xf numFmtId="165" fontId="32" fillId="0" borderId="14" xfId="0" applyNumberFormat="1" applyFont="1" applyFill="1" applyBorder="1"/>
    <xf numFmtId="165" fontId="13" fillId="0" borderId="0" xfId="0" applyNumberFormat="1" applyFont="1" applyFill="1"/>
    <xf numFmtId="0" fontId="13" fillId="0" borderId="15" xfId="0" applyFont="1" applyFill="1" applyBorder="1"/>
    <xf numFmtId="0" fontId="32" fillId="0" borderId="15" xfId="0" applyFont="1" applyFill="1" applyBorder="1"/>
    <xf numFmtId="165" fontId="32" fillId="0" borderId="16" xfId="0" applyNumberFormat="1" applyFont="1" applyFill="1" applyBorder="1"/>
    <xf numFmtId="165" fontId="13" fillId="0" borderId="0" xfId="0" applyNumberFormat="1" applyFont="1" applyFill="1" applyBorder="1"/>
    <xf numFmtId="171" fontId="13" fillId="5" borderId="0" xfId="0" applyNumberFormat="1" applyFont="1" applyFill="1"/>
    <xf numFmtId="44" fontId="43" fillId="0" borderId="0" xfId="2" applyFont="1" applyFill="1"/>
    <xf numFmtId="44" fontId="19" fillId="0" borderId="0" xfId="2" applyFont="1" applyFill="1"/>
    <xf numFmtId="0" fontId="43" fillId="0" borderId="0" xfId="0" applyFont="1" applyFill="1"/>
    <xf numFmtId="44" fontId="13" fillId="0" borderId="4" xfId="2" applyFont="1" applyFill="1" applyBorder="1"/>
    <xf numFmtId="165" fontId="13" fillId="0" borderId="0" xfId="1" applyNumberFormat="1" applyFont="1" applyFill="1"/>
    <xf numFmtId="44" fontId="32" fillId="0" borderId="14" xfId="2" applyFont="1" applyFill="1" applyBorder="1"/>
    <xf numFmtId="44" fontId="32" fillId="0" borderId="15" xfId="2" applyFont="1" applyFill="1" applyBorder="1"/>
    <xf numFmtId="0" fontId="32" fillId="0" borderId="15" xfId="0" applyFont="1" applyBorder="1"/>
    <xf numFmtId="44" fontId="32" fillId="0" borderId="16" xfId="2" applyFont="1" applyFill="1" applyBorder="1"/>
    <xf numFmtId="44" fontId="13" fillId="0" borderId="0" xfId="2" applyFont="1" applyFill="1" applyBorder="1"/>
    <xf numFmtId="44" fontId="32" fillId="0" borderId="0" xfId="2" applyFont="1" applyFill="1" applyBorder="1"/>
    <xf numFmtId="14" fontId="13" fillId="0" borderId="0" xfId="0" applyNumberFormat="1" applyFont="1" applyAlignment="1">
      <alignment horizontal="center"/>
    </xf>
    <xf numFmtId="0" fontId="14" fillId="5" borderId="0" xfId="0" applyFont="1" applyFill="1" applyAlignment="1">
      <alignment horizontal="center" wrapText="1"/>
    </xf>
    <xf numFmtId="0" fontId="13" fillId="5" borderId="0" xfId="0" applyFont="1" applyFill="1" applyAlignment="1">
      <alignment horizontal="center"/>
    </xf>
    <xf numFmtId="166" fontId="13" fillId="0" borderId="0" xfId="2" applyNumberFormat="1" applyFont="1" applyFill="1"/>
    <xf numFmtId="166" fontId="13" fillId="0" borderId="0" xfId="0" applyNumberFormat="1" applyFont="1"/>
    <xf numFmtId="43" fontId="13" fillId="0" borderId="0" xfId="1" applyFont="1"/>
    <xf numFmtId="43" fontId="13" fillId="0" borderId="4" xfId="0" applyNumberFormat="1" applyFont="1" applyBorder="1"/>
    <xf numFmtId="43" fontId="13" fillId="0" borderId="0" xfId="0" applyNumberFormat="1" applyFont="1" applyBorder="1"/>
    <xf numFmtId="17" fontId="0" fillId="0" borderId="0" xfId="0" applyNumberFormat="1"/>
    <xf numFmtId="0" fontId="31" fillId="0" borderId="0" xfId="0" applyFont="1" applyAlignment="1">
      <alignment horizontal="center"/>
    </xf>
    <xf numFmtId="0" fontId="0" fillId="0" borderId="0" xfId="0" applyFont="1" applyAlignment="1">
      <alignment horizontal="left"/>
    </xf>
    <xf numFmtId="173" fontId="0" fillId="0" borderId="0" xfId="1" applyNumberFormat="1" applyFont="1" applyAlignment="1">
      <alignment horizontal="left"/>
    </xf>
    <xf numFmtId="173" fontId="31" fillId="0" borderId="0" xfId="1" applyNumberFormat="1" applyFont="1" applyAlignment="1">
      <alignment horizontal="center"/>
    </xf>
    <xf numFmtId="173" fontId="0" fillId="0" borderId="0" xfId="1" applyNumberFormat="1" applyFont="1"/>
    <xf numFmtId="173" fontId="45" fillId="0" borderId="0" xfId="1" applyNumberFormat="1" applyFont="1"/>
    <xf numFmtId="0" fontId="0" fillId="0" borderId="0" xfId="0" applyAlignment="1">
      <alignment horizontal="right"/>
    </xf>
    <xf numFmtId="172" fontId="35" fillId="6" borderId="0" xfId="0" applyNumberFormat="1" applyFont="1" applyFill="1"/>
    <xf numFmtId="0" fontId="35" fillId="0" borderId="0" xfId="0" applyFont="1"/>
    <xf numFmtId="0" fontId="0" fillId="0" borderId="0" xfId="0" applyAlignment="1">
      <alignment horizontal="left"/>
    </xf>
    <xf numFmtId="0" fontId="38" fillId="0" borderId="0" xfId="0" applyFont="1"/>
    <xf numFmtId="164" fontId="35" fillId="0" borderId="0" xfId="2" applyNumberFormat="1" applyFont="1"/>
    <xf numFmtId="164" fontId="38" fillId="0" borderId="0" xfId="2" applyNumberFormat="1" applyFont="1"/>
    <xf numFmtId="164" fontId="31" fillId="0" borderId="0" xfId="0" applyNumberFormat="1" applyFont="1" applyAlignment="1">
      <alignment horizontal="center"/>
    </xf>
    <xf numFmtId="172" fontId="0" fillId="0" borderId="0" xfId="0" applyNumberFormat="1"/>
    <xf numFmtId="165" fontId="31" fillId="0" borderId="0" xfId="1" applyNumberFormat="1" applyFont="1" applyFill="1"/>
    <xf numFmtId="164" fontId="0" fillId="6" borderId="0" xfId="2" applyNumberFormat="1" applyFont="1" applyFill="1"/>
    <xf numFmtId="164" fontId="0" fillId="8" borderId="6" xfId="0" applyNumberFormat="1" applyFill="1" applyBorder="1"/>
    <xf numFmtId="164" fontId="0" fillId="6" borderId="0" xfId="0" applyNumberFormat="1" applyFill="1"/>
    <xf numFmtId="164" fontId="0" fillId="8" borderId="0" xfId="0" applyNumberFormat="1" applyFill="1"/>
    <xf numFmtId="164" fontId="35" fillId="0" borderId="0" xfId="0" applyNumberFormat="1" applyFont="1"/>
    <xf numFmtId="10" fontId="0" fillId="0" borderId="0" xfId="0" applyNumberFormat="1"/>
    <xf numFmtId="164" fontId="0" fillId="0" borderId="0" xfId="2" quotePrefix="1" applyNumberFormat="1" applyFont="1"/>
    <xf numFmtId="164" fontId="35" fillId="7" borderId="0" xfId="2" applyNumberFormat="1" applyFont="1" applyFill="1"/>
    <xf numFmtId="164" fontId="35" fillId="0" borderId="0" xfId="2" applyNumberFormat="1" applyFont="1" applyFill="1"/>
    <xf numFmtId="173" fontId="38" fillId="0" borderId="0" xfId="1" applyNumberFormat="1" applyFont="1"/>
    <xf numFmtId="165" fontId="35" fillId="0" borderId="0" xfId="1" applyNumberFormat="1" applyFont="1" applyFill="1"/>
    <xf numFmtId="0" fontId="0" fillId="0" borderId="0" xfId="0" applyFont="1" applyAlignment="1">
      <alignment horizontal="center"/>
    </xf>
    <xf numFmtId="0" fontId="0" fillId="0" borderId="0" xfId="0" applyAlignment="1">
      <alignment shrinkToFit="1"/>
    </xf>
    <xf numFmtId="0" fontId="13" fillId="0" borderId="0" xfId="0" applyFont="1" applyFill="1" applyAlignment="1">
      <alignment wrapText="1"/>
    </xf>
    <xf numFmtId="0" fontId="13" fillId="0" borderId="0" xfId="0" applyFont="1" applyFill="1" applyAlignment="1">
      <alignment horizontal="center" wrapText="1"/>
    </xf>
    <xf numFmtId="0" fontId="44" fillId="0" borderId="0" xfId="0" applyFont="1" applyFill="1"/>
    <xf numFmtId="43" fontId="44" fillId="0" borderId="0" xfId="0" applyNumberFormat="1" applyFont="1" applyFill="1"/>
    <xf numFmtId="0" fontId="4" fillId="2" borderId="0" xfId="0" applyFont="1" applyFill="1" applyAlignment="1">
      <alignment horizontal="center"/>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10" fontId="38" fillId="0" borderId="0" xfId="0" applyNumberFormat="1" applyFont="1"/>
    <xf numFmtId="164" fontId="0" fillId="0" borderId="0" xfId="0" applyNumberFormat="1" applyFill="1"/>
    <xf numFmtId="0" fontId="31" fillId="0" borderId="0" xfId="0" applyFont="1" applyFill="1" applyAlignment="1">
      <alignment horizontal="left"/>
    </xf>
    <xf numFmtId="0" fontId="31" fillId="0" borderId="0" xfId="0" applyFont="1" applyFill="1" applyAlignment="1">
      <alignment horizontal="center"/>
    </xf>
    <xf numFmtId="164" fontId="0" fillId="0" borderId="0" xfId="2" applyNumberFormat="1" applyFont="1" applyFill="1"/>
    <xf numFmtId="0" fontId="46" fillId="0" borderId="0" xfId="0" applyFont="1" applyFill="1" applyAlignment="1">
      <alignment horizontal="left"/>
    </xf>
    <xf numFmtId="165" fontId="46" fillId="0" borderId="0" xfId="1" applyNumberFormat="1" applyFont="1" applyFill="1"/>
    <xf numFmtId="0" fontId="13" fillId="5" borderId="0" xfId="0" applyFont="1" applyFill="1" applyAlignment="1">
      <alignment horizontal="center" wrapText="1"/>
    </xf>
    <xf numFmtId="0" fontId="13" fillId="0" borderId="0" xfId="0" applyFont="1" applyFill="1" applyAlignment="1">
      <alignment horizontal="center"/>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47" fillId="0" borderId="0" xfId="0" applyFont="1" applyFill="1" applyAlignment="1">
      <alignment horizontal="right"/>
    </xf>
    <xf numFmtId="0" fontId="0" fillId="0" borderId="0" xfId="0" applyFill="1" applyAlignment="1">
      <alignment horizontal="left"/>
    </xf>
    <xf numFmtId="172" fontId="35" fillId="0" borderId="0" xfId="0" applyNumberFormat="1" applyFont="1" applyFill="1"/>
    <xf numFmtId="0" fontId="38" fillId="0" borderId="0" xfId="0" applyFont="1" applyFill="1"/>
    <xf numFmtId="173" fontId="0" fillId="0" borderId="0" xfId="1" applyNumberFormat="1" applyFont="1" applyFill="1"/>
    <xf numFmtId="172" fontId="0" fillId="0" borderId="0" xfId="0" applyNumberFormat="1" applyFill="1"/>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47" fillId="0" borderId="0" xfId="0" applyFont="1" applyFill="1" applyAlignment="1">
      <alignment horizontal="center"/>
    </xf>
    <xf numFmtId="0" fontId="13" fillId="5" borderId="0" xfId="0" applyFont="1" applyFill="1" applyAlignment="1">
      <alignment horizontal="center" wrapText="1"/>
    </xf>
    <xf numFmtId="167" fontId="32" fillId="2" borderId="18" xfId="4" applyNumberFormat="1" applyFont="1" applyFill="1" applyBorder="1" applyAlignment="1">
      <alignment horizontal="center" vertical="center"/>
    </xf>
    <xf numFmtId="0" fontId="13" fillId="2" borderId="17" xfId="4" applyFont="1" applyFill="1" applyBorder="1" applyAlignment="1">
      <alignment horizontal="center"/>
    </xf>
    <xf numFmtId="165" fontId="33" fillId="2" borderId="17" xfId="7" applyNumberFormat="1" applyFont="1" applyFill="1" applyBorder="1"/>
    <xf numFmtId="164" fontId="33" fillId="2" borderId="17" xfId="2" applyNumberFormat="1" applyFont="1" applyFill="1" applyBorder="1"/>
    <xf numFmtId="170" fontId="19" fillId="0" borderId="17" xfId="4" applyNumberFormat="1" applyFont="1" applyFill="1" applyBorder="1" applyAlignment="1">
      <alignment vertical="center"/>
    </xf>
    <xf numFmtId="164" fontId="19" fillId="2" borderId="17" xfId="4" applyNumberFormat="1" applyFont="1" applyFill="1" applyBorder="1"/>
    <xf numFmtId="170" fontId="19" fillId="2" borderId="17" xfId="4" applyNumberFormat="1" applyFont="1" applyFill="1" applyBorder="1" applyAlignment="1">
      <alignment vertical="center"/>
    </xf>
    <xf numFmtId="164" fontId="19" fillId="4" borderId="17" xfId="4" applyNumberFormat="1" applyFont="1" applyFill="1" applyBorder="1"/>
    <xf numFmtId="10" fontId="19" fillId="0" borderId="17" xfId="3" applyNumberFormat="1" applyFont="1" applyFill="1" applyBorder="1"/>
    <xf numFmtId="164" fontId="19" fillId="2" borderId="17" xfId="10" applyNumberFormat="1" applyFont="1" applyFill="1" applyBorder="1"/>
    <xf numFmtId="164" fontId="14" fillId="2" borderId="19" xfId="4" applyNumberFormat="1" applyFont="1" applyFill="1" applyBorder="1"/>
    <xf numFmtId="0" fontId="19" fillId="2" borderId="17" xfId="4" applyFont="1" applyFill="1" applyBorder="1"/>
    <xf numFmtId="170" fontId="13" fillId="2" borderId="17" xfId="4" applyNumberFormat="1" applyFont="1" applyFill="1" applyBorder="1"/>
    <xf numFmtId="0" fontId="13" fillId="2" borderId="17" xfId="4" applyFont="1" applyFill="1" applyBorder="1"/>
    <xf numFmtId="0" fontId="0" fillId="5" borderId="0" xfId="0" applyFill="1"/>
    <xf numFmtId="0" fontId="31" fillId="5" borderId="0" xfId="0" applyFont="1" applyFill="1" applyAlignment="1">
      <alignment horizontal="center" wrapText="1"/>
    </xf>
    <xf numFmtId="0" fontId="0" fillId="0" borderId="0" xfId="0" applyFill="1" applyAlignment="1">
      <alignment wrapText="1"/>
    </xf>
    <xf numFmtId="165" fontId="0" fillId="0" borderId="4" xfId="1" applyNumberFormat="1" applyFont="1" applyBorder="1"/>
    <xf numFmtId="165" fontId="31" fillId="0" borderId="7" xfId="0" applyNumberFormat="1" applyFont="1" applyBorder="1"/>
    <xf numFmtId="165" fontId="31" fillId="0" borderId="20" xfId="0" applyNumberFormat="1" applyFont="1" applyBorder="1"/>
    <xf numFmtId="44" fontId="32" fillId="0" borderId="8" xfId="2" applyFont="1" applyFill="1" applyBorder="1"/>
    <xf numFmtId="165" fontId="31" fillId="0" borderId="11" xfId="0" applyNumberFormat="1" applyFont="1" applyBorder="1"/>
    <xf numFmtId="165" fontId="31" fillId="0" borderId="21" xfId="0" applyNumberFormat="1" applyFont="1" applyBorder="1"/>
    <xf numFmtId="44" fontId="32" fillId="0" borderId="21" xfId="2" applyFont="1" applyFill="1" applyBorder="1"/>
    <xf numFmtId="44" fontId="32" fillId="0" borderId="12" xfId="2" applyFont="1" applyFill="1" applyBorder="1"/>
    <xf numFmtId="165" fontId="19" fillId="2" borderId="17" xfId="7" applyNumberFormat="1" applyFont="1" applyFill="1" applyBorder="1"/>
    <xf numFmtId="164" fontId="19" fillId="2" borderId="17" xfId="2" applyNumberFormat="1" applyFont="1" applyFill="1" applyBorder="1"/>
    <xf numFmtId="165" fontId="33" fillId="0" borderId="17" xfId="7" applyNumberFormat="1" applyFont="1" applyFill="1" applyBorder="1"/>
    <xf numFmtId="164" fontId="33" fillId="0" borderId="17" xfId="2" applyNumberFormat="1" applyFont="1" applyFill="1" applyBorder="1"/>
    <xf numFmtId="165" fontId="33" fillId="0" borderId="0" xfId="7" applyNumberFormat="1" applyFont="1" applyFill="1" applyBorder="1"/>
    <xf numFmtId="164" fontId="33" fillId="0" borderId="0" xfId="2" applyNumberFormat="1" applyFont="1" applyFill="1" applyBorder="1"/>
    <xf numFmtId="14" fontId="13" fillId="0" borderId="0" xfId="0" applyNumberFormat="1" applyFont="1" applyAlignment="1">
      <alignment horizontal="center" wrapText="1"/>
    </xf>
    <xf numFmtId="0" fontId="47" fillId="0" borderId="9" xfId="0" applyFont="1" applyFill="1" applyBorder="1" applyAlignment="1">
      <alignment horizontal="right"/>
    </xf>
    <xf numFmtId="0" fontId="47" fillId="0" borderId="0" xfId="0" applyFont="1" applyFill="1" applyBorder="1" applyAlignment="1">
      <alignment horizontal="right"/>
    </xf>
    <xf numFmtId="0" fontId="47" fillId="0" borderId="10" xfId="0" applyFont="1" applyFill="1" applyBorder="1" applyAlignment="1">
      <alignment horizontal="right"/>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10" fontId="46" fillId="0" borderId="0" xfId="0" applyNumberFormat="1" applyFont="1"/>
    <xf numFmtId="164" fontId="0" fillId="9" borderId="0" xfId="2" applyNumberFormat="1" applyFont="1" applyFill="1"/>
    <xf numFmtId="173" fontId="0" fillId="10" borderId="0" xfId="1" applyNumberFormat="1" applyFont="1" applyFill="1"/>
    <xf numFmtId="172" fontId="35" fillId="10" borderId="0" xfId="0" applyNumberFormat="1" applyFont="1" applyFill="1"/>
    <xf numFmtId="166" fontId="0" fillId="11" borderId="0" xfId="0" applyNumberFormat="1" applyFill="1"/>
    <xf numFmtId="164" fontId="0" fillId="10" borderId="0" xfId="2" applyNumberFormat="1" applyFont="1" applyFill="1"/>
    <xf numFmtId="172" fontId="0" fillId="10" borderId="0" xfId="0" applyNumberFormat="1" applyFill="1"/>
    <xf numFmtId="164" fontId="49" fillId="10" borderId="0" xfId="2" applyNumberFormat="1" applyFont="1" applyFill="1"/>
    <xf numFmtId="165" fontId="31" fillId="10" borderId="0" xfId="1" applyNumberFormat="1" applyFont="1" applyFill="1"/>
    <xf numFmtId="164" fontId="49" fillId="0" borderId="0" xfId="2" applyNumberFormat="1" applyFont="1" applyFill="1"/>
    <xf numFmtId="164" fontId="49" fillId="0" borderId="0" xfId="2" applyNumberFormat="1" applyFont="1"/>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165" fontId="44" fillId="0" borderId="0" xfId="1" applyNumberFormat="1" applyFont="1" applyFill="1"/>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47" fillId="0" borderId="0" xfId="0" applyFont="1" applyFill="1" applyAlignment="1">
      <alignment horizontal="left"/>
    </xf>
    <xf numFmtId="0" fontId="45" fillId="0" borderId="0" xfId="0" applyFont="1" applyAlignment="1">
      <alignment horizontal="right"/>
    </xf>
    <xf numFmtId="173" fontId="45" fillId="0" borderId="0" xfId="1" applyNumberFormat="1" applyFont="1" applyFill="1"/>
    <xf numFmtId="169" fontId="45" fillId="0" borderId="0" xfId="0" applyNumberFormat="1" applyFont="1"/>
    <xf numFmtId="164" fontId="45" fillId="0" borderId="0" xfId="2" applyNumberFormat="1" applyFont="1" applyFill="1"/>
    <xf numFmtId="165" fontId="38" fillId="0" borderId="0" xfId="1" applyNumberFormat="1" applyFont="1" applyFill="1"/>
    <xf numFmtId="0" fontId="45" fillId="0" borderId="0" xfId="0" applyFont="1" applyAlignment="1">
      <alignment horizontal="left"/>
    </xf>
    <xf numFmtId="0" fontId="50" fillId="0" borderId="0" xfId="0" applyFont="1" applyFill="1" applyAlignment="1">
      <alignment horizontal="left"/>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13" fillId="0" borderId="0" xfId="0" applyFont="1" applyAlignment="1">
      <alignment horizontal="center"/>
    </xf>
    <xf numFmtId="0" fontId="13" fillId="8" borderId="0" xfId="0" applyFont="1" applyFill="1" applyAlignment="1">
      <alignment horizontal="center"/>
    </xf>
    <xf numFmtId="14" fontId="13" fillId="8" borderId="0" xfId="0" applyNumberFormat="1" applyFont="1" applyFill="1" applyAlignment="1">
      <alignment horizontal="center"/>
    </xf>
    <xf numFmtId="14" fontId="13" fillId="8" borderId="0" xfId="0" applyNumberFormat="1" applyFont="1" applyFill="1" applyAlignment="1">
      <alignment horizontal="center" wrapText="1"/>
    </xf>
    <xf numFmtId="169" fontId="44" fillId="0" borderId="0" xfId="0" applyNumberFormat="1" applyFont="1" applyFill="1"/>
    <xf numFmtId="0" fontId="44" fillId="0" borderId="0" xfId="0" applyFont="1" applyFill="1" applyAlignment="1">
      <alignment horizontal="right"/>
    </xf>
    <xf numFmtId="172" fontId="44" fillId="0" borderId="0" xfId="0" applyNumberFormat="1" applyFont="1" applyFill="1"/>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14" fontId="13" fillId="0" borderId="0" xfId="0" applyNumberFormat="1" applyFont="1" applyFill="1" applyAlignment="1">
      <alignment horizontal="center" wrapText="1"/>
    </xf>
    <xf numFmtId="0" fontId="13" fillId="0" borderId="0" xfId="0" applyFont="1" applyAlignment="1">
      <alignment horizontal="center" wrapText="1"/>
    </xf>
    <xf numFmtId="0" fontId="47" fillId="0" borderId="0" xfId="0" applyFont="1" applyAlignment="1">
      <alignment horizontal="right"/>
    </xf>
    <xf numFmtId="0" fontId="13" fillId="0" borderId="0" xfId="0" applyFont="1" applyAlignment="1">
      <alignment horizontal="center" wrapText="1"/>
    </xf>
    <xf numFmtId="0" fontId="13" fillId="5" borderId="0" xfId="0" applyFont="1" applyFill="1" applyAlignment="1">
      <alignment horizontal="center" wrapText="1"/>
    </xf>
    <xf numFmtId="0" fontId="13" fillId="0" borderId="0" xfId="0" applyFont="1" applyFill="1" applyAlignment="1">
      <alignment horizontal="center"/>
    </xf>
    <xf numFmtId="0" fontId="13" fillId="2" borderId="0" xfId="4" applyFont="1" applyFill="1" applyAlignment="1">
      <alignment horizontal="center" vertical="center"/>
    </xf>
    <xf numFmtId="164" fontId="33" fillId="2" borderId="0" xfId="2" applyNumberFormat="1" applyFont="1" applyFill="1" applyAlignment="1">
      <alignment vertical="center"/>
    </xf>
    <xf numFmtId="164" fontId="19" fillId="2" borderId="17" xfId="2" applyNumberFormat="1" applyFont="1" applyFill="1" applyBorder="1" applyAlignment="1">
      <alignment vertical="center"/>
    </xf>
    <xf numFmtId="164" fontId="19" fillId="2" borderId="0" xfId="2" applyNumberFormat="1" applyFont="1" applyFill="1" applyAlignment="1">
      <alignment vertical="center"/>
    </xf>
    <xf numFmtId="0" fontId="13" fillId="2" borderId="0" xfId="4" applyFont="1" applyFill="1" applyAlignment="1">
      <alignment vertical="center" wrapText="1"/>
    </xf>
    <xf numFmtId="0" fontId="13" fillId="0" borderId="0" xfId="0" applyFont="1" applyAlignment="1">
      <alignment horizontal="center" wrapText="1"/>
    </xf>
    <xf numFmtId="0" fontId="13" fillId="5" borderId="0" xfId="0" applyFont="1" applyFill="1" applyAlignment="1">
      <alignment horizontal="center" wrapText="1"/>
    </xf>
    <xf numFmtId="14" fontId="13" fillId="12" borderId="0" xfId="0" applyNumberFormat="1" applyFont="1" applyFill="1" applyAlignment="1">
      <alignment horizontal="center"/>
    </xf>
    <xf numFmtId="0" fontId="13" fillId="12" borderId="0" xfId="0" applyFont="1" applyFill="1" applyAlignment="1">
      <alignment horizontal="center"/>
    </xf>
    <xf numFmtId="166" fontId="13" fillId="12" borderId="0" xfId="2" applyNumberFormat="1" applyFont="1" applyFill="1"/>
    <xf numFmtId="44" fontId="13" fillId="12" borderId="0" xfId="2" applyFont="1" applyFill="1"/>
    <xf numFmtId="0" fontId="13" fillId="12" borderId="0" xfId="0" applyFont="1" applyFill="1" applyAlignment="1">
      <alignment horizontal="center" wrapText="1"/>
    </xf>
    <xf numFmtId="44" fontId="13" fillId="12" borderId="4" xfId="0" applyNumberFormat="1" applyFont="1" applyFill="1" applyBorder="1"/>
    <xf numFmtId="0" fontId="13" fillId="0" borderId="0" xfId="0" applyFont="1" applyAlignment="1">
      <alignment horizontal="center" wrapText="1"/>
    </xf>
    <xf numFmtId="0" fontId="13" fillId="5" borderId="0" xfId="0" applyFont="1" applyFill="1" applyAlignment="1">
      <alignment horizontal="center" wrapText="1"/>
    </xf>
    <xf numFmtId="0" fontId="33" fillId="0" borderId="0" xfId="0" applyFont="1" applyFill="1"/>
    <xf numFmtId="165" fontId="0" fillId="0" borderId="4" xfId="1" applyNumberFormat="1" applyFont="1" applyFill="1" applyBorder="1"/>
    <xf numFmtId="44" fontId="13" fillId="0" borderId="4" xfId="0" applyNumberFormat="1" applyFont="1" applyFill="1" applyBorder="1"/>
    <xf numFmtId="0" fontId="4" fillId="2" borderId="0" xfId="4" applyFont="1" applyFill="1" applyAlignment="1">
      <alignment horizontal="center"/>
    </xf>
    <xf numFmtId="0" fontId="31" fillId="2" borderId="0" xfId="0" applyFont="1" applyFill="1" applyAlignment="1">
      <alignment horizontal="right" vertical="top"/>
    </xf>
    <xf numFmtId="0" fontId="31" fillId="2" borderId="0" xfId="0" applyFont="1" applyFill="1" applyAlignment="1">
      <alignment horizontal="right"/>
    </xf>
    <xf numFmtId="0" fontId="0" fillId="2" borderId="0" xfId="0" applyFill="1"/>
    <xf numFmtId="0" fontId="0" fillId="2" borderId="0" xfId="0" applyFill="1" applyAlignment="1">
      <alignment horizontal="right"/>
    </xf>
    <xf numFmtId="165" fontId="0" fillId="2" borderId="0" xfId="1" applyNumberFormat="1" applyFont="1" applyFill="1"/>
    <xf numFmtId="44" fontId="0" fillId="2" borderId="2" xfId="2" applyFont="1" applyFill="1" applyBorder="1"/>
    <xf numFmtId="44" fontId="0" fillId="2" borderId="0" xfId="2" applyFont="1" applyFill="1"/>
    <xf numFmtId="43" fontId="0" fillId="2" borderId="2" xfId="1" applyFont="1" applyFill="1" applyBorder="1"/>
    <xf numFmtId="44" fontId="0" fillId="13" borderId="0" xfId="2" applyFont="1" applyFill="1"/>
    <xf numFmtId="44" fontId="0" fillId="2" borderId="0" xfId="0" applyNumberFormat="1" applyFill="1"/>
    <xf numFmtId="164" fontId="14" fillId="2" borderId="0" xfId="4" applyNumberFormat="1" applyFont="1" applyFill="1" applyBorder="1"/>
    <xf numFmtId="0" fontId="37" fillId="0" borderId="0" xfId="0" applyFont="1" applyBorder="1"/>
    <xf numFmtId="164" fontId="52" fillId="14" borderId="0" xfId="4" applyNumberFormat="1" applyFont="1" applyFill="1" applyAlignment="1">
      <alignment horizontal="left"/>
    </xf>
    <xf numFmtId="164" fontId="19" fillId="14" borderId="0" xfId="4" applyNumberFormat="1" applyFont="1" applyFill="1"/>
    <xf numFmtId="0" fontId="32" fillId="14" borderId="0" xfId="4" applyFont="1" applyFill="1"/>
    <xf numFmtId="0" fontId="13" fillId="14" borderId="0" xfId="4" applyFont="1" applyFill="1" applyAlignment="1">
      <alignment horizontal="center"/>
    </xf>
    <xf numFmtId="0" fontId="19" fillId="14" borderId="0" xfId="4" applyFont="1" applyFill="1"/>
    <xf numFmtId="0" fontId="19" fillId="14" borderId="17" xfId="4" applyFont="1" applyFill="1" applyBorder="1"/>
    <xf numFmtId="0" fontId="0" fillId="14" borderId="0" xfId="0" applyFill="1"/>
    <xf numFmtId="0" fontId="3" fillId="2" borderId="0" xfId="4" applyFont="1" applyFill="1" applyAlignment="1">
      <alignment horizontal="center"/>
    </xf>
    <xf numFmtId="169" fontId="23" fillId="0" borderId="0" xfId="0" applyNumberFormat="1" applyFont="1" applyAlignment="1">
      <alignment horizontal="center"/>
    </xf>
    <xf numFmtId="0" fontId="3" fillId="2" borderId="0" xfId="4" quotePrefix="1" applyFont="1" applyFill="1" applyAlignment="1">
      <alignment horizontal="center"/>
    </xf>
    <xf numFmtId="0" fontId="23" fillId="0" borderId="0" xfId="0" applyFont="1" applyAlignment="1">
      <alignment horizontal="center"/>
    </xf>
    <xf numFmtId="0" fontId="4" fillId="2" borderId="0" xfId="0" applyFont="1" applyFill="1" applyAlignment="1">
      <alignment horizontal="center"/>
    </xf>
    <xf numFmtId="0" fontId="23" fillId="0" borderId="0" xfId="0" applyFont="1" applyBorder="1" applyAlignment="1">
      <alignment horizontal="center"/>
    </xf>
    <xf numFmtId="0" fontId="24" fillId="2" borderId="0" xfId="4" applyFont="1" applyFill="1" applyAlignment="1">
      <alignment horizont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12" fillId="2" borderId="0" xfId="4" applyFont="1" applyFill="1" applyAlignment="1">
      <alignment horizontal="center"/>
    </xf>
    <xf numFmtId="0" fontId="4" fillId="2" borderId="0" xfId="4" applyFont="1" applyFill="1" applyAlignment="1">
      <alignment horizontal="center"/>
    </xf>
    <xf numFmtId="0" fontId="12" fillId="2" borderId="0" xfId="4" quotePrefix="1" applyFont="1" applyFill="1" applyAlignment="1">
      <alignment horizontal="center"/>
    </xf>
    <xf numFmtId="0" fontId="31" fillId="0" borderId="0" xfId="0" applyFont="1" applyAlignment="1">
      <alignment horizontal="center"/>
    </xf>
    <xf numFmtId="0" fontId="4" fillId="2" borderId="0" xfId="4" applyFont="1" applyFill="1" applyAlignment="1">
      <alignment horizontal="center" wrapText="1"/>
    </xf>
    <xf numFmtId="0" fontId="4" fillId="2" borderId="0" xfId="4" quotePrefix="1" applyFont="1" applyFill="1" applyAlignment="1">
      <alignment horizontal="center"/>
    </xf>
    <xf numFmtId="0" fontId="0" fillId="2" borderId="0" xfId="0" applyFill="1" applyAlignment="1">
      <alignment horizontal="left" vertical="top" wrapText="1"/>
    </xf>
    <xf numFmtId="0" fontId="31" fillId="2" borderId="0" xfId="0" applyFont="1" applyFill="1" applyAlignment="1">
      <alignment horizontal="center"/>
    </xf>
    <xf numFmtId="0" fontId="13" fillId="0" borderId="0" xfId="0" applyFont="1" applyAlignment="1">
      <alignment horizontal="center" wrapText="1"/>
    </xf>
    <xf numFmtId="0" fontId="13" fillId="0" borderId="0" xfId="0" applyFont="1" applyFill="1" applyAlignment="1">
      <alignment horizontal="center"/>
    </xf>
  </cellXfs>
  <cellStyles count="17">
    <cellStyle name="Comma" xfId="1" builtinId="3"/>
    <cellStyle name="Comma 2" xfId="7" xr:uid="{00000000-0005-0000-0000-000001000000}"/>
    <cellStyle name="Comma 3" xfId="14" xr:uid="{DE096301-09E5-41BA-9E56-EEDFCC758A31}"/>
    <cellStyle name="Currency" xfId="2" builtinId="4"/>
    <cellStyle name="Currency 2" xfId="10" xr:uid="{00000000-0005-0000-0000-000003000000}"/>
    <cellStyle name="Currency 2 2" xfId="6" xr:uid="{00000000-0005-0000-0000-000004000000}"/>
    <cellStyle name="Currency 3" xfId="15" xr:uid="{5D05611E-2E69-4748-B6C9-060D9EEBF530}"/>
    <cellStyle name="Normal" xfId="0" builtinId="0"/>
    <cellStyle name="Normal 2" xfId="4" xr:uid="{00000000-0005-0000-0000-000006000000}"/>
    <cellStyle name="Normal 2 2" xfId="11" xr:uid="{00000000-0005-0000-0000-000007000000}"/>
    <cellStyle name="Normal 3" xfId="13" xr:uid="{BF4DD3C5-C012-40C7-B9A6-15345B7500CE}"/>
    <cellStyle name="Normal 4" xfId="12" xr:uid="{F849BD27-BE6E-4041-9EDB-82BAD7C8DB0A}"/>
    <cellStyle name="Percent" xfId="3" builtinId="5"/>
    <cellStyle name="Percent 2" xfId="9" xr:uid="{00000000-0005-0000-0000-000009000000}"/>
    <cellStyle name="Percent 3" xfId="16" xr:uid="{1A1A4B48-DB9E-41C6-B0C0-E298E8F1E066}"/>
    <cellStyle name="Report Heading 2" xfId="5" xr:uid="{00000000-0005-0000-0000-00000A000000}"/>
    <cellStyle name="Report Heading 3 2" xfId="8" xr:uid="{00000000-0005-0000-0000-00000B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election activeCell="J38" sqref="J38"/>
    </sheetView>
  </sheetViews>
  <sheetFormatPr defaultRowHeight="15" x14ac:dyDescent="0.25"/>
  <sheetData>
    <row r="1" spans="1:1" x14ac:dyDescent="0.25">
      <c r="A1" t="s">
        <v>386</v>
      </c>
    </row>
    <row r="8" spans="1:1" x14ac:dyDescent="0.25">
      <c r="A8" t="s">
        <v>385</v>
      </c>
    </row>
    <row r="12" spans="1:1" x14ac:dyDescent="0.25">
      <c r="A12" t="s">
        <v>387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85"/>
  <sheetViews>
    <sheetView zoomScaleNormal="100" workbookViewId="0">
      <selection activeCell="H22" sqref="H22"/>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5.7109375" customWidth="1"/>
    <col min="8" max="8" width="14.7109375" customWidth="1"/>
    <col min="9" max="9" width="18.28515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388</v>
      </c>
      <c r="M1" s="170"/>
      <c r="N1" s="170"/>
      <c r="O1" s="170"/>
      <c r="P1" s="170"/>
      <c r="Q1" s="170"/>
      <c r="R1" s="170"/>
      <c r="S1" s="170"/>
      <c r="T1" s="170"/>
      <c r="U1" s="170"/>
      <c r="V1" s="170"/>
      <c r="W1" s="170"/>
      <c r="X1" s="170"/>
      <c r="Y1" s="170"/>
      <c r="Z1" s="171" t="s">
        <v>201</v>
      </c>
      <c r="AA1" s="172" t="s">
        <v>390</v>
      </c>
      <c r="AB1" s="170"/>
      <c r="AC1" s="171" t="s">
        <v>203</v>
      </c>
      <c r="AD1" s="172" t="s">
        <v>389</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73" t="str">
        <f>AA1&amp;" Billed Schedule 175 Revenue"</f>
        <v>October Billed Schedule 175 Revenue</v>
      </c>
      <c r="O2" s="373" t="str">
        <f>AA1&amp;" Billed Therms"</f>
        <v>October Billed Therms</v>
      </c>
      <c r="P2" s="373" t="str">
        <f>AA1&amp;" Unbilled Therms"</f>
        <v>October Unbilled Therms</v>
      </c>
      <c r="Q2" s="260" t="s">
        <v>382</v>
      </c>
      <c r="R2" s="373" t="s">
        <v>209</v>
      </c>
      <c r="S2" s="373" t="str">
        <f>AD1&amp;" Unbilled Therms reversal"</f>
        <v>September Unbilled Therms reversal</v>
      </c>
      <c r="T2" s="260" t="s">
        <v>382</v>
      </c>
      <c r="U2" s="373" t="str">
        <f>AD1&amp;" Schedule 175 Unbilled Reversal"</f>
        <v>September Schedule 175 Unbilled Reversal</v>
      </c>
      <c r="V2" s="170"/>
      <c r="W2" s="373" t="str">
        <f>"Total "&amp;AA1&amp;" Schedule 175 Revenue"</f>
        <v>Total October Schedule 175 Revenue</v>
      </c>
      <c r="X2" s="170"/>
      <c r="Y2" s="373" t="str">
        <f>"Calendar "&amp;AA1&amp;" Usage"</f>
        <v>Calendar October Usage</v>
      </c>
      <c r="Z2" s="373" t="str">
        <f>Q2</f>
        <v>8/1/2020 rate</v>
      </c>
      <c r="AA2" s="373" t="s">
        <v>210</v>
      </c>
      <c r="AB2" s="373" t="s">
        <v>211</v>
      </c>
      <c r="AC2" s="373" t="str">
        <f>"implied "&amp;AD1&amp;" unbilled/Cancel-Rebill True-up therms"</f>
        <v>implied September unbilled/Cancel-Rebill True-up therms</v>
      </c>
      <c r="AD2" s="170"/>
      <c r="AE2" s="77"/>
      <c r="AF2" s="77"/>
      <c r="AG2" s="77"/>
    </row>
    <row r="3" spans="1:33" x14ac:dyDescent="0.25">
      <c r="A3" s="177"/>
      <c r="B3" s="177"/>
      <c r="C3" s="177"/>
      <c r="D3" s="170"/>
      <c r="E3" s="170"/>
      <c r="F3" s="170"/>
      <c r="G3" s="170"/>
      <c r="H3" s="170"/>
      <c r="I3" s="170"/>
      <c r="J3" s="170"/>
      <c r="K3" s="170"/>
      <c r="L3" s="170"/>
      <c r="M3" s="170"/>
      <c r="N3" s="373"/>
      <c r="O3" s="373"/>
      <c r="P3" s="373"/>
      <c r="Q3" s="373"/>
      <c r="R3" s="373"/>
      <c r="S3" s="373"/>
      <c r="T3" s="373"/>
      <c r="U3" s="373"/>
      <c r="V3" s="170"/>
      <c r="W3" s="373"/>
      <c r="X3" s="170"/>
      <c r="Y3" s="373"/>
      <c r="Z3" s="373"/>
      <c r="AA3" s="373"/>
      <c r="AB3" s="373"/>
      <c r="AC3" s="373"/>
      <c r="AD3" s="170"/>
      <c r="AE3" s="77"/>
      <c r="AF3" s="77"/>
      <c r="AG3" s="77"/>
    </row>
    <row r="4" spans="1:33" x14ac:dyDescent="0.25">
      <c r="A4" s="178" t="s">
        <v>212</v>
      </c>
      <c r="B4" s="177"/>
      <c r="C4" s="345">
        <v>168622</v>
      </c>
      <c r="D4" s="177"/>
      <c r="E4" s="345">
        <v>4182739.26321</v>
      </c>
      <c r="F4" s="180">
        <v>-1740995</v>
      </c>
      <c r="G4" s="345">
        <f>6531638-G5</f>
        <v>6522036</v>
      </c>
      <c r="H4" s="181">
        <f>F4+G4</f>
        <v>4781041</v>
      </c>
      <c r="I4" s="182">
        <f t="shared" ref="I4:I13" si="0">SUM(E4:G4)</f>
        <v>8963780.2632100005</v>
      </c>
      <c r="J4" s="170"/>
      <c r="K4" s="170"/>
      <c r="L4" s="170" t="s">
        <v>213</v>
      </c>
      <c r="M4" s="170"/>
      <c r="N4" s="183">
        <v>-28699.23</v>
      </c>
      <c r="O4" s="184">
        <f>E4</f>
        <v>4182739.26321</v>
      </c>
      <c r="P4" s="184">
        <f t="shared" ref="P4:P9" si="1">G4</f>
        <v>6522036</v>
      </c>
      <c r="Q4" s="366">
        <v>-6.8500000000000002E-3</v>
      </c>
      <c r="R4" s="186">
        <f>P4*Q4</f>
        <v>-44675.946600000003</v>
      </c>
      <c r="S4" s="184">
        <f t="shared" ref="S4:S9" si="2">F4</f>
        <v>-1740995</v>
      </c>
      <c r="T4" s="366">
        <v>-6.8500000000000002E-3</v>
      </c>
      <c r="U4" s="187">
        <f>S4*T4</f>
        <v>11925.81575</v>
      </c>
      <c r="V4" s="170"/>
      <c r="W4" s="188">
        <f>N4+R4+U4</f>
        <v>-61449.360850000005</v>
      </c>
      <c r="X4" s="170"/>
      <c r="Y4" s="189">
        <f>O4+P4+S4</f>
        <v>8963780.2632100005</v>
      </c>
      <c r="Z4" s="190">
        <f>Q4</f>
        <v>-6.8500000000000002E-3</v>
      </c>
      <c r="AA4" s="191">
        <f>Y4*Z4</f>
        <v>-61401.894802988507</v>
      </c>
      <c r="AB4" s="188">
        <f>W4-AA4</f>
        <v>-47.466047011497722</v>
      </c>
      <c r="AC4" s="189">
        <f>AB4/T4</f>
        <v>6929.3499286857987</v>
      </c>
      <c r="AD4" s="192">
        <f t="shared" ref="AD4:AD11" si="3">AB4/W4</f>
        <v>7.7244167156374451E-4</v>
      </c>
      <c r="AE4" s="77"/>
      <c r="AF4" s="77"/>
      <c r="AG4" s="77"/>
    </row>
    <row r="5" spans="1:33" x14ac:dyDescent="0.25">
      <c r="A5" s="178" t="s">
        <v>214</v>
      </c>
      <c r="B5" s="177"/>
      <c r="C5" s="345">
        <v>236</v>
      </c>
      <c r="D5" s="177"/>
      <c r="E5" s="345">
        <v>6153.3073299999996</v>
      </c>
      <c r="F5" s="180">
        <v>-2287</v>
      </c>
      <c r="G5" s="345">
        <v>9602</v>
      </c>
      <c r="H5" s="181">
        <f t="shared" ref="H5:H13" si="4">F5+G5</f>
        <v>7315</v>
      </c>
      <c r="I5" s="182">
        <f t="shared" si="0"/>
        <v>13468.30733</v>
      </c>
      <c r="J5" s="170"/>
      <c r="K5" s="170"/>
      <c r="L5" s="170" t="s">
        <v>215</v>
      </c>
      <c r="M5" s="170"/>
      <c r="N5" s="183">
        <v>-42.08</v>
      </c>
      <c r="O5" s="184">
        <f t="shared" ref="O5:O7" si="5">E5</f>
        <v>6153.3073299999996</v>
      </c>
      <c r="P5" s="184">
        <f t="shared" si="1"/>
        <v>9602</v>
      </c>
      <c r="Q5" s="366">
        <v>-6.8500000000000002E-3</v>
      </c>
      <c r="R5" s="186">
        <f t="shared" ref="R5:R10" si="6">P5*Q5</f>
        <v>-65.773700000000005</v>
      </c>
      <c r="S5" s="184">
        <f t="shared" si="2"/>
        <v>-2287</v>
      </c>
      <c r="T5" s="366">
        <v>-6.8500000000000002E-3</v>
      </c>
      <c r="U5" s="187">
        <f t="shared" ref="U5:U10" si="7">S5*T5</f>
        <v>15.66595</v>
      </c>
      <c r="V5" s="170"/>
      <c r="W5" s="188">
        <f t="shared" ref="W5:W10" si="8">N5+R5+U5</f>
        <v>-92.187750000000008</v>
      </c>
      <c r="X5" s="170"/>
      <c r="Y5" s="189">
        <f t="shared" ref="Y5:Y10" si="9">O5+P5+S5</f>
        <v>13468.30733</v>
      </c>
      <c r="Z5" s="190">
        <f t="shared" ref="Z5:Z10" si="10">Q5</f>
        <v>-6.8500000000000002E-3</v>
      </c>
      <c r="AA5" s="191">
        <f t="shared" ref="AA5:AA10" si="11">Y5*Z5</f>
        <v>-92.257905210499999</v>
      </c>
      <c r="AB5" s="188">
        <f t="shared" ref="AB5:AB10" si="12">W5-AA5</f>
        <v>7.0155210499990517E-2</v>
      </c>
      <c r="AC5" s="189">
        <f t="shared" ref="AC5:AC10" si="13">AB5/T5</f>
        <v>-10.241636569341681</v>
      </c>
      <c r="AD5" s="192">
        <f t="shared" si="3"/>
        <v>-7.6100360948163411E-4</v>
      </c>
      <c r="AE5" s="77"/>
      <c r="AF5" s="77"/>
      <c r="AG5" s="77"/>
    </row>
    <row r="6" spans="1:33" x14ac:dyDescent="0.25">
      <c r="A6" s="178" t="s">
        <v>216</v>
      </c>
      <c r="B6" s="177"/>
      <c r="C6" s="345">
        <v>3153</v>
      </c>
      <c r="D6" s="177"/>
      <c r="E6" s="345">
        <v>2428824.34</v>
      </c>
      <c r="F6" s="180">
        <v>-1106773</v>
      </c>
      <c r="G6" s="345">
        <v>3528500</v>
      </c>
      <c r="H6" s="181">
        <f t="shared" si="4"/>
        <v>2421727</v>
      </c>
      <c r="I6" s="182">
        <f>SUM(E6:G6)</f>
        <v>4850551.34</v>
      </c>
      <c r="J6" s="170"/>
      <c r="K6" s="170"/>
      <c r="L6" s="170" t="s">
        <v>217</v>
      </c>
      <c r="M6" s="170"/>
      <c r="N6" s="183">
        <v>10162.01</v>
      </c>
      <c r="O6" s="184">
        <f t="shared" si="5"/>
        <v>2428824.34</v>
      </c>
      <c r="P6" s="184">
        <f t="shared" si="1"/>
        <v>3528500</v>
      </c>
      <c r="Q6" s="261">
        <v>4.1900000000000001E-3</v>
      </c>
      <c r="R6" s="186">
        <f t="shared" si="6"/>
        <v>14784.415000000001</v>
      </c>
      <c r="S6" s="184">
        <f t="shared" si="2"/>
        <v>-1106773</v>
      </c>
      <c r="T6" s="261">
        <v>4.1900000000000001E-3</v>
      </c>
      <c r="U6" s="187">
        <f t="shared" si="7"/>
        <v>-4637.3788700000005</v>
      </c>
      <c r="V6" s="170"/>
      <c r="W6" s="188">
        <f t="shared" si="8"/>
        <v>20309.046130000002</v>
      </c>
      <c r="X6" s="170"/>
      <c r="Y6" s="189">
        <f t="shared" si="9"/>
        <v>4850551.34</v>
      </c>
      <c r="Z6" s="177">
        <f t="shared" si="10"/>
        <v>4.1900000000000001E-3</v>
      </c>
      <c r="AA6" s="191">
        <f t="shared" si="11"/>
        <v>20323.810114600001</v>
      </c>
      <c r="AB6" s="188">
        <f t="shared" si="12"/>
        <v>-14.763984599998366</v>
      </c>
      <c r="AC6" s="189">
        <f t="shared" si="13"/>
        <v>-3523.6240095461494</v>
      </c>
      <c r="AD6" s="192">
        <f t="shared" si="3"/>
        <v>-7.2696592964006251E-4</v>
      </c>
      <c r="AE6" s="77"/>
      <c r="AF6" s="77"/>
      <c r="AG6" s="77"/>
    </row>
    <row r="7" spans="1:33" x14ac:dyDescent="0.25">
      <c r="A7" s="178" t="s">
        <v>218</v>
      </c>
      <c r="B7" s="177"/>
      <c r="C7" s="345">
        <v>3</v>
      </c>
      <c r="D7" s="177"/>
      <c r="E7" s="345">
        <v>68589.327999999994</v>
      </c>
      <c r="F7" s="180">
        <v>-38051</v>
      </c>
      <c r="G7" s="345">
        <v>107036</v>
      </c>
      <c r="H7" s="181">
        <f t="shared" si="4"/>
        <v>68985</v>
      </c>
      <c r="I7" s="182">
        <f>SUM(E7:G7)</f>
        <v>137574.32799999998</v>
      </c>
      <c r="J7" s="170"/>
      <c r="K7" s="170"/>
      <c r="L7" s="170" t="s">
        <v>219</v>
      </c>
      <c r="M7" s="170"/>
      <c r="N7" s="183">
        <v>287.39</v>
      </c>
      <c r="O7" s="184">
        <f t="shared" si="5"/>
        <v>68589.327999999994</v>
      </c>
      <c r="P7" s="184">
        <f t="shared" si="1"/>
        <v>107036</v>
      </c>
      <c r="Q7" s="261">
        <v>4.1900000000000001E-3</v>
      </c>
      <c r="R7" s="186">
        <f t="shared" si="6"/>
        <v>448.48084</v>
      </c>
      <c r="S7" s="184">
        <f t="shared" si="2"/>
        <v>-38051</v>
      </c>
      <c r="T7" s="261">
        <v>4.1900000000000001E-3</v>
      </c>
      <c r="U7" s="187">
        <f t="shared" si="7"/>
        <v>-159.43369000000001</v>
      </c>
      <c r="V7" s="170"/>
      <c r="W7" s="188">
        <f t="shared" si="8"/>
        <v>576.43714999999997</v>
      </c>
      <c r="X7" s="170"/>
      <c r="Y7" s="189">
        <f t="shared" si="9"/>
        <v>137574.32799999998</v>
      </c>
      <c r="Z7" s="190">
        <f t="shared" si="10"/>
        <v>4.1900000000000001E-3</v>
      </c>
      <c r="AA7" s="191">
        <f t="shared" si="11"/>
        <v>576.43643431999999</v>
      </c>
      <c r="AB7" s="188">
        <f t="shared" si="12"/>
        <v>7.1567999998478626E-4</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261">
        <v>4.1900000000000001E-3</v>
      </c>
      <c r="R8" s="186">
        <f t="shared" si="6"/>
        <v>0</v>
      </c>
      <c r="S8" s="184">
        <f t="shared" si="2"/>
        <v>0</v>
      </c>
      <c r="T8" s="261">
        <v>4.1900000000000001E-3</v>
      </c>
      <c r="U8" s="187">
        <f t="shared" si="7"/>
        <v>0</v>
      </c>
      <c r="V8" s="170"/>
      <c r="W8" s="188">
        <f>N8+R8+U8</f>
        <v>0</v>
      </c>
      <c r="X8" s="170"/>
      <c r="Y8" s="189">
        <f t="shared" si="9"/>
        <v>0</v>
      </c>
      <c r="Z8" s="177">
        <f t="shared" si="10"/>
        <v>4.1900000000000001E-3</v>
      </c>
      <c r="AA8" s="191">
        <f t="shared" si="11"/>
        <v>0</v>
      </c>
      <c r="AB8" s="188">
        <f t="shared" si="12"/>
        <v>0</v>
      </c>
      <c r="AC8" s="189">
        <f t="shared" si="13"/>
        <v>0</v>
      </c>
      <c r="AD8" s="192"/>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261">
        <v>4.1900000000000001E-3</v>
      </c>
      <c r="R9" s="186">
        <f t="shared" si="6"/>
        <v>0</v>
      </c>
      <c r="S9" s="184">
        <f t="shared" si="2"/>
        <v>0</v>
      </c>
      <c r="T9" s="261">
        <v>4.1900000000000001E-3</v>
      </c>
      <c r="U9" s="187">
        <f t="shared" si="7"/>
        <v>0</v>
      </c>
      <c r="V9" s="170"/>
      <c r="W9" s="188">
        <f>N9+R9+U9</f>
        <v>0</v>
      </c>
      <c r="X9" s="170"/>
      <c r="Y9" s="189">
        <f t="shared" si="9"/>
        <v>0</v>
      </c>
      <c r="Z9" s="190">
        <f t="shared" si="10"/>
        <v>4.1900000000000001E-3</v>
      </c>
      <c r="AA9" s="191">
        <f t="shared" si="11"/>
        <v>0</v>
      </c>
      <c r="AB9" s="188">
        <f t="shared" si="12"/>
        <v>0</v>
      </c>
      <c r="AC9" s="189"/>
      <c r="AD9" s="192"/>
      <c r="AE9" s="77"/>
      <c r="AF9" s="77"/>
      <c r="AG9" s="77"/>
    </row>
    <row r="10" spans="1:33" x14ac:dyDescent="0.25">
      <c r="A10" s="178" t="s">
        <v>223</v>
      </c>
      <c r="B10" s="177"/>
      <c r="C10" s="345">
        <v>2</v>
      </c>
      <c r="D10" s="177"/>
      <c r="E10" s="345">
        <v>54977.125</v>
      </c>
      <c r="F10" s="180"/>
      <c r="G10" s="345"/>
      <c r="H10" s="181">
        <f t="shared" si="4"/>
        <v>0</v>
      </c>
      <c r="I10" s="182">
        <f t="shared" si="0"/>
        <v>54977.125</v>
      </c>
      <c r="J10" s="170"/>
      <c r="K10" s="170"/>
      <c r="L10" s="170" t="s">
        <v>224</v>
      </c>
      <c r="M10" s="170"/>
      <c r="N10" s="183">
        <v>0</v>
      </c>
      <c r="O10" s="184">
        <v>0</v>
      </c>
      <c r="P10" s="184">
        <v>0</v>
      </c>
      <c r="Q10" s="261">
        <v>4.1900000000000001E-3</v>
      </c>
      <c r="R10" s="186">
        <f t="shared" si="6"/>
        <v>0</v>
      </c>
      <c r="S10" s="184">
        <v>0</v>
      </c>
      <c r="T10" s="261">
        <v>4.1900000000000001E-3</v>
      </c>
      <c r="U10" s="187">
        <f t="shared" si="7"/>
        <v>0</v>
      </c>
      <c r="V10" s="170"/>
      <c r="W10" s="188">
        <f t="shared" si="8"/>
        <v>0</v>
      </c>
      <c r="X10" s="170"/>
      <c r="Y10" s="189">
        <f t="shared" si="9"/>
        <v>0</v>
      </c>
      <c r="Z10" s="177">
        <f t="shared" si="10"/>
        <v>4.1900000000000001E-3</v>
      </c>
      <c r="AA10" s="191">
        <f t="shared" si="11"/>
        <v>0</v>
      </c>
      <c r="AB10" s="188">
        <f t="shared" si="12"/>
        <v>0</v>
      </c>
      <c r="AC10" s="189">
        <f t="shared" si="13"/>
        <v>0</v>
      </c>
      <c r="AD10" s="192"/>
      <c r="AE10" s="77"/>
      <c r="AF10" s="77"/>
      <c r="AG10" s="77"/>
    </row>
    <row r="11" spans="1:33" x14ac:dyDescent="0.25">
      <c r="A11" s="178" t="s">
        <v>225</v>
      </c>
      <c r="B11" s="177"/>
      <c r="C11" s="345">
        <v>37</v>
      </c>
      <c r="D11" s="177"/>
      <c r="E11" s="345">
        <v>1782048</v>
      </c>
      <c r="F11" s="180">
        <v>-1781958</v>
      </c>
      <c r="G11" s="345">
        <v>2859646</v>
      </c>
      <c r="H11" s="181">
        <f t="shared" si="4"/>
        <v>1077688</v>
      </c>
      <c r="I11" s="182">
        <f t="shared" si="0"/>
        <v>2859736</v>
      </c>
      <c r="J11" s="170"/>
      <c r="K11" s="170"/>
      <c r="L11" s="170"/>
      <c r="M11" s="170"/>
      <c r="N11" s="194">
        <f>SUM(N4:N10)</f>
        <v>-18291.910000000003</v>
      </c>
      <c r="O11" s="195">
        <f>SUM(O4:O10)</f>
        <v>6686306.2385399994</v>
      </c>
      <c r="P11" s="195">
        <f>SUM(P4:P10)</f>
        <v>10167174</v>
      </c>
      <c r="Q11" s="170"/>
      <c r="R11" s="194">
        <f>SUM(R4:R10)</f>
        <v>-29508.82446</v>
      </c>
      <c r="S11" s="195">
        <f>SUM(S4:S10)</f>
        <v>-2888106</v>
      </c>
      <c r="T11" s="196"/>
      <c r="U11" s="194">
        <f>SUM(U4:U10)</f>
        <v>7144.66914</v>
      </c>
      <c r="V11" s="170"/>
      <c r="W11" s="194">
        <f>SUM(W4:W10)</f>
        <v>-40656.065320000002</v>
      </c>
      <c r="X11" s="170"/>
      <c r="Y11" s="197">
        <f>SUM(Y4:Y10)</f>
        <v>13965374.238539999</v>
      </c>
      <c r="Z11" s="170"/>
      <c r="AA11" s="197">
        <f>SUM(AA4:AA10)</f>
        <v>-40593.906159279009</v>
      </c>
      <c r="AB11" s="194">
        <f>SUM(AB4:AB10)</f>
        <v>-62.159160720996113</v>
      </c>
      <c r="AC11" s="197">
        <f>SUM(AC4:AC10)</f>
        <v>3395.4842825703076</v>
      </c>
      <c r="AD11" s="192">
        <f t="shared" si="3"/>
        <v>1.5289025199991023E-3</v>
      </c>
      <c r="AE11" s="77"/>
      <c r="AF11" s="77"/>
      <c r="AG11" s="77"/>
    </row>
    <row r="12" spans="1:33" x14ac:dyDescent="0.25">
      <c r="A12" s="178" t="s">
        <v>226</v>
      </c>
      <c r="B12" s="177"/>
      <c r="C12" s="345">
        <v>3</v>
      </c>
      <c r="D12" s="177"/>
      <c r="E12" s="345">
        <v>823365</v>
      </c>
      <c r="F12" s="180"/>
      <c r="G12" s="345"/>
      <c r="H12" s="181">
        <f t="shared" si="4"/>
        <v>0</v>
      </c>
      <c r="I12" s="182">
        <f t="shared" si="0"/>
        <v>823365</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2922870</v>
      </c>
      <c r="F13" s="180">
        <v>-2922905</v>
      </c>
      <c r="G13" s="345">
        <v>3547300</v>
      </c>
      <c r="H13" s="181">
        <f t="shared" si="4"/>
        <v>624395</v>
      </c>
      <c r="I13" s="182">
        <f t="shared" si="0"/>
        <v>3547265</v>
      </c>
      <c r="J13" s="170"/>
      <c r="K13" s="170"/>
      <c r="L13" s="170"/>
      <c r="M13" s="170"/>
      <c r="N13" s="170"/>
      <c r="O13" s="170"/>
      <c r="P13" s="170"/>
      <c r="Q13" s="170"/>
      <c r="R13" s="170"/>
      <c r="S13" s="170"/>
      <c r="T13" s="365" t="s">
        <v>384</v>
      </c>
      <c r="U13" s="177" t="s">
        <v>228</v>
      </c>
      <c r="V13" s="177"/>
      <c r="W13" s="364">
        <v>0.95660000000000001</v>
      </c>
      <c r="X13" s="170"/>
      <c r="Y13" s="170"/>
      <c r="Z13" s="170" t="s">
        <v>229</v>
      </c>
      <c r="AA13" s="170" t="s">
        <v>230</v>
      </c>
      <c r="AB13" s="170"/>
      <c r="AC13" s="170" t="s">
        <v>231</v>
      </c>
      <c r="AD13" s="170"/>
      <c r="AE13" s="77"/>
      <c r="AF13" s="77"/>
      <c r="AG13" s="77"/>
    </row>
    <row r="14" spans="1:33" x14ac:dyDescent="0.25">
      <c r="A14" s="177"/>
      <c r="B14" s="177"/>
      <c r="C14" s="201">
        <f>SUM(C4:C13)</f>
        <v>172061</v>
      </c>
      <c r="D14" s="170"/>
      <c r="E14" s="201">
        <f>SUM(E4:E13)</f>
        <v>12269566.363539999</v>
      </c>
      <c r="F14" s="201">
        <f>SUM(F4:F13)</f>
        <v>-7592969</v>
      </c>
      <c r="G14" s="201">
        <f>SUM(G4:G13)</f>
        <v>16574120</v>
      </c>
      <c r="H14" s="201">
        <f>SUM(H4:H13)</f>
        <v>8981151</v>
      </c>
      <c r="I14" s="201">
        <f t="shared" ref="I14" si="14">SUM(I4:I13)</f>
        <v>21250717.363540001</v>
      </c>
      <c r="J14" s="170"/>
      <c r="K14" s="170"/>
      <c r="L14" s="170"/>
      <c r="M14" s="170"/>
      <c r="N14" s="170"/>
      <c r="O14" s="170"/>
      <c r="P14" s="170"/>
      <c r="Q14" s="170"/>
      <c r="R14" s="170"/>
      <c r="S14" s="170" t="s">
        <v>181</v>
      </c>
      <c r="T14" s="170" t="s">
        <v>232</v>
      </c>
      <c r="U14" s="170"/>
      <c r="V14" s="282"/>
      <c r="W14" s="202">
        <f>ROUND((W4+W5)*W13,2)</f>
        <v>-58870.65</v>
      </c>
      <c r="X14" s="170"/>
      <c r="Y14" s="170" t="s">
        <v>28</v>
      </c>
      <c r="Z14" s="181">
        <f>O4+O5+P4+P5+S4+S5</f>
        <v>8977248.5705399998</v>
      </c>
      <c r="AA14" s="190">
        <v>-6.5500000000000003E-3</v>
      </c>
      <c r="AB14" s="188">
        <f>Z14*AA14</f>
        <v>-58800.978137037004</v>
      </c>
      <c r="AC14" s="188">
        <f>W14-AB14</f>
        <v>-69.671862962997693</v>
      </c>
      <c r="AD14" s="192">
        <f>AC14/W14</f>
        <v>1.1834736488045858E-3</v>
      </c>
      <c r="AE14" s="77"/>
      <c r="AF14" s="77"/>
      <c r="AG14" s="77"/>
    </row>
    <row r="15" spans="1:33" ht="15.75" thickBot="1" x14ac:dyDescent="0.3">
      <c r="A15" s="282"/>
      <c r="B15" s="282" t="s">
        <v>343</v>
      </c>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c r="W15" s="202">
        <f>ROUND(SUM(W6:W10)*W13,2)</f>
        <v>19979.05</v>
      </c>
      <c r="X15" s="170"/>
      <c r="Y15" s="170" t="s">
        <v>234</v>
      </c>
      <c r="Z15" s="181">
        <f>SUM(O6:P10,S6:S10)</f>
        <v>4988125.6679999996</v>
      </c>
      <c r="AA15" s="190">
        <v>4.0099999999999997E-3</v>
      </c>
      <c r="AB15" s="188">
        <f>(Z15)*AA15</f>
        <v>20002.383928679996</v>
      </c>
      <c r="AC15" s="188">
        <f>W15-AB15</f>
        <v>-23.333928679996461</v>
      </c>
      <c r="AD15" s="192">
        <f>AC15/W15</f>
        <v>-1.1679198300217708E-3</v>
      </c>
      <c r="AE15" s="77"/>
      <c r="AF15" s="77"/>
      <c r="AG15" s="77"/>
    </row>
    <row r="16" spans="1:33" x14ac:dyDescent="0.25">
      <c r="A16" s="177" t="s">
        <v>28</v>
      </c>
      <c r="B16" s="282"/>
      <c r="C16" s="203">
        <f>C4+C5</f>
        <v>168858</v>
      </c>
      <c r="D16" s="170"/>
      <c r="E16" s="204">
        <f>E4+E5</f>
        <v>4188892.5705400002</v>
      </c>
      <c r="F16" s="204">
        <f t="shared" ref="F16:H16" si="15">F4+F5</f>
        <v>-1743282</v>
      </c>
      <c r="G16" s="204">
        <f t="shared" si="15"/>
        <v>6531638</v>
      </c>
      <c r="H16" s="204">
        <f t="shared" si="15"/>
        <v>4788356</v>
      </c>
      <c r="I16" s="203">
        <f>I4+I5</f>
        <v>8977248.5705399998</v>
      </c>
      <c r="J16" s="291"/>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-22364.155319999998</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c r="C18" s="207">
        <f>SUM(C6:C9)</f>
        <v>3156</v>
      </c>
      <c r="D18" s="170"/>
      <c r="E18" s="208">
        <f>SUM(E6:E9)</f>
        <v>2497413.6680000001</v>
      </c>
      <c r="F18" s="208">
        <f t="shared" ref="F18:H18" si="16">SUM(F6:F9)</f>
        <v>-1144824</v>
      </c>
      <c r="G18" s="208">
        <f>SUM(G6:G9)</f>
        <v>3635536</v>
      </c>
      <c r="H18" s="208">
        <f t="shared" si="16"/>
        <v>2490712</v>
      </c>
      <c r="I18" s="207">
        <f>SUM(I6:I9)</f>
        <v>4988125.6679999996</v>
      </c>
      <c r="J18" s="291"/>
      <c r="K18" s="170"/>
      <c r="L18" s="170"/>
      <c r="M18" s="170"/>
      <c r="N18" s="170"/>
      <c r="O18" s="170"/>
      <c r="P18" s="170"/>
      <c r="Q18" s="170"/>
      <c r="R18" s="188">
        <f>E64</f>
        <v>-22364.155320000005</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74"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1624792.5</v>
      </c>
      <c r="D22" s="183">
        <v>3384685.43</v>
      </c>
      <c r="E22" s="183">
        <v>-2053735.3028881464</v>
      </c>
      <c r="F22" s="183">
        <f>5470174-F23</f>
        <v>5468066.0347994389</v>
      </c>
      <c r="G22" s="211">
        <f>SUM(D22:F22)</f>
        <v>6799016.1619112929</v>
      </c>
      <c r="H22" s="188">
        <f t="shared" ref="H22:H31" si="17">-J54</f>
        <v>-1397376.8157900001</v>
      </c>
      <c r="I22" s="188">
        <f t="shared" ref="I22:I31" si="18">G22+H22</f>
        <v>5401639.3461212926</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2270.5</v>
      </c>
      <c r="D23" s="183">
        <v>4814.55</v>
      </c>
      <c r="E23" s="183">
        <v>-516.69711185364599</v>
      </c>
      <c r="F23" s="183">
        <f>G5*(K23-C23)/E5</f>
        <v>2107.9652005615008</v>
      </c>
      <c r="G23" s="211">
        <f>SUM(D23:F23)</f>
        <v>6405.8180887078552</v>
      </c>
      <c r="H23" s="188">
        <f t="shared" si="17"/>
        <v>1408.2269399999996</v>
      </c>
      <c r="I23" s="188">
        <f t="shared" si="18"/>
        <v>7814.0450287078547</v>
      </c>
      <c r="J23" s="170"/>
      <c r="K23" s="183">
        <v>3621.36</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339776.57</v>
      </c>
      <c r="D24" s="183">
        <v>933805.01</v>
      </c>
      <c r="E24" s="183">
        <v>-629876</v>
      </c>
      <c r="F24" s="183">
        <v>2008105</v>
      </c>
      <c r="G24" s="211">
        <f>SUM(D24:F24)</f>
        <v>2312034.0099999998</v>
      </c>
      <c r="H24" s="188">
        <f t="shared" si="17"/>
        <v>-706350.17198999983</v>
      </c>
      <c r="I24" s="188">
        <f t="shared" si="18"/>
        <v>1605683.8380100001</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430.24</v>
      </c>
      <c r="D25" s="183">
        <v>17670.97</v>
      </c>
      <c r="E25" s="183">
        <v>-21243</v>
      </c>
      <c r="F25" s="183">
        <v>59754</v>
      </c>
      <c r="G25" s="211">
        <f>SUM(D25:F25)</f>
        <v>56181.97</v>
      </c>
      <c r="H25" s="188">
        <f t="shared" si="17"/>
        <v>-19382.819079999997</v>
      </c>
      <c r="I25" s="188">
        <f>G25+H25</f>
        <v>36799.15092</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12772.12</v>
      </c>
      <c r="E28" s="183"/>
      <c r="F28" s="183"/>
      <c r="G28" s="211">
        <f t="shared" si="19"/>
        <v>12772.12</v>
      </c>
      <c r="H28" s="188">
        <f t="shared" si="17"/>
        <v>0</v>
      </c>
      <c r="I28" s="188">
        <f t="shared" si="18"/>
        <v>12772.12</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23125</v>
      </c>
      <c r="D29" s="183">
        <v>190201.07</v>
      </c>
      <c r="E29" s="183">
        <v>-158683</v>
      </c>
      <c r="F29" s="183">
        <v>254651</v>
      </c>
      <c r="G29" s="211">
        <f t="shared" si="19"/>
        <v>286169.07</v>
      </c>
      <c r="H29" s="188">
        <f t="shared" si="17"/>
        <v>1733.4718000000003</v>
      </c>
      <c r="I29" s="188">
        <f t="shared" si="18"/>
        <v>287902.54180000001</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17216.560000000001</v>
      </c>
      <c r="E30" s="183"/>
      <c r="F30" s="183"/>
      <c r="G30" s="211">
        <f t="shared" si="19"/>
        <v>17216.560000000001</v>
      </c>
      <c r="H30" s="188">
        <f t="shared" si="17"/>
        <v>0</v>
      </c>
      <c r="I30" s="188">
        <f t="shared" si="18"/>
        <v>17216.560000000001</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81202.55</v>
      </c>
      <c r="E31" s="183">
        <v>-61118</v>
      </c>
      <c r="F31" s="183">
        <v>74174</v>
      </c>
      <c r="G31" s="211">
        <f t="shared" si="19"/>
        <v>94258.55</v>
      </c>
      <c r="H31" s="188">
        <f t="shared" si="17"/>
        <v>0</v>
      </c>
      <c r="I31" s="188">
        <f t="shared" si="18"/>
        <v>94258.55</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1948496.58</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226837.5</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1991394.81</v>
      </c>
      <c r="D34" s="213">
        <f>SUM(D22:D33)</f>
        <v>6817702.3399999999</v>
      </c>
      <c r="E34" s="213">
        <f>SUM(E22:E33)</f>
        <v>-2925172</v>
      </c>
      <c r="F34" s="213">
        <f>SUM(F22:F33)</f>
        <v>7866858</v>
      </c>
      <c r="G34" s="213">
        <f t="shared" ref="G34:I34" si="20">SUM(G22:G33)</f>
        <v>9584054.2600000016</v>
      </c>
      <c r="H34" s="213">
        <f t="shared" si="20"/>
        <v>-2119968.10812</v>
      </c>
      <c r="I34" s="213">
        <f t="shared" si="20"/>
        <v>7464086.1518799998</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c r="C36" s="215">
        <f>C22+C23</f>
        <v>1627063</v>
      </c>
      <c r="D36" s="186">
        <f>D22+D23</f>
        <v>3389499.98</v>
      </c>
      <c r="E36" s="186">
        <f t="shared" ref="E36:H36" si="21">E22+E23</f>
        <v>-2054252</v>
      </c>
      <c r="F36" s="186">
        <f t="shared" si="21"/>
        <v>5470174</v>
      </c>
      <c r="G36" s="186">
        <f t="shared" si="21"/>
        <v>6805421.9800000004</v>
      </c>
      <c r="H36" s="186">
        <f t="shared" si="21"/>
        <v>-1395968.5888500002</v>
      </c>
      <c r="I36" s="215">
        <f>I22+I23</f>
        <v>5409453.3911500005</v>
      </c>
      <c r="J36" s="291"/>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c r="C38" s="218">
        <f>SUM(C24:C27)</f>
        <v>340206.81</v>
      </c>
      <c r="D38" s="219">
        <f>SUM(D24:D27)</f>
        <v>951475.98</v>
      </c>
      <c r="E38" s="219">
        <f t="shared" ref="E38:F38" si="22">SUM(E24:E27)</f>
        <v>-651119</v>
      </c>
      <c r="F38" s="219">
        <f t="shared" si="22"/>
        <v>2067859</v>
      </c>
      <c r="G38" s="219">
        <f>SUM(G24:G27)</f>
        <v>2368215.98</v>
      </c>
      <c r="H38" s="219">
        <f>SUM(H24:H27)</f>
        <v>-725732.99106999987</v>
      </c>
      <c r="I38" s="218">
        <f>SUM(I24:I27)</f>
        <v>1642482.98893</v>
      </c>
      <c r="J38" s="291"/>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76.150000000000006" customHeight="1" x14ac:dyDescent="0.25">
      <c r="A40" s="177"/>
      <c r="B40" s="170"/>
      <c r="C40" s="221">
        <v>43770</v>
      </c>
      <c r="D40" s="221">
        <v>43770</v>
      </c>
      <c r="E40" s="221">
        <v>44044</v>
      </c>
      <c r="F40" s="221">
        <v>43739</v>
      </c>
      <c r="G40" s="221">
        <v>43344</v>
      </c>
      <c r="H40" s="221">
        <v>43922</v>
      </c>
      <c r="I40" s="324" t="s">
        <v>375</v>
      </c>
      <c r="J40" s="221">
        <v>44105</v>
      </c>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223" t="s">
        <v>248</v>
      </c>
      <c r="F41" s="223" t="s">
        <v>249</v>
      </c>
      <c r="G41" s="223" t="s">
        <v>250</v>
      </c>
      <c r="H41" s="223" t="s">
        <v>251</v>
      </c>
      <c r="I41" s="223" t="s">
        <v>364</v>
      </c>
      <c r="J41" s="223" t="s">
        <v>251</v>
      </c>
      <c r="K41" s="375"/>
      <c r="L41" s="375"/>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-6.8500000000000002E-3</v>
      </c>
      <c r="F42" s="224">
        <v>0</v>
      </c>
      <c r="G42" s="224">
        <v>3.0280000000000001E-2</v>
      </c>
      <c r="H42" s="224">
        <v>2.1899999999999999E-2</v>
      </c>
      <c r="I42" s="224">
        <v>-2.1409999999999998E-2</v>
      </c>
      <c r="J42" s="224">
        <v>2.3779999999999999E-2</v>
      </c>
      <c r="K42" s="224"/>
      <c r="L42" s="224"/>
      <c r="N42" s="225">
        <f>SUM(C42:I42)-H42+J42</f>
        <v>0.29159000000000007</v>
      </c>
      <c r="O42" s="225">
        <f>SUM(C42:I42)</f>
        <v>0.28971000000000002</v>
      </c>
      <c r="P42" s="191">
        <f t="shared" ref="P42:P51" si="23">N42*G4</f>
        <v>1901760.4772400004</v>
      </c>
      <c r="Q42" s="226">
        <f t="shared" ref="Q42:Q51" si="24">-F4*O42</f>
        <v>504383.66145000001</v>
      </c>
      <c r="R42" s="191">
        <f>P42-Q42</f>
        <v>1397376.8157900004</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f>E42</f>
        <v>-6.8500000000000002E-3</v>
      </c>
      <c r="F43" s="224">
        <v>-0.48469000000000001</v>
      </c>
      <c r="G43" s="224">
        <v>3.0280000000000001E-2</v>
      </c>
      <c r="H43" s="224">
        <f>H42</f>
        <v>2.1899999999999999E-2</v>
      </c>
      <c r="I43" s="224">
        <f>I42</f>
        <v>-2.1409999999999998E-2</v>
      </c>
      <c r="J43" s="224">
        <f>J42</f>
        <v>2.3779999999999999E-2</v>
      </c>
      <c r="K43" s="224"/>
      <c r="L43" s="224"/>
      <c r="N43" s="225">
        <f t="shared" ref="N43:N51" si="25">SUM(C43:I43)-H43+J43</f>
        <v>-0.19309999999999999</v>
      </c>
      <c r="O43" s="225">
        <f t="shared" ref="O43:O51" si="26">SUM(C43:I43)</f>
        <v>-0.19497999999999999</v>
      </c>
      <c r="P43" s="191">
        <f t="shared" si="23"/>
        <v>-1854.1461999999999</v>
      </c>
      <c r="Q43" s="226">
        <f t="shared" si="24"/>
        <v>-445.91925999999995</v>
      </c>
      <c r="R43" s="191">
        <f t="shared" ref="R43:R51" si="27">P43-Q43</f>
        <v>-1408.22694</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4.1900000000000001E-3</v>
      </c>
      <c r="F44" s="224">
        <v>0</v>
      </c>
      <c r="G44" s="224">
        <v>1.626E-2</v>
      </c>
      <c r="H44" s="224">
        <v>1.8360000000000001E-2</v>
      </c>
      <c r="I44" s="224">
        <v>-1.21E-2</v>
      </c>
      <c r="J44" s="224">
        <v>1.9939999999999999E-2</v>
      </c>
      <c r="K44" s="224"/>
      <c r="L44" s="224"/>
      <c r="N44" s="225">
        <f t="shared" si="25"/>
        <v>0.29095000000000004</v>
      </c>
      <c r="O44" s="225">
        <f t="shared" si="26"/>
        <v>0.28937000000000002</v>
      </c>
      <c r="P44" s="191">
        <f t="shared" si="23"/>
        <v>1026617.0750000002</v>
      </c>
      <c r="Q44" s="226">
        <f t="shared" si="24"/>
        <v>320266.90301000001</v>
      </c>
      <c r="R44" s="191">
        <f t="shared" si="27"/>
        <v>706350.17199000018</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f>E44</f>
        <v>4.1900000000000001E-3</v>
      </c>
      <c r="F45" s="224">
        <v>0</v>
      </c>
      <c r="G45" s="224">
        <v>1.626E-2</v>
      </c>
      <c r="H45" s="224">
        <f>H44</f>
        <v>1.8360000000000001E-2</v>
      </c>
      <c r="I45" s="224">
        <f>I44</f>
        <v>-1.21E-2</v>
      </c>
      <c r="J45" s="224">
        <f>J44</f>
        <v>1.9939999999999999E-2</v>
      </c>
      <c r="K45" s="224"/>
      <c r="L45" s="224"/>
      <c r="N45" s="225">
        <f t="shared" si="25"/>
        <v>0.28010000000000002</v>
      </c>
      <c r="O45" s="225">
        <f t="shared" si="26"/>
        <v>0.27851999999999999</v>
      </c>
      <c r="P45" s="191">
        <f t="shared" si="23"/>
        <v>29980.783600000002</v>
      </c>
      <c r="Q45" s="226">
        <f t="shared" si="24"/>
        <v>10597.96452</v>
      </c>
      <c r="R45" s="191">
        <f t="shared" si="27"/>
        <v>19382.819080000001</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f t="shared" ref="E46:E47" si="28">E45</f>
        <v>4.1900000000000001E-3</v>
      </c>
      <c r="F46" s="224">
        <v>0</v>
      </c>
      <c r="G46" s="224">
        <v>1.2760000000000001E-2</v>
      </c>
      <c r="H46" s="224">
        <f t="shared" ref="H46:I47" si="29">H45</f>
        <v>1.8360000000000001E-2</v>
      </c>
      <c r="I46" s="224">
        <f t="shared" si="29"/>
        <v>-1.21E-2</v>
      </c>
      <c r="J46" s="224">
        <f t="shared" ref="J46" si="30">J45</f>
        <v>1.9939999999999999E-2</v>
      </c>
      <c r="K46" s="224"/>
      <c r="L46" s="224"/>
      <c r="N46" s="225">
        <f t="shared" si="25"/>
        <v>0.28745000000000004</v>
      </c>
      <c r="O46" s="225">
        <f t="shared" si="26"/>
        <v>0.28587000000000001</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f t="shared" si="28"/>
        <v>4.1900000000000001E-3</v>
      </c>
      <c r="F47" s="224">
        <v>0</v>
      </c>
      <c r="G47" s="224">
        <v>1.2760000000000001E-2</v>
      </c>
      <c r="H47" s="224">
        <f t="shared" si="29"/>
        <v>1.8360000000000001E-2</v>
      </c>
      <c r="I47" s="224">
        <f t="shared" si="29"/>
        <v>-1.21E-2</v>
      </c>
      <c r="J47" s="224">
        <f t="shared" ref="J47" si="31">J46</f>
        <v>1.9939999999999999E-2</v>
      </c>
      <c r="K47" s="224"/>
      <c r="L47" s="224"/>
      <c r="N47" s="225">
        <f t="shared" si="25"/>
        <v>0.27660000000000001</v>
      </c>
      <c r="O47" s="225">
        <f t="shared" si="26"/>
        <v>0.27501999999999999</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v>1.7500000000000002E-2</v>
      </c>
      <c r="K48" s="224"/>
      <c r="L48" s="224"/>
      <c r="N48" s="225">
        <f t="shared" si="25"/>
        <v>0.23982000000000003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v>1.1299999999999999E-3</v>
      </c>
      <c r="K49" s="224"/>
      <c r="L49" s="224"/>
      <c r="N49" s="225">
        <f t="shared" si="25"/>
        <v>-1.8400000000000001E-3</v>
      </c>
      <c r="O49" s="225">
        <f t="shared" si="26"/>
        <v>-1.98E-3</v>
      </c>
      <c r="P49" s="191">
        <f t="shared" si="23"/>
        <v>-5261.7486399999998</v>
      </c>
      <c r="Q49" s="226">
        <f t="shared" si="24"/>
        <v>-3528.27684</v>
      </c>
      <c r="R49" s="191">
        <f t="shared" si="27"/>
        <v>-1733.4717999999998</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v>0</v>
      </c>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v>0</v>
      </c>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2951242.441000001</v>
      </c>
      <c r="Q52" s="227">
        <f>SUM(Q42:Q51)</f>
        <v>831274.33288000012</v>
      </c>
      <c r="R52" s="227">
        <f>SUM(R42:R51)</f>
        <v>2119968.1081200005</v>
      </c>
      <c r="U52" s="170"/>
      <c r="V52" s="170"/>
      <c r="W52" s="170"/>
      <c r="X52" s="170"/>
      <c r="Y52" s="170"/>
      <c r="Z52" s="170"/>
      <c r="AA52" s="170"/>
      <c r="AB52" s="170"/>
      <c r="AC52" s="170"/>
      <c r="AD52" s="170"/>
      <c r="AE52" s="77"/>
      <c r="AF52" s="77"/>
      <c r="AG52" s="77"/>
    </row>
    <row r="53" spans="1:33" ht="39" x14ac:dyDescent="0.25">
      <c r="A53" s="222" t="s">
        <v>255</v>
      </c>
      <c r="B53" s="174"/>
      <c r="C53" s="374" t="s">
        <v>256</v>
      </c>
      <c r="D53" s="374" t="s">
        <v>257</v>
      </c>
      <c r="E53" s="374" t="s">
        <v>248</v>
      </c>
      <c r="F53" s="374" t="s">
        <v>258</v>
      </c>
      <c r="G53" s="374" t="s">
        <v>259</v>
      </c>
      <c r="H53" s="374" t="s">
        <v>260</v>
      </c>
      <c r="I53" s="374" t="s">
        <v>366</v>
      </c>
      <c r="J53" s="374" t="s">
        <v>261</v>
      </c>
      <c r="M53" s="170"/>
      <c r="N53" s="170"/>
      <c r="O53" s="170"/>
      <c r="Q53" s="262">
        <f>'09.2020 Base Rate Revenue'!P52</f>
        <v>831274.33288000012</v>
      </c>
      <c r="R53" s="188">
        <f>J64</f>
        <v>2119968.10812</v>
      </c>
      <c r="U53" s="170"/>
      <c r="V53" s="170"/>
      <c r="W53" s="170"/>
      <c r="X53" s="170"/>
      <c r="Y53" s="170"/>
      <c r="Z53" s="170"/>
      <c r="AA53" s="170"/>
      <c r="AB53" s="170"/>
      <c r="AC53" s="170"/>
      <c r="AD53" s="77"/>
      <c r="AE53" s="77"/>
      <c r="AF53" s="77"/>
      <c r="AG53" s="77"/>
    </row>
    <row r="54" spans="1:33" x14ac:dyDescent="0.25">
      <c r="A54" s="178" t="s">
        <v>212</v>
      </c>
      <c r="B54" s="170"/>
      <c r="C54" s="186">
        <f>C42*$H4</f>
        <v>1250242.2215</v>
      </c>
      <c r="D54" s="186">
        <f t="shared" ref="D54:E54" si="32">D42*$H4</f>
        <v>20510.66589</v>
      </c>
      <c r="E54" s="186">
        <f t="shared" si="32"/>
        <v>-32750.130850000001</v>
      </c>
      <c r="F54" s="186">
        <f>F42*$H4</f>
        <v>0</v>
      </c>
      <c r="G54" s="186">
        <f t="shared" ref="G54:I54" si="33">G42*$H4</f>
        <v>144769.92148000002</v>
      </c>
      <c r="H54" s="186">
        <f>H42*F4+G4*J42</f>
        <v>116966.22558</v>
      </c>
      <c r="I54" s="186">
        <f t="shared" si="33"/>
        <v>-102362.08781</v>
      </c>
      <c r="J54" s="186">
        <f>SUM(C54:I54)</f>
        <v>1397376.8157900001</v>
      </c>
      <c r="M54" s="170"/>
      <c r="N54" s="191"/>
      <c r="O54" s="170"/>
      <c r="P54" s="170"/>
      <c r="R54" s="191">
        <f>R52-R53</f>
        <v>0</v>
      </c>
      <c r="U54" s="170"/>
      <c r="V54" s="170"/>
      <c r="W54" s="170"/>
      <c r="X54" s="170"/>
      <c r="Y54" s="170"/>
      <c r="Z54" s="170"/>
      <c r="AA54" s="170"/>
      <c r="AB54" s="170"/>
      <c r="AC54" s="170"/>
      <c r="AD54" s="77"/>
      <c r="AE54" s="77"/>
      <c r="AF54" s="77"/>
      <c r="AG54" s="77"/>
    </row>
    <row r="55" spans="1:33" x14ac:dyDescent="0.25">
      <c r="A55" s="178" t="s">
        <v>214</v>
      </c>
      <c r="B55" s="170"/>
      <c r="C55" s="186">
        <f t="shared" ref="C55:I63" si="34">C43*$H5</f>
        <v>1912.8725000000002</v>
      </c>
      <c r="D55" s="186">
        <f t="shared" si="34"/>
        <v>31.381350000000005</v>
      </c>
      <c r="E55" s="186">
        <f t="shared" si="34"/>
        <v>-50.107750000000003</v>
      </c>
      <c r="F55" s="186">
        <f t="shared" si="34"/>
        <v>-3545.5073499999999</v>
      </c>
      <c r="G55" s="186">
        <f t="shared" si="34"/>
        <v>221.4982</v>
      </c>
      <c r="H55" s="186">
        <f t="shared" ref="H55:H63" si="35">H43*F5+G5*J43</f>
        <v>178.25026</v>
      </c>
      <c r="I55" s="186">
        <f t="shared" si="34"/>
        <v>-156.61415</v>
      </c>
      <c r="J55" s="186">
        <f t="shared" ref="J55:J63" si="36">SUM(C55:I55)</f>
        <v>-1408.2269399999996</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186">
        <f t="shared" si="34"/>
        <v>609815.07586999994</v>
      </c>
      <c r="D56" s="186">
        <f t="shared" si="34"/>
        <v>26275.737950000002</v>
      </c>
      <c r="E56" s="186">
        <f t="shared" si="34"/>
        <v>10147.03613</v>
      </c>
      <c r="F56" s="186">
        <f t="shared" si="34"/>
        <v>0</v>
      </c>
      <c r="G56" s="186">
        <f t="shared" si="34"/>
        <v>39377.281020000002</v>
      </c>
      <c r="H56" s="186">
        <f t="shared" si="35"/>
        <v>50037.937719999987</v>
      </c>
      <c r="I56" s="186">
        <f t="shared" si="34"/>
        <v>-29302.896699999998</v>
      </c>
      <c r="J56" s="186">
        <f t="shared" si="36"/>
        <v>706350.17198999983</v>
      </c>
      <c r="K56" s="170"/>
      <c r="L56" s="170"/>
      <c r="M56" s="191"/>
      <c r="N56" s="170"/>
      <c r="O56" s="170"/>
      <c r="P56" s="170"/>
      <c r="Q56" s="170"/>
      <c r="R56" s="170"/>
      <c r="S56" s="170"/>
      <c r="T56" s="170"/>
      <c r="U56" s="170"/>
      <c r="V56" s="170"/>
      <c r="W56" s="170"/>
      <c r="X56" s="170"/>
      <c r="Y56" s="170"/>
      <c r="Z56" s="170"/>
      <c r="AA56" s="170"/>
      <c r="AB56" s="170"/>
      <c r="AC56" s="170"/>
      <c r="AD56" s="77"/>
      <c r="AE56" s="77"/>
      <c r="AF56" s="77"/>
      <c r="AG56" s="77"/>
    </row>
    <row r="57" spans="1:33" x14ac:dyDescent="0.25">
      <c r="A57" s="178" t="s">
        <v>218</v>
      </c>
      <c r="B57" s="170"/>
      <c r="C57" s="186">
        <f t="shared" si="34"/>
        <v>17371.112849999998</v>
      </c>
      <c r="D57" s="186">
        <f t="shared" si="34"/>
        <v>0</v>
      </c>
      <c r="E57" s="186">
        <f t="shared" si="34"/>
        <v>289.04714999999999</v>
      </c>
      <c r="F57" s="186">
        <f t="shared" si="34"/>
        <v>0</v>
      </c>
      <c r="G57" s="186">
        <f t="shared" si="34"/>
        <v>1121.6961000000001</v>
      </c>
      <c r="H57" s="186">
        <f t="shared" si="35"/>
        <v>1435.6814799999997</v>
      </c>
      <c r="I57" s="186">
        <f t="shared" si="34"/>
        <v>-834.71849999999995</v>
      </c>
      <c r="J57" s="186">
        <f t="shared" si="36"/>
        <v>19382.819079999997</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186">
        <f t="shared" si="34"/>
        <v>0</v>
      </c>
      <c r="D58" s="186">
        <f t="shared" si="34"/>
        <v>0</v>
      </c>
      <c r="E58" s="186">
        <f t="shared" si="34"/>
        <v>0</v>
      </c>
      <c r="F58" s="186">
        <f t="shared" si="34"/>
        <v>0</v>
      </c>
      <c r="G58" s="186">
        <f t="shared" si="34"/>
        <v>0</v>
      </c>
      <c r="H58" s="186">
        <f t="shared" si="35"/>
        <v>0</v>
      </c>
      <c r="I58" s="186">
        <f t="shared" si="34"/>
        <v>0</v>
      </c>
      <c r="J58" s="186">
        <f t="shared" si="36"/>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186">
        <f t="shared" si="34"/>
        <v>0</v>
      </c>
      <c r="D59" s="186">
        <f t="shared" si="34"/>
        <v>0</v>
      </c>
      <c r="E59" s="186">
        <f t="shared" si="34"/>
        <v>0</v>
      </c>
      <c r="F59" s="186">
        <f t="shared" si="34"/>
        <v>0</v>
      </c>
      <c r="G59" s="186">
        <f t="shared" si="34"/>
        <v>0</v>
      </c>
      <c r="H59" s="186">
        <f t="shared" si="35"/>
        <v>0</v>
      </c>
      <c r="I59" s="186">
        <f t="shared" si="34"/>
        <v>0</v>
      </c>
      <c r="J59" s="186">
        <f t="shared" si="36"/>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186">
        <f t="shared" si="34"/>
        <v>0</v>
      </c>
      <c r="D60" s="186">
        <f t="shared" si="34"/>
        <v>0</v>
      </c>
      <c r="E60" s="186">
        <f t="shared" si="34"/>
        <v>0</v>
      </c>
      <c r="F60" s="186">
        <f t="shared" si="34"/>
        <v>0</v>
      </c>
      <c r="G60" s="186">
        <f t="shared" si="34"/>
        <v>0</v>
      </c>
      <c r="H60" s="186">
        <f t="shared" si="35"/>
        <v>0</v>
      </c>
      <c r="I60" s="186">
        <f t="shared" si="34"/>
        <v>0</v>
      </c>
      <c r="J60" s="186">
        <f t="shared" si="36"/>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186">
        <f t="shared" si="34"/>
        <v>603.50527999999997</v>
      </c>
      <c r="D61" s="186">
        <f t="shared" si="34"/>
        <v>0</v>
      </c>
      <c r="E61" s="186">
        <f t="shared" si="34"/>
        <v>0</v>
      </c>
      <c r="F61" s="186">
        <f t="shared" si="34"/>
        <v>0</v>
      </c>
      <c r="G61" s="186">
        <f t="shared" si="34"/>
        <v>0</v>
      </c>
      <c r="H61" s="186">
        <f t="shared" si="35"/>
        <v>1467.2615599999997</v>
      </c>
      <c r="I61" s="186">
        <f t="shared" si="34"/>
        <v>-3804.23864</v>
      </c>
      <c r="J61" s="186">
        <f t="shared" si="36"/>
        <v>-1733.4718000000003</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186">
        <f t="shared" si="34"/>
        <v>0</v>
      </c>
      <c r="D62" s="186">
        <f t="shared" si="34"/>
        <v>0</v>
      </c>
      <c r="E62" s="186">
        <f t="shared" si="34"/>
        <v>0</v>
      </c>
      <c r="F62" s="186">
        <f t="shared" si="34"/>
        <v>0</v>
      </c>
      <c r="G62" s="186">
        <f t="shared" si="34"/>
        <v>0</v>
      </c>
      <c r="H62" s="186">
        <f t="shared" si="35"/>
        <v>0</v>
      </c>
      <c r="I62" s="186">
        <f t="shared" si="34"/>
        <v>0</v>
      </c>
      <c r="J62" s="186">
        <f t="shared" si="36"/>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186">
        <f t="shared" si="34"/>
        <v>0</v>
      </c>
      <c r="D63" s="186">
        <f t="shared" si="34"/>
        <v>0</v>
      </c>
      <c r="E63" s="186">
        <f t="shared" si="34"/>
        <v>0</v>
      </c>
      <c r="F63" s="186">
        <f t="shared" si="34"/>
        <v>0</v>
      </c>
      <c r="G63" s="186">
        <f t="shared" si="34"/>
        <v>0</v>
      </c>
      <c r="H63" s="186">
        <f t="shared" si="35"/>
        <v>0</v>
      </c>
      <c r="I63" s="186">
        <f t="shared" si="34"/>
        <v>0</v>
      </c>
      <c r="J63" s="186">
        <f t="shared" si="36"/>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194">
        <f>SUM(C54:C63)</f>
        <v>1879944.7879999997</v>
      </c>
      <c r="D64" s="194">
        <f t="shared" ref="D64:I64" si="37">SUM(D54:D63)</f>
        <v>46817.785190000002</v>
      </c>
      <c r="E64" s="194">
        <f t="shared" si="37"/>
        <v>-22364.155320000005</v>
      </c>
      <c r="F64" s="194">
        <f t="shared" si="37"/>
        <v>-3545.5073499999999</v>
      </c>
      <c r="G64" s="194">
        <f t="shared" si="37"/>
        <v>185490.39680000002</v>
      </c>
      <c r="H64" s="194">
        <f t="shared" si="37"/>
        <v>170085.3566</v>
      </c>
      <c r="I64" s="194">
        <f t="shared" si="37"/>
        <v>-136460.55579999997</v>
      </c>
      <c r="J64" s="194">
        <f>SUM(J54:J63)</f>
        <v>2119968.10812</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1252155.094</v>
      </c>
      <c r="D66" s="186">
        <f>D54+D55</f>
        <v>20542.04724</v>
      </c>
      <c r="E66" s="186">
        <f t="shared" ref="E66:I66" si="38">E54+E55</f>
        <v>-32800.238600000004</v>
      </c>
      <c r="F66" s="186">
        <f t="shared" si="38"/>
        <v>-3545.5073499999999</v>
      </c>
      <c r="G66" s="186">
        <f t="shared" si="38"/>
        <v>144991.41968000002</v>
      </c>
      <c r="H66" s="186">
        <f t="shared" si="38"/>
        <v>117144.47584</v>
      </c>
      <c r="I66" s="186">
        <f t="shared" si="38"/>
        <v>-102518.70195999999</v>
      </c>
      <c r="J66" s="186">
        <f>J54+J55</f>
        <v>1395968.5888500002</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627186.18871999998</v>
      </c>
      <c r="D68" s="219">
        <f t="shared" ref="D68:I68" si="39">SUM(D56:D59)</f>
        <v>26275.737950000002</v>
      </c>
      <c r="E68" s="219">
        <f t="shared" si="39"/>
        <v>10436.083280000001</v>
      </c>
      <c r="F68" s="219">
        <f t="shared" si="39"/>
        <v>0</v>
      </c>
      <c r="G68" s="219">
        <f t="shared" si="39"/>
        <v>40498.977120000003</v>
      </c>
      <c r="H68" s="219">
        <f t="shared" si="39"/>
        <v>51473.619199999986</v>
      </c>
      <c r="I68" s="219">
        <f t="shared" si="39"/>
        <v>-30137.615199999997</v>
      </c>
      <c r="J68" s="219">
        <f>SUM(J56:J59)</f>
        <v>725732.99106999987</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5446</v>
      </c>
      <c r="D74" s="273">
        <v>100241</v>
      </c>
      <c r="E74" s="183">
        <v>51632.5</v>
      </c>
      <c r="F74" s="183">
        <v>94747.43</v>
      </c>
      <c r="G74" s="183">
        <v>29154.94</v>
      </c>
      <c r="H74" s="183">
        <v>3162.39</v>
      </c>
      <c r="I74" s="186">
        <f>SUM(F74:H74)</f>
        <v>127064.76</v>
      </c>
      <c r="J74" s="349"/>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3</v>
      </c>
      <c r="D75" s="273">
        <v>46</v>
      </c>
      <c r="E75" s="183">
        <v>28.5</v>
      </c>
      <c r="F75" s="183">
        <v>47.32</v>
      </c>
      <c r="G75" s="183">
        <v>-8.9</v>
      </c>
      <c r="H75" s="183">
        <v>1.0900000000000001</v>
      </c>
      <c r="I75" s="186">
        <f t="shared" ref="I75:I79" si="40">SUM(F75:H75)</f>
        <v>39.510000000000005</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36</v>
      </c>
      <c r="D76" s="273">
        <v>28994</v>
      </c>
      <c r="E76" s="183">
        <v>3829.17</v>
      </c>
      <c r="F76" s="183">
        <v>11208.43</v>
      </c>
      <c r="G76" s="183">
        <v>8420.39</v>
      </c>
      <c r="H76" s="183">
        <v>437.22</v>
      </c>
      <c r="I76" s="186">
        <f t="shared" si="40"/>
        <v>20066.04</v>
      </c>
      <c r="J76" s="349"/>
    </row>
    <row r="77" spans="1:33" x14ac:dyDescent="0.25">
      <c r="A77" s="178" t="s">
        <v>218</v>
      </c>
      <c r="C77" s="273"/>
      <c r="D77" s="273"/>
      <c r="E77" s="183"/>
      <c r="F77" s="183"/>
      <c r="G77" s="183"/>
      <c r="H77" s="183"/>
      <c r="I77" s="186">
        <f t="shared" si="40"/>
        <v>0</v>
      </c>
    </row>
    <row r="78" spans="1:33" x14ac:dyDescent="0.25">
      <c r="A78" s="178" t="s">
        <v>220</v>
      </c>
      <c r="C78" s="273"/>
      <c r="D78" s="273"/>
      <c r="E78" s="183"/>
      <c r="F78" s="183"/>
      <c r="G78" s="183"/>
      <c r="H78" s="183"/>
      <c r="I78" s="186">
        <f t="shared" si="40"/>
        <v>0</v>
      </c>
    </row>
    <row r="79" spans="1:33" x14ac:dyDescent="0.25">
      <c r="A79" s="178" t="s">
        <v>222</v>
      </c>
      <c r="C79" s="273"/>
      <c r="D79" s="273"/>
      <c r="E79" s="183"/>
      <c r="F79" s="183"/>
      <c r="G79" s="183"/>
      <c r="H79" s="183"/>
      <c r="I79" s="186">
        <f t="shared" si="40"/>
        <v>0</v>
      </c>
    </row>
    <row r="80" spans="1:33" x14ac:dyDescent="0.25">
      <c r="A80" s="178" t="s">
        <v>351</v>
      </c>
      <c r="C80" s="310">
        <f>SUM(C74:C79)</f>
        <v>5485</v>
      </c>
      <c r="D80" s="310">
        <f t="shared" ref="D80:I80" si="41">SUM(D74:D79)</f>
        <v>129281</v>
      </c>
      <c r="E80" s="213">
        <f t="shared" si="41"/>
        <v>55490.17</v>
      </c>
      <c r="F80" s="213">
        <f t="shared" si="41"/>
        <v>106003.18</v>
      </c>
      <c r="G80" s="213">
        <f t="shared" si="41"/>
        <v>37566.429999999993</v>
      </c>
      <c r="H80" s="213">
        <f t="shared" si="41"/>
        <v>3600.7</v>
      </c>
      <c r="I80" s="213">
        <f t="shared" si="41"/>
        <v>147170.31</v>
      </c>
    </row>
    <row r="81" spans="1:9" ht="15.75" thickBot="1" x14ac:dyDescent="0.3">
      <c r="A81" s="178"/>
      <c r="B81" s="282" t="s">
        <v>343</v>
      </c>
      <c r="C81" s="282" t="s">
        <v>343</v>
      </c>
      <c r="D81" s="282" t="s">
        <v>343</v>
      </c>
      <c r="E81" s="282" t="s">
        <v>343</v>
      </c>
      <c r="F81" s="282" t="s">
        <v>343</v>
      </c>
      <c r="G81" s="282" t="s">
        <v>343</v>
      </c>
      <c r="H81" s="282" t="s">
        <v>343</v>
      </c>
      <c r="I81" s="282" t="s">
        <v>343</v>
      </c>
    </row>
    <row r="82" spans="1:9" x14ac:dyDescent="0.25">
      <c r="A82" s="178" t="s">
        <v>352</v>
      </c>
      <c r="C82" s="311">
        <f t="shared" ref="C82:I82" si="42">C74+C75</f>
        <v>5449</v>
      </c>
      <c r="D82" s="312">
        <f t="shared" si="42"/>
        <v>100287</v>
      </c>
      <c r="E82" s="312">
        <f t="shared" si="42"/>
        <v>51661</v>
      </c>
      <c r="F82" s="313">
        <f t="shared" si="42"/>
        <v>94794.75</v>
      </c>
      <c r="G82" s="186">
        <f t="shared" si="42"/>
        <v>29146.039999999997</v>
      </c>
      <c r="H82" s="186">
        <f t="shared" si="42"/>
        <v>3163.48</v>
      </c>
      <c r="I82" s="186">
        <f t="shared" si="42"/>
        <v>127104.26999999999</v>
      </c>
    </row>
    <row r="83" spans="1:9" x14ac:dyDescent="0.25">
      <c r="C83" s="325"/>
      <c r="D83" s="326"/>
      <c r="E83" s="326"/>
      <c r="F83" s="327"/>
      <c r="G83" s="186"/>
      <c r="H83" s="186"/>
      <c r="I83" s="186"/>
    </row>
    <row r="84" spans="1:9" ht="15.75" thickBot="1" x14ac:dyDescent="0.3">
      <c r="A84" s="178" t="s">
        <v>353</v>
      </c>
      <c r="C84" s="314">
        <f t="shared" ref="C84:H84" si="43">SUM(C76:C79)</f>
        <v>36</v>
      </c>
      <c r="D84" s="315">
        <f t="shared" si="43"/>
        <v>28994</v>
      </c>
      <c r="E84" s="316">
        <f t="shared" si="43"/>
        <v>3829.17</v>
      </c>
      <c r="F84" s="317">
        <f t="shared" si="43"/>
        <v>11208.43</v>
      </c>
      <c r="G84" s="186">
        <f t="shared" si="43"/>
        <v>8420.39</v>
      </c>
      <c r="H84" s="186">
        <f t="shared" si="43"/>
        <v>437.22</v>
      </c>
      <c r="I84" s="186">
        <f>SUM(I76:I79)</f>
        <v>20066.04</v>
      </c>
    </row>
    <row r="85" spans="1:9" x14ac:dyDescent="0.25">
      <c r="C85" s="282"/>
      <c r="D85" s="282"/>
      <c r="E85" s="282"/>
      <c r="F85" s="282"/>
    </row>
  </sheetData>
  <mergeCells count="7">
    <mergeCell ref="R40:R41"/>
    <mergeCell ref="A70:I70"/>
    <mergeCell ref="A1:I1"/>
    <mergeCell ref="O40:O41"/>
    <mergeCell ref="P40:P41"/>
    <mergeCell ref="Q40:Q41"/>
    <mergeCell ref="N40:N41"/>
  </mergeCells>
  <printOptions horizontalCentered="1" verticalCentered="1"/>
  <pageMargins left="0.45" right="0.45" top="0.5" bottom="0.5" header="0.3" footer="0.3"/>
  <pageSetup scale="80" orientation="landscape" r:id="rId1"/>
  <headerFooter scaleWithDoc="0">
    <oddFooter>&amp;L&amp;F / &amp;A&amp;RPage &amp;P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85"/>
  <sheetViews>
    <sheetView topLeftCell="U14" zoomScaleNormal="100" workbookViewId="0">
      <selection sqref="A1:AH85"/>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5.7109375" customWidth="1"/>
    <col min="8" max="8" width="14.7109375" customWidth="1"/>
    <col min="9" max="9" width="18.28515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ht="21" customHeight="1" x14ac:dyDescent="0.25">
      <c r="A1" s="432" t="s">
        <v>200</v>
      </c>
      <c r="B1" s="432"/>
      <c r="C1" s="432"/>
      <c r="D1" s="432"/>
      <c r="E1" s="432"/>
      <c r="F1" s="432"/>
      <c r="G1" s="432"/>
      <c r="H1" s="432"/>
      <c r="I1" s="432"/>
      <c r="J1" s="170"/>
      <c r="K1" s="170"/>
      <c r="L1" s="170" t="s">
        <v>388</v>
      </c>
      <c r="M1" s="170"/>
      <c r="N1" s="170"/>
      <c r="O1" s="170"/>
      <c r="P1" s="170"/>
      <c r="Q1" s="170"/>
      <c r="R1" s="170"/>
      <c r="S1" s="170"/>
      <c r="T1" s="170"/>
      <c r="U1" s="170"/>
      <c r="V1" s="170"/>
      <c r="W1" s="170"/>
      <c r="X1" s="170"/>
      <c r="Y1" s="170"/>
      <c r="Z1" s="171" t="s">
        <v>201</v>
      </c>
      <c r="AA1" s="172" t="s">
        <v>389</v>
      </c>
      <c r="AB1" s="170"/>
      <c r="AC1" s="171" t="s">
        <v>203</v>
      </c>
      <c r="AD1" s="172" t="s">
        <v>383</v>
      </c>
      <c r="AE1" s="77"/>
      <c r="AF1" s="77"/>
      <c r="AG1" s="77"/>
    </row>
    <row r="2" spans="1:33" ht="40.5" customHeight="1" x14ac:dyDescent="0.25">
      <c r="A2" s="173"/>
      <c r="B2" s="174"/>
      <c r="C2" s="175" t="s">
        <v>204</v>
      </c>
      <c r="D2" s="174"/>
      <c r="E2" s="175" t="s">
        <v>205</v>
      </c>
      <c r="F2" s="176" t="s">
        <v>206</v>
      </c>
      <c r="G2" s="176" t="s">
        <v>207</v>
      </c>
      <c r="H2" s="176" t="s">
        <v>115</v>
      </c>
      <c r="I2" s="176" t="s">
        <v>208</v>
      </c>
      <c r="J2" s="170"/>
      <c r="K2" s="170"/>
      <c r="L2" s="170"/>
      <c r="M2" s="170"/>
      <c r="N2" s="367" t="str">
        <f>AA1&amp;" Billed Schedule 175 Revenue"</f>
        <v>September Billed Schedule 175 Revenue</v>
      </c>
      <c r="O2" s="367" t="str">
        <f>AA1&amp;" Billed Therms"</f>
        <v>September Billed Therms</v>
      </c>
      <c r="P2" s="367" t="str">
        <f>AA1&amp;" Unbilled Therms"</f>
        <v>September Unbilled Therms</v>
      </c>
      <c r="Q2" s="260" t="s">
        <v>382</v>
      </c>
      <c r="R2" s="367" t="s">
        <v>209</v>
      </c>
      <c r="S2" s="367" t="str">
        <f>AD1&amp;" Unbilled Therms reversal"</f>
        <v>August Unbilled Therms reversal</v>
      </c>
      <c r="T2" s="260" t="s">
        <v>382</v>
      </c>
      <c r="U2" s="367" t="str">
        <f>AD1&amp;" Schedule 175 Unbilled Reversal"</f>
        <v>August Schedule 175 Unbilled Reversal</v>
      </c>
      <c r="V2" s="170"/>
      <c r="W2" s="367" t="str">
        <f>"Total "&amp;AA1&amp;" Schedule 175 Revenue"</f>
        <v>Total September Schedule 175 Revenue</v>
      </c>
      <c r="X2" s="170"/>
      <c r="Y2" s="367" t="str">
        <f>"Calendar "&amp;AA1&amp;" Usage"</f>
        <v>Calendar September Usage</v>
      </c>
      <c r="Z2" s="367" t="str">
        <f>Q2</f>
        <v>8/1/2020 rate</v>
      </c>
      <c r="AA2" s="367" t="s">
        <v>210</v>
      </c>
      <c r="AB2" s="367" t="s">
        <v>211</v>
      </c>
      <c r="AC2" s="367" t="str">
        <f>"implied "&amp;AD1&amp;" unbilled/Cancel-Rebill True-up therms"</f>
        <v>implied August unbilled/Cancel-Rebill True-up therms</v>
      </c>
      <c r="AD2" s="170"/>
      <c r="AE2" s="77"/>
      <c r="AF2" s="77"/>
      <c r="AG2" s="77"/>
    </row>
    <row r="3" spans="1:33" x14ac:dyDescent="0.25">
      <c r="A3" s="177"/>
      <c r="B3" s="177"/>
      <c r="C3" s="177"/>
      <c r="D3" s="170"/>
      <c r="E3" s="170"/>
      <c r="F3" s="170"/>
      <c r="G3" s="170"/>
      <c r="H3" s="170"/>
      <c r="I3" s="170"/>
      <c r="J3" s="170"/>
      <c r="K3" s="170"/>
      <c r="L3" s="170"/>
      <c r="M3" s="170"/>
      <c r="N3" s="367"/>
      <c r="O3" s="367"/>
      <c r="P3" s="367"/>
      <c r="Q3" s="367"/>
      <c r="R3" s="367"/>
      <c r="S3" s="367"/>
      <c r="T3" s="371"/>
      <c r="U3" s="367"/>
      <c r="V3" s="170"/>
      <c r="W3" s="367"/>
      <c r="X3" s="170"/>
      <c r="Y3" s="367"/>
      <c r="Z3" s="367"/>
      <c r="AA3" s="367"/>
      <c r="AB3" s="367"/>
      <c r="AC3" s="367"/>
      <c r="AD3" s="170"/>
      <c r="AE3" s="77"/>
      <c r="AF3" s="77"/>
      <c r="AG3" s="77"/>
    </row>
    <row r="4" spans="1:33" x14ac:dyDescent="0.25">
      <c r="A4" s="178" t="s">
        <v>212</v>
      </c>
      <c r="B4" s="177"/>
      <c r="C4" s="345">
        <v>168602</v>
      </c>
      <c r="D4" s="177"/>
      <c r="E4" s="345">
        <v>2456214.16346</v>
      </c>
      <c r="F4" s="180">
        <v>-1353878</v>
      </c>
      <c r="G4" s="345">
        <f>1743282-G5</f>
        <v>1740995</v>
      </c>
      <c r="H4" s="181">
        <f>F4+G4</f>
        <v>387117</v>
      </c>
      <c r="I4" s="182">
        <f t="shared" ref="I4:I13" si="0">SUM(E4:G4)</f>
        <v>2843331.16346</v>
      </c>
      <c r="J4" s="170"/>
      <c r="K4" s="170"/>
      <c r="L4" s="170" t="s">
        <v>213</v>
      </c>
      <c r="M4" s="170"/>
      <c r="N4" s="183">
        <v>-16832.5</v>
      </c>
      <c r="O4" s="184">
        <f>E4</f>
        <v>2456214.16346</v>
      </c>
      <c r="P4" s="184">
        <f t="shared" ref="P4:P9" si="1">G4</f>
        <v>1740995</v>
      </c>
      <c r="Q4" s="366">
        <v>-6.8500000000000002E-3</v>
      </c>
      <c r="R4" s="186">
        <f>P4*Q4</f>
        <v>-11925.81575</v>
      </c>
      <c r="S4" s="184">
        <f t="shared" ref="S4:S9" si="2">F4</f>
        <v>-1353878</v>
      </c>
      <c r="T4" s="366">
        <v>-6.8500000000000002E-3</v>
      </c>
      <c r="U4" s="187">
        <f>S4*T4</f>
        <v>9274.0643</v>
      </c>
      <c r="V4" s="170"/>
      <c r="W4" s="188">
        <f>N4+R4+U4</f>
        <v>-19484.251450000003</v>
      </c>
      <c r="X4" s="170"/>
      <c r="Y4" s="189">
        <f>O4+P4+S4</f>
        <v>2843331.1634599995</v>
      </c>
      <c r="Z4" s="190">
        <f>Q4</f>
        <v>-6.8500000000000002E-3</v>
      </c>
      <c r="AA4" s="191">
        <f>Y4*Z4</f>
        <v>-19476.818469700997</v>
      </c>
      <c r="AB4" s="188">
        <f>W4-AA4</f>
        <v>-7.4329802990068856</v>
      </c>
      <c r="AC4" s="189">
        <f>AB4/T4</f>
        <v>1085.106612993706</v>
      </c>
      <c r="AD4" s="192">
        <f t="shared" ref="AD4:AD11" si="3">AB4/W4</f>
        <v>3.8148657227511217E-4</v>
      </c>
      <c r="AE4" s="77"/>
      <c r="AF4" s="77"/>
      <c r="AG4" s="77"/>
    </row>
    <row r="5" spans="1:33" x14ac:dyDescent="0.25">
      <c r="A5" s="178" t="s">
        <v>214</v>
      </c>
      <c r="B5" s="177"/>
      <c r="C5" s="345">
        <v>228</v>
      </c>
      <c r="D5" s="177"/>
      <c r="E5" s="345">
        <v>3225.3209700000002</v>
      </c>
      <c r="F5" s="180">
        <v>-1547</v>
      </c>
      <c r="G5" s="345">
        <v>2287</v>
      </c>
      <c r="H5" s="181">
        <f t="shared" ref="H5:H13" si="4">F5+G5</f>
        <v>740</v>
      </c>
      <c r="I5" s="182">
        <f t="shared" si="0"/>
        <v>3965.3209700000002</v>
      </c>
      <c r="J5" s="170"/>
      <c r="K5" s="170"/>
      <c r="L5" s="170" t="s">
        <v>215</v>
      </c>
      <c r="M5" s="170"/>
      <c r="N5" s="183">
        <v>-18.649999999999999</v>
      </c>
      <c r="O5" s="184">
        <f t="shared" ref="O5:O7" si="5">E5</f>
        <v>3225.3209700000002</v>
      </c>
      <c r="P5" s="184">
        <f t="shared" si="1"/>
        <v>2287</v>
      </c>
      <c r="Q5" s="366">
        <v>-6.8500000000000002E-3</v>
      </c>
      <c r="R5" s="186">
        <f t="shared" ref="R5:R10" si="6">P5*Q5</f>
        <v>-15.66595</v>
      </c>
      <c r="S5" s="184">
        <f t="shared" si="2"/>
        <v>-1547</v>
      </c>
      <c r="T5" s="366">
        <v>-6.8500000000000002E-3</v>
      </c>
      <c r="U5" s="187">
        <f t="shared" ref="U5:U10" si="7">S5*T5</f>
        <v>10.59695</v>
      </c>
      <c r="V5" s="170"/>
      <c r="W5" s="188">
        <f t="shared" ref="W5:W10" si="8">N5+R5+U5</f>
        <v>-23.719000000000001</v>
      </c>
      <c r="X5" s="170"/>
      <c r="Y5" s="189">
        <f t="shared" ref="Y5:Y10" si="9">O5+P5+S5</f>
        <v>3965.3209700000007</v>
      </c>
      <c r="Z5" s="190">
        <f t="shared" ref="Z5:Z10" si="10">Q5</f>
        <v>-6.8500000000000002E-3</v>
      </c>
      <c r="AA5" s="191">
        <f t="shared" ref="AA5:AA10" si="11">Y5*Z5</f>
        <v>-27.162448644500007</v>
      </c>
      <c r="AB5" s="188">
        <f t="shared" ref="AB5:AB10" si="12">W5-AA5</f>
        <v>3.4434486445000054</v>
      </c>
      <c r="AC5" s="189">
        <f t="shared" ref="AC5:AC10" si="13">AB5/T5</f>
        <v>-502.69323277372342</v>
      </c>
      <c r="AD5" s="192">
        <f t="shared" si="3"/>
        <v>-0.14517680528268498</v>
      </c>
      <c r="AE5" s="77"/>
      <c r="AF5" s="77"/>
      <c r="AG5" s="77"/>
    </row>
    <row r="6" spans="1:33" x14ac:dyDescent="0.25">
      <c r="A6" s="178" t="s">
        <v>216</v>
      </c>
      <c r="B6" s="177"/>
      <c r="C6" s="345">
        <v>3147</v>
      </c>
      <c r="D6" s="177"/>
      <c r="E6" s="345">
        <v>1743787.0907999999</v>
      </c>
      <c r="F6" s="180">
        <v>-841551</v>
      </c>
      <c r="G6" s="345">
        <v>1106773</v>
      </c>
      <c r="H6" s="181">
        <f t="shared" si="4"/>
        <v>265222</v>
      </c>
      <c r="I6" s="182">
        <f>SUM(E6:G6)</f>
        <v>2009009.0907999999</v>
      </c>
      <c r="J6" s="170"/>
      <c r="K6" s="170"/>
      <c r="L6" s="170" t="s">
        <v>217</v>
      </c>
      <c r="M6" s="170"/>
      <c r="N6" s="183">
        <v>7531.12</v>
      </c>
      <c r="O6" s="184">
        <f t="shared" si="5"/>
        <v>1743787.0907999999</v>
      </c>
      <c r="P6" s="184">
        <f t="shared" si="1"/>
        <v>1106773</v>
      </c>
      <c r="Q6" s="261">
        <v>4.1900000000000001E-3</v>
      </c>
      <c r="R6" s="186">
        <f t="shared" si="6"/>
        <v>4637.3788700000005</v>
      </c>
      <c r="S6" s="184">
        <f t="shared" si="2"/>
        <v>-841551</v>
      </c>
      <c r="T6" s="261">
        <v>4.1900000000000001E-3</v>
      </c>
      <c r="U6" s="187">
        <f t="shared" si="7"/>
        <v>-3526.0986900000003</v>
      </c>
      <c r="V6" s="170"/>
      <c r="W6" s="188">
        <f t="shared" si="8"/>
        <v>8642.4001799999987</v>
      </c>
      <c r="X6" s="170"/>
      <c r="Y6" s="189">
        <f t="shared" si="9"/>
        <v>2009009.0907999999</v>
      </c>
      <c r="Z6" s="177">
        <f t="shared" si="10"/>
        <v>4.1900000000000001E-3</v>
      </c>
      <c r="AA6" s="191">
        <f t="shared" si="11"/>
        <v>8417.7480904519998</v>
      </c>
      <c r="AB6" s="188">
        <f t="shared" si="12"/>
        <v>224.65208954799891</v>
      </c>
      <c r="AC6" s="189">
        <f t="shared" si="13"/>
        <v>53616.250488782556</v>
      </c>
      <c r="AD6" s="192">
        <f t="shared" si="3"/>
        <v>2.5994178106665614E-2</v>
      </c>
      <c r="AE6" s="77"/>
      <c r="AF6" s="77"/>
      <c r="AG6" s="77"/>
    </row>
    <row r="7" spans="1:33" x14ac:dyDescent="0.25">
      <c r="A7" s="178" t="s">
        <v>218</v>
      </c>
      <c r="B7" s="177"/>
      <c r="C7" s="345">
        <v>4</v>
      </c>
      <c r="D7" s="177"/>
      <c r="E7" s="345">
        <v>53667.557999999997</v>
      </c>
      <c r="F7" s="180">
        <v>-32237</v>
      </c>
      <c r="G7" s="345">
        <v>38051</v>
      </c>
      <c r="H7" s="181">
        <f t="shared" si="4"/>
        <v>5814</v>
      </c>
      <c r="I7" s="182">
        <f>SUM(E7:G7)</f>
        <v>59481.557999999997</v>
      </c>
      <c r="J7" s="170"/>
      <c r="K7" s="170"/>
      <c r="L7" s="170" t="s">
        <v>219</v>
      </c>
      <c r="M7" s="170"/>
      <c r="N7" s="183">
        <v>236.81</v>
      </c>
      <c r="O7" s="184">
        <f t="shared" si="5"/>
        <v>53667.557999999997</v>
      </c>
      <c r="P7" s="184">
        <f t="shared" si="1"/>
        <v>38051</v>
      </c>
      <c r="Q7" s="261">
        <v>4.1900000000000001E-3</v>
      </c>
      <c r="R7" s="186">
        <f t="shared" si="6"/>
        <v>159.43369000000001</v>
      </c>
      <c r="S7" s="184">
        <f t="shared" si="2"/>
        <v>-32237</v>
      </c>
      <c r="T7" s="261">
        <v>4.1900000000000001E-3</v>
      </c>
      <c r="U7" s="187">
        <f t="shared" si="7"/>
        <v>-135.07303000000002</v>
      </c>
      <c r="V7" s="170"/>
      <c r="W7" s="188">
        <f t="shared" si="8"/>
        <v>261.17066</v>
      </c>
      <c r="X7" s="170"/>
      <c r="Y7" s="189">
        <f t="shared" si="9"/>
        <v>59481.55799999999</v>
      </c>
      <c r="Z7" s="190">
        <f t="shared" si="10"/>
        <v>4.1900000000000001E-3</v>
      </c>
      <c r="AA7" s="191">
        <f t="shared" si="11"/>
        <v>249.22772801999997</v>
      </c>
      <c r="AB7" s="188">
        <f t="shared" si="12"/>
        <v>11.942931980000026</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261">
        <v>4.1900000000000001E-3</v>
      </c>
      <c r="R8" s="186">
        <f t="shared" si="6"/>
        <v>0</v>
      </c>
      <c r="S8" s="184">
        <f t="shared" si="2"/>
        <v>0</v>
      </c>
      <c r="T8" s="261">
        <v>4.1900000000000001E-3</v>
      </c>
      <c r="U8" s="187">
        <f t="shared" si="7"/>
        <v>0</v>
      </c>
      <c r="V8" s="170"/>
      <c r="W8" s="188">
        <f>N8+R8+U8</f>
        <v>0</v>
      </c>
      <c r="X8" s="170"/>
      <c r="Y8" s="189">
        <f t="shared" si="9"/>
        <v>0</v>
      </c>
      <c r="Z8" s="177">
        <f t="shared" si="10"/>
        <v>4.1900000000000001E-3</v>
      </c>
      <c r="AA8" s="191">
        <f t="shared" si="11"/>
        <v>0</v>
      </c>
      <c r="AB8" s="188">
        <f t="shared" si="12"/>
        <v>0</v>
      </c>
      <c r="AC8" s="189">
        <f t="shared" si="13"/>
        <v>0</v>
      </c>
      <c r="AD8" s="192" t="e">
        <f>AB8/W8</f>
        <v>#DIV/0!</v>
      </c>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261">
        <v>4.1900000000000001E-3</v>
      </c>
      <c r="R9" s="186">
        <f t="shared" si="6"/>
        <v>0</v>
      </c>
      <c r="S9" s="184">
        <f t="shared" si="2"/>
        <v>0</v>
      </c>
      <c r="T9" s="261">
        <v>4.1900000000000001E-3</v>
      </c>
      <c r="U9" s="187">
        <f t="shared" si="7"/>
        <v>0</v>
      </c>
      <c r="V9" s="170"/>
      <c r="W9" s="188">
        <f>N9+R9+U9</f>
        <v>0</v>
      </c>
      <c r="X9" s="170"/>
      <c r="Y9" s="189">
        <f t="shared" si="9"/>
        <v>0</v>
      </c>
      <c r="Z9" s="190">
        <f t="shared" si="10"/>
        <v>4.1900000000000001E-3</v>
      </c>
      <c r="AA9" s="191">
        <f t="shared" si="11"/>
        <v>0</v>
      </c>
      <c r="AB9" s="188">
        <f t="shared" si="12"/>
        <v>0</v>
      </c>
      <c r="AC9" s="189"/>
      <c r="AD9" s="192"/>
      <c r="AE9" s="77"/>
      <c r="AF9" s="77"/>
      <c r="AG9" s="77"/>
    </row>
    <row r="10" spans="1:33" x14ac:dyDescent="0.25">
      <c r="A10" s="178" t="s">
        <v>223</v>
      </c>
      <c r="B10" s="177"/>
      <c r="C10" s="345">
        <v>2</v>
      </c>
      <c r="D10" s="177"/>
      <c r="E10" s="345">
        <v>46925.067999999999</v>
      </c>
      <c r="F10" s="180"/>
      <c r="G10" s="345"/>
      <c r="H10" s="181">
        <f t="shared" si="4"/>
        <v>0</v>
      </c>
      <c r="I10" s="182">
        <f t="shared" si="0"/>
        <v>46925.067999999999</v>
      </c>
      <c r="J10" s="170"/>
      <c r="K10" s="170"/>
      <c r="L10" s="170" t="s">
        <v>224</v>
      </c>
      <c r="M10" s="170"/>
      <c r="N10" s="183">
        <v>0</v>
      </c>
      <c r="O10" s="184">
        <v>0</v>
      </c>
      <c r="P10" s="184">
        <v>0</v>
      </c>
      <c r="Q10" s="261">
        <v>4.1900000000000001E-3</v>
      </c>
      <c r="R10" s="186">
        <f t="shared" si="6"/>
        <v>0</v>
      </c>
      <c r="S10" s="184">
        <v>0</v>
      </c>
      <c r="T10" s="261">
        <v>4.1900000000000001E-3</v>
      </c>
      <c r="U10" s="187">
        <f t="shared" si="7"/>
        <v>0</v>
      </c>
      <c r="V10" s="170"/>
      <c r="W10" s="188">
        <f t="shared" si="8"/>
        <v>0</v>
      </c>
      <c r="X10" s="170"/>
      <c r="Y10" s="189">
        <f t="shared" si="9"/>
        <v>0</v>
      </c>
      <c r="Z10" s="177">
        <f t="shared" si="10"/>
        <v>4.1900000000000001E-3</v>
      </c>
      <c r="AA10" s="191">
        <f t="shared" si="11"/>
        <v>0</v>
      </c>
      <c r="AB10" s="188">
        <f t="shared" si="12"/>
        <v>0</v>
      </c>
      <c r="AC10" s="189">
        <f t="shared" si="13"/>
        <v>0</v>
      </c>
      <c r="AD10" s="192"/>
      <c r="AE10" s="77"/>
      <c r="AF10" s="77"/>
      <c r="AG10" s="77"/>
    </row>
    <row r="11" spans="1:33" x14ac:dyDescent="0.25">
      <c r="A11" s="178" t="s">
        <v>225</v>
      </c>
      <c r="B11" s="177"/>
      <c r="C11" s="345">
        <v>37</v>
      </c>
      <c r="D11" s="177"/>
      <c r="E11" s="345">
        <v>1755424</v>
      </c>
      <c r="F11" s="180">
        <v>-1752099</v>
      </c>
      <c r="G11" s="345">
        <v>1781958</v>
      </c>
      <c r="H11" s="181">
        <f t="shared" si="4"/>
        <v>29859</v>
      </c>
      <c r="I11" s="182">
        <f t="shared" si="0"/>
        <v>1785283</v>
      </c>
      <c r="J11" s="170"/>
      <c r="K11" s="170"/>
      <c r="L11" s="170"/>
      <c r="M11" s="170"/>
      <c r="N11" s="194">
        <f>SUM(N4:N10)</f>
        <v>-9083.220000000003</v>
      </c>
      <c r="O11" s="195">
        <f>SUM(O4:O10)</f>
        <v>4256894.1332299998</v>
      </c>
      <c r="P11" s="195">
        <f>SUM(P4:P10)</f>
        <v>2888106</v>
      </c>
      <c r="Q11" s="170"/>
      <c r="R11" s="194">
        <f>SUM(R4:R10)</f>
        <v>-7144.66914</v>
      </c>
      <c r="S11" s="195">
        <f>SUM(S4:S10)</f>
        <v>-2229213</v>
      </c>
      <c r="T11" s="196"/>
      <c r="U11" s="194">
        <f>SUM(U4:U10)</f>
        <v>5623.4895299999989</v>
      </c>
      <c r="V11" s="170"/>
      <c r="W11" s="194">
        <f>SUM(W4:W10)</f>
        <v>-10604.399610000006</v>
      </c>
      <c r="X11" s="170"/>
      <c r="Y11" s="197">
        <f>SUM(Y4:Y10)</f>
        <v>4915787.1332299989</v>
      </c>
      <c r="Z11" s="170"/>
      <c r="AA11" s="197">
        <f>SUM(AA4:AA10)</f>
        <v>-10837.005099873497</v>
      </c>
      <c r="AB11" s="194">
        <f>SUM(AB4:AB10)</f>
        <v>232.60548987349205</v>
      </c>
      <c r="AC11" s="197">
        <f>SUM(AC4:AC10)</f>
        <v>54198.663869002536</v>
      </c>
      <c r="AD11" s="192">
        <f t="shared" si="3"/>
        <v>-2.1934809930601241E-2</v>
      </c>
      <c r="AE11" s="77"/>
      <c r="AF11" s="77"/>
      <c r="AG11" s="77"/>
    </row>
    <row r="12" spans="1:33" x14ac:dyDescent="0.25">
      <c r="A12" s="178" t="s">
        <v>226</v>
      </c>
      <c r="B12" s="177"/>
      <c r="C12" s="345">
        <v>3</v>
      </c>
      <c r="D12" s="177"/>
      <c r="E12" s="345">
        <v>496427</v>
      </c>
      <c r="F12" s="180"/>
      <c r="G12" s="345"/>
      <c r="H12" s="181">
        <f t="shared" si="4"/>
        <v>0</v>
      </c>
      <c r="I12" s="182">
        <f t="shared" si="0"/>
        <v>496427</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2728832</v>
      </c>
      <c r="F13" s="180">
        <v>-2729135</v>
      </c>
      <c r="G13" s="345">
        <v>2922905</v>
      </c>
      <c r="H13" s="181">
        <f t="shared" si="4"/>
        <v>193770</v>
      </c>
      <c r="I13" s="182">
        <f t="shared" si="0"/>
        <v>2922602</v>
      </c>
      <c r="J13" s="170"/>
      <c r="K13" s="170"/>
      <c r="L13" s="170"/>
      <c r="M13" s="170"/>
      <c r="N13" s="170"/>
      <c r="O13" s="170"/>
      <c r="P13" s="170"/>
      <c r="Q13" s="170"/>
      <c r="R13" s="170"/>
      <c r="S13" s="170"/>
      <c r="T13" s="365" t="s">
        <v>384</v>
      </c>
      <c r="U13" s="177" t="s">
        <v>228</v>
      </c>
      <c r="V13" s="177"/>
      <c r="W13" s="364">
        <v>0.95660000000000001</v>
      </c>
      <c r="X13" s="170"/>
      <c r="Y13" s="170"/>
      <c r="Z13" s="170" t="s">
        <v>229</v>
      </c>
      <c r="AA13" s="170" t="s">
        <v>230</v>
      </c>
      <c r="AB13" s="170"/>
      <c r="AC13" s="170" t="s">
        <v>231</v>
      </c>
      <c r="AD13" s="170"/>
      <c r="AE13" s="77"/>
      <c r="AF13" s="77"/>
      <c r="AG13" s="77"/>
    </row>
    <row r="14" spans="1:33" x14ac:dyDescent="0.25">
      <c r="A14" s="177"/>
      <c r="B14" s="177"/>
      <c r="C14" s="201">
        <f>SUM(C4:C13)</f>
        <v>172028</v>
      </c>
      <c r="D14" s="170"/>
      <c r="E14" s="201">
        <f>SUM(E4:E13)</f>
        <v>9284502.2012300007</v>
      </c>
      <c r="F14" s="201">
        <f>SUM(F4:F13)</f>
        <v>-6710447</v>
      </c>
      <c r="G14" s="201">
        <f>SUM(G4:G13)</f>
        <v>7592969</v>
      </c>
      <c r="H14" s="201">
        <f>SUM(H4:H13)</f>
        <v>882522</v>
      </c>
      <c r="I14" s="201">
        <f t="shared" ref="I14" si="14">SUM(I4:I13)</f>
        <v>10167024.201230001</v>
      </c>
      <c r="J14" s="170"/>
      <c r="K14" s="170"/>
      <c r="L14" s="170"/>
      <c r="M14" s="170"/>
      <c r="N14" s="170"/>
      <c r="O14" s="170"/>
      <c r="P14" s="170"/>
      <c r="Q14" s="170"/>
      <c r="R14" s="170"/>
      <c r="S14" s="170" t="s">
        <v>181</v>
      </c>
      <c r="T14" s="170" t="s">
        <v>232</v>
      </c>
      <c r="U14" s="170"/>
      <c r="V14" s="282"/>
      <c r="W14" s="202">
        <f>ROUND((W4+W5)*W13,2)</f>
        <v>-18661.32</v>
      </c>
      <c r="X14" s="170"/>
      <c r="Y14" s="170" t="s">
        <v>28</v>
      </c>
      <c r="Z14" s="181">
        <f>O4+O5+P4+P5+S4+S5</f>
        <v>2847296.4844300002</v>
      </c>
      <c r="AA14" s="190">
        <v>-6.5500000000000003E-3</v>
      </c>
      <c r="AB14" s="188">
        <f>Z14*AA14</f>
        <v>-18649.791973016501</v>
      </c>
      <c r="AC14" s="188">
        <f>W14-AB14</f>
        <v>-11.528026983498421</v>
      </c>
      <c r="AD14" s="192">
        <f>AC14/W14</f>
        <v>6.1774981531308724E-4</v>
      </c>
      <c r="AE14" s="77"/>
      <c r="AF14" s="77"/>
      <c r="AG14" s="77"/>
    </row>
    <row r="15" spans="1:33" ht="15.75" thickBot="1" x14ac:dyDescent="0.3">
      <c r="A15" s="282"/>
      <c r="B15" s="282" t="s">
        <v>343</v>
      </c>
      <c r="C15" s="372" t="s">
        <v>343</v>
      </c>
      <c r="D15" s="170"/>
      <c r="E15" s="372" t="s">
        <v>343</v>
      </c>
      <c r="F15" s="372" t="s">
        <v>343</v>
      </c>
      <c r="G15" s="372" t="s">
        <v>343</v>
      </c>
      <c r="H15" s="282"/>
      <c r="I15" s="177"/>
      <c r="J15" s="170"/>
      <c r="K15" s="170"/>
      <c r="L15" s="170"/>
      <c r="M15" s="170"/>
      <c r="N15" s="170"/>
      <c r="O15" s="170"/>
      <c r="P15" s="170"/>
      <c r="Q15" s="170"/>
      <c r="R15" s="170"/>
      <c r="S15" s="170" t="s">
        <v>181</v>
      </c>
      <c r="T15" s="170" t="s">
        <v>233</v>
      </c>
      <c r="U15" s="170"/>
      <c r="V15" s="282"/>
      <c r="W15" s="202">
        <f>ROUND(SUM(W6:W10)*W13,2)</f>
        <v>8517.16</v>
      </c>
      <c r="X15" s="170"/>
      <c r="Y15" s="170" t="s">
        <v>234</v>
      </c>
      <c r="Z15" s="181">
        <f>SUM(O6:P10,S6:S10)</f>
        <v>2068490.6488000001</v>
      </c>
      <c r="AA15" s="190">
        <v>4.0099999999999997E-3</v>
      </c>
      <c r="AB15" s="188">
        <f>(Z15)*AA15</f>
        <v>8294.6475016879995</v>
      </c>
      <c r="AC15" s="188">
        <f>W15-AB15</f>
        <v>222.51249831200039</v>
      </c>
      <c r="AD15" s="192">
        <f>AC15/W15</f>
        <v>2.6125198811810555E-2</v>
      </c>
      <c r="AE15" s="77"/>
      <c r="AF15" s="77"/>
      <c r="AG15" s="77"/>
    </row>
    <row r="16" spans="1:33" x14ac:dyDescent="0.25">
      <c r="A16" s="177" t="s">
        <v>28</v>
      </c>
      <c r="B16" s="282"/>
      <c r="C16" s="203">
        <f>C4+C5</f>
        <v>168830</v>
      </c>
      <c r="D16" s="170"/>
      <c r="E16" s="204">
        <f>E4+E5</f>
        <v>2459439.4844299997</v>
      </c>
      <c r="F16" s="204">
        <f t="shared" ref="F16:H16" si="15">F4+F5</f>
        <v>-1355425</v>
      </c>
      <c r="G16" s="204">
        <f t="shared" si="15"/>
        <v>1743282</v>
      </c>
      <c r="H16" s="204">
        <f t="shared" si="15"/>
        <v>387857</v>
      </c>
      <c r="I16" s="203">
        <f>I4+I5</f>
        <v>2847296.4844299997</v>
      </c>
      <c r="J16" s="291"/>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-1521.179610000001</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c r="C18" s="207">
        <f>SUM(C6:C9)</f>
        <v>3151</v>
      </c>
      <c r="D18" s="170"/>
      <c r="E18" s="208">
        <f>SUM(E6:E9)</f>
        <v>1797454.6487999998</v>
      </c>
      <c r="F18" s="208">
        <f t="shared" ref="F18:H18" si="16">SUM(F6:F9)</f>
        <v>-873788</v>
      </c>
      <c r="G18" s="208">
        <f>SUM(G6:G9)</f>
        <v>1144824</v>
      </c>
      <c r="H18" s="208">
        <f t="shared" si="16"/>
        <v>271036</v>
      </c>
      <c r="I18" s="207">
        <f>SUM(I6:I9)</f>
        <v>2068490.6487999998</v>
      </c>
      <c r="J18" s="291"/>
      <c r="K18" s="170"/>
      <c r="L18" s="170"/>
      <c r="M18" s="170"/>
      <c r="N18" s="170"/>
      <c r="O18" s="170"/>
      <c r="P18" s="170"/>
      <c r="Q18" s="170"/>
      <c r="R18" s="188">
        <f>E64</f>
        <v>-1521.1796100000001</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68"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1625846.5</v>
      </c>
      <c r="D22" s="183">
        <v>2660975.5099999998</v>
      </c>
      <c r="E22" s="183">
        <v>-1808826.5620540651</v>
      </c>
      <c r="F22" s="183">
        <f>2054252-F23</f>
        <v>2053735.3028881464</v>
      </c>
      <c r="G22" s="211">
        <f>SUM(D22:F22)</f>
        <v>2905884.2508340813</v>
      </c>
      <c r="H22" s="188">
        <f t="shared" ref="H22:H31" si="17">-J54</f>
        <v>-112151.66607000001</v>
      </c>
      <c r="I22" s="188">
        <f t="shared" ref="I22:I31" si="18">G22+H22</f>
        <v>2793732.5847640815</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2175.5</v>
      </c>
      <c r="D23" s="183">
        <v>3525.26</v>
      </c>
      <c r="E23" s="183">
        <v>-360.43794593498586</v>
      </c>
      <c r="F23" s="183">
        <f>G5*(K23-C23)/E5</f>
        <v>516.69711185364599</v>
      </c>
      <c r="G23" s="211">
        <f>SUM(D23:F23)</f>
        <v>3681.5191659186603</v>
      </c>
      <c r="H23" s="188">
        <f t="shared" si="17"/>
        <v>144.28519999999997</v>
      </c>
      <c r="I23" s="188">
        <f t="shared" si="18"/>
        <v>3825.8043659186601</v>
      </c>
      <c r="J23" s="170"/>
      <c r="K23" s="183">
        <v>2904.19</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339760.63</v>
      </c>
      <c r="D24" s="183">
        <v>749454.03</v>
      </c>
      <c r="E24" s="183">
        <v>-478935</v>
      </c>
      <c r="F24" s="183">
        <v>629876</v>
      </c>
      <c r="G24" s="211">
        <f>SUM(D24:F24)</f>
        <v>900395.03</v>
      </c>
      <c r="H24" s="188">
        <f t="shared" si="17"/>
        <v>-76747.290139999997</v>
      </c>
      <c r="I24" s="188">
        <f t="shared" si="18"/>
        <v>823647.73986000009</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430.22</v>
      </c>
      <c r="D25" s="183">
        <v>14247.38</v>
      </c>
      <c r="E25" s="183">
        <v>-17996</v>
      </c>
      <c r="F25" s="183">
        <v>21243</v>
      </c>
      <c r="G25" s="211">
        <f>SUM(D25:F25)</f>
        <v>17494.379999999997</v>
      </c>
      <c r="H25" s="188">
        <f t="shared" si="17"/>
        <v>-1619.31528</v>
      </c>
      <c r="I25" s="188">
        <f>G25+H25</f>
        <v>15875.064719999997</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11145.07</v>
      </c>
      <c r="E28" s="183"/>
      <c r="F28" s="183"/>
      <c r="G28" s="211">
        <f t="shared" si="19"/>
        <v>11145.07</v>
      </c>
      <c r="H28" s="188">
        <f t="shared" si="17"/>
        <v>0</v>
      </c>
      <c r="I28" s="188">
        <f t="shared" si="18"/>
        <v>11145.07</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23125</v>
      </c>
      <c r="D29" s="183">
        <v>230381.29</v>
      </c>
      <c r="E29" s="183">
        <v>-156024</v>
      </c>
      <c r="F29" s="183">
        <v>158683</v>
      </c>
      <c r="G29" s="211">
        <f t="shared" si="19"/>
        <v>233040.29</v>
      </c>
      <c r="H29" s="188">
        <f t="shared" si="17"/>
        <v>59.120820000000002</v>
      </c>
      <c r="I29" s="188">
        <f t="shared" si="18"/>
        <v>233099.41082000002</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10380.290000000001</v>
      </c>
      <c r="E30" s="183"/>
      <c r="F30" s="183"/>
      <c r="G30" s="211">
        <f t="shared" si="19"/>
        <v>10380.290000000001</v>
      </c>
      <c r="H30" s="188">
        <f t="shared" si="17"/>
        <v>0</v>
      </c>
      <c r="I30" s="188">
        <f t="shared" si="18"/>
        <v>10380.290000000001</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73230.23</v>
      </c>
      <c r="E31" s="183">
        <v>-57066</v>
      </c>
      <c r="F31" s="183">
        <v>61118</v>
      </c>
      <c r="G31" s="211">
        <f t="shared" si="19"/>
        <v>77282.23</v>
      </c>
      <c r="H31" s="188">
        <f t="shared" si="17"/>
        <v>0</v>
      </c>
      <c r="I31" s="188">
        <f t="shared" si="18"/>
        <v>77282.23</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1238367.57</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171894.22</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1992337.8499999999</v>
      </c>
      <c r="D34" s="213">
        <f>SUM(D22:D33)</f>
        <v>5163600.8499999996</v>
      </c>
      <c r="E34" s="213">
        <f>SUM(E22:E33)</f>
        <v>-2519208</v>
      </c>
      <c r="F34" s="213">
        <f>SUM(F22:F33)</f>
        <v>2925172</v>
      </c>
      <c r="G34" s="213">
        <f t="shared" ref="G34:I34" si="20">SUM(G22:G33)</f>
        <v>4159303.0599999996</v>
      </c>
      <c r="H34" s="213">
        <f t="shared" si="20"/>
        <v>-190314.86546999999</v>
      </c>
      <c r="I34" s="213">
        <f t="shared" si="20"/>
        <v>3968988.19453</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372" t="s">
        <v>343</v>
      </c>
      <c r="F35" s="37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c r="C36" s="215">
        <f>C22+C23</f>
        <v>1628022</v>
      </c>
      <c r="D36" s="186">
        <f>D22+D23</f>
        <v>2664500.7699999996</v>
      </c>
      <c r="E36" s="186">
        <f t="shared" ref="E36:H36" si="21">E22+E23</f>
        <v>-1809187</v>
      </c>
      <c r="F36" s="186">
        <f t="shared" si="21"/>
        <v>2054252</v>
      </c>
      <c r="G36" s="186">
        <f t="shared" si="21"/>
        <v>2909565.77</v>
      </c>
      <c r="H36" s="186">
        <f t="shared" si="21"/>
        <v>-112007.38087000001</v>
      </c>
      <c r="I36" s="215">
        <f>I22+I23</f>
        <v>2797558.38913</v>
      </c>
      <c r="J36" s="291"/>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c r="C38" s="218">
        <f>SUM(C24:C27)</f>
        <v>340190.85</v>
      </c>
      <c r="D38" s="219">
        <f>SUM(D24:D27)</f>
        <v>763701.41</v>
      </c>
      <c r="E38" s="219">
        <f t="shared" ref="E38:F38" si="22">SUM(E24:E27)</f>
        <v>-496931</v>
      </c>
      <c r="F38" s="219">
        <f t="shared" si="22"/>
        <v>651119</v>
      </c>
      <c r="G38" s="219">
        <f>SUM(G24:G27)</f>
        <v>917889.41</v>
      </c>
      <c r="H38" s="219">
        <f>SUM(H24:H27)</f>
        <v>-78366.605419999993</v>
      </c>
      <c r="I38" s="218">
        <f>SUM(I24:I27)</f>
        <v>839522.80458000011</v>
      </c>
      <c r="J38" s="291"/>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9.25" customHeight="1" x14ac:dyDescent="0.25">
      <c r="A40" s="177"/>
      <c r="B40" s="170"/>
      <c r="C40" s="221">
        <v>43770</v>
      </c>
      <c r="D40" s="221">
        <v>43770</v>
      </c>
      <c r="E40" s="221">
        <v>44044</v>
      </c>
      <c r="F40" s="221">
        <v>43739</v>
      </c>
      <c r="G40" s="221">
        <v>43344</v>
      </c>
      <c r="H40" s="221">
        <v>43922</v>
      </c>
      <c r="I40" s="324" t="s">
        <v>375</v>
      </c>
      <c r="J40" s="370"/>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223" t="s">
        <v>248</v>
      </c>
      <c r="F41" s="223" t="s">
        <v>249</v>
      </c>
      <c r="G41" s="223" t="s">
        <v>250</v>
      </c>
      <c r="H41" s="223" t="s">
        <v>251</v>
      </c>
      <c r="I41" s="223" t="s">
        <v>364</v>
      </c>
      <c r="J41" s="369"/>
      <c r="K41" s="369"/>
      <c r="L41" s="369"/>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-6.8500000000000002E-3</v>
      </c>
      <c r="F42" s="224">
        <v>0</v>
      </c>
      <c r="G42" s="224">
        <v>3.0280000000000001E-2</v>
      </c>
      <c r="H42" s="224">
        <v>2.1899999999999999E-2</v>
      </c>
      <c r="I42" s="224">
        <v>-2.1409999999999998E-2</v>
      </c>
      <c r="J42" s="224"/>
      <c r="K42" s="224"/>
      <c r="L42" s="224"/>
      <c r="N42" s="225">
        <f>SUM(C42:I42)</f>
        <v>0.28971000000000002</v>
      </c>
      <c r="O42" s="225">
        <f>SUM(C42:I42)</f>
        <v>0.28971000000000002</v>
      </c>
      <c r="P42" s="191">
        <f t="shared" ref="P42:P51" si="23">N42*G4</f>
        <v>504383.66145000001</v>
      </c>
      <c r="Q42" s="226">
        <f t="shared" ref="Q42:Q51" si="24">-F4*O42</f>
        <v>392231.99538000004</v>
      </c>
      <c r="R42" s="191">
        <f>P42-Q42</f>
        <v>112151.66606999998</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f>E42</f>
        <v>-6.8500000000000002E-3</v>
      </c>
      <c r="F43" s="224">
        <v>-0.48469000000000001</v>
      </c>
      <c r="G43" s="224">
        <v>3.0280000000000001E-2</v>
      </c>
      <c r="H43" s="224">
        <f>H42</f>
        <v>2.1899999999999999E-2</v>
      </c>
      <c r="I43" s="224">
        <f>I42</f>
        <v>-2.1409999999999998E-2</v>
      </c>
      <c r="J43" s="224"/>
      <c r="K43" s="224"/>
      <c r="L43" s="224"/>
      <c r="N43" s="225">
        <f t="shared" ref="N43:N51" si="25">SUM(C43:I43)</f>
        <v>-0.19497999999999999</v>
      </c>
      <c r="O43" s="225">
        <f t="shared" ref="O43:O51" si="26">SUM(C43:I43)</f>
        <v>-0.19497999999999999</v>
      </c>
      <c r="P43" s="191">
        <f t="shared" si="23"/>
        <v>-445.91925999999995</v>
      </c>
      <c r="Q43" s="226">
        <f t="shared" si="24"/>
        <v>-301.63405999999998</v>
      </c>
      <c r="R43" s="191">
        <f t="shared" ref="R43:R51" si="27">P43-Q43</f>
        <v>-144.28519999999997</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4.1900000000000001E-3</v>
      </c>
      <c r="F44" s="224">
        <v>0</v>
      </c>
      <c r="G44" s="224">
        <v>1.626E-2</v>
      </c>
      <c r="H44" s="224">
        <v>1.8360000000000001E-2</v>
      </c>
      <c r="I44" s="224">
        <v>-1.21E-2</v>
      </c>
      <c r="J44" s="224"/>
      <c r="K44" s="224"/>
      <c r="L44" s="224"/>
      <c r="N44" s="225">
        <f t="shared" si="25"/>
        <v>0.28937000000000002</v>
      </c>
      <c r="O44" s="225">
        <f t="shared" si="26"/>
        <v>0.28937000000000002</v>
      </c>
      <c r="P44" s="191">
        <f t="shared" si="23"/>
        <v>320266.90301000001</v>
      </c>
      <c r="Q44" s="226">
        <f t="shared" si="24"/>
        <v>243519.61287000001</v>
      </c>
      <c r="R44" s="191">
        <f t="shared" si="27"/>
        <v>76747.290139999997</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f>E44</f>
        <v>4.1900000000000001E-3</v>
      </c>
      <c r="F45" s="224">
        <v>0</v>
      </c>
      <c r="G45" s="224">
        <v>1.626E-2</v>
      </c>
      <c r="H45" s="224">
        <f>H44</f>
        <v>1.8360000000000001E-2</v>
      </c>
      <c r="I45" s="224">
        <f>I44</f>
        <v>-1.21E-2</v>
      </c>
      <c r="J45" s="224"/>
      <c r="K45" s="224"/>
      <c r="L45" s="224"/>
      <c r="N45" s="225">
        <f t="shared" si="25"/>
        <v>0.27851999999999999</v>
      </c>
      <c r="O45" s="225">
        <f t="shared" si="26"/>
        <v>0.27851999999999999</v>
      </c>
      <c r="P45" s="191">
        <f t="shared" si="23"/>
        <v>10597.96452</v>
      </c>
      <c r="Q45" s="226">
        <f t="shared" si="24"/>
        <v>8978.6492399999988</v>
      </c>
      <c r="R45" s="191">
        <f t="shared" si="27"/>
        <v>1619.3152800000007</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f t="shared" ref="E46" si="28">E45</f>
        <v>4.1900000000000001E-3</v>
      </c>
      <c r="F46" s="224">
        <v>0</v>
      </c>
      <c r="G46" s="224">
        <v>1.2760000000000001E-2</v>
      </c>
      <c r="H46" s="224">
        <f t="shared" ref="H46:I47" si="29">H45</f>
        <v>1.8360000000000001E-2</v>
      </c>
      <c r="I46" s="224">
        <f t="shared" si="29"/>
        <v>-1.21E-2</v>
      </c>
      <c r="J46" s="224"/>
      <c r="K46" s="224"/>
      <c r="L46" s="224"/>
      <c r="N46" s="225">
        <f t="shared" si="25"/>
        <v>0.28587000000000001</v>
      </c>
      <c r="O46" s="225">
        <f t="shared" si="26"/>
        <v>0.28587000000000001</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f t="shared" ref="E47" si="30">E46</f>
        <v>4.1900000000000001E-3</v>
      </c>
      <c r="F47" s="224">
        <v>0</v>
      </c>
      <c r="G47" s="224">
        <v>1.2760000000000001E-2</v>
      </c>
      <c r="H47" s="224">
        <f t="shared" si="29"/>
        <v>1.8360000000000001E-2</v>
      </c>
      <c r="I47" s="224">
        <f t="shared" si="29"/>
        <v>-1.21E-2</v>
      </c>
      <c r="J47" s="224"/>
      <c r="K47" s="224"/>
      <c r="L47" s="224"/>
      <c r="N47" s="225">
        <f t="shared" si="25"/>
        <v>0.27501999999999999</v>
      </c>
      <c r="O47" s="225">
        <f t="shared" si="26"/>
        <v>0.27501999999999999</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c r="K48" s="224"/>
      <c r="L48" s="224"/>
      <c r="N48" s="225">
        <f t="shared" si="25"/>
        <v>0.23843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c r="K49" s="224"/>
      <c r="L49" s="224"/>
      <c r="N49" s="225">
        <f t="shared" si="25"/>
        <v>-1.98E-3</v>
      </c>
      <c r="O49" s="225">
        <f t="shared" si="26"/>
        <v>-1.98E-3</v>
      </c>
      <c r="P49" s="191">
        <f t="shared" si="23"/>
        <v>-3528.27684</v>
      </c>
      <c r="Q49" s="226">
        <f t="shared" si="24"/>
        <v>-3469.1560199999999</v>
      </c>
      <c r="R49" s="191">
        <f t="shared" si="27"/>
        <v>-59.120820000000094</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831274.33288000012</v>
      </c>
      <c r="Q52" s="227">
        <f>SUM(Q42:Q51)</f>
        <v>640959.46740999992</v>
      </c>
      <c r="R52" s="227">
        <f>SUM(R42:R51)</f>
        <v>190314.86546999999</v>
      </c>
      <c r="U52" s="170"/>
      <c r="V52" s="170"/>
      <c r="W52" s="170"/>
      <c r="X52" s="170"/>
      <c r="Y52" s="170"/>
      <c r="Z52" s="170"/>
      <c r="AA52" s="170"/>
      <c r="AB52" s="170"/>
      <c r="AC52" s="170"/>
      <c r="AD52" s="170"/>
      <c r="AE52" s="77"/>
      <c r="AF52" s="77"/>
      <c r="AG52" s="77"/>
    </row>
    <row r="53" spans="1:33" ht="39" x14ac:dyDescent="0.25">
      <c r="A53" s="222" t="s">
        <v>255</v>
      </c>
      <c r="B53" s="174"/>
      <c r="C53" s="368" t="s">
        <v>256</v>
      </c>
      <c r="D53" s="368" t="s">
        <v>257</v>
      </c>
      <c r="E53" s="368" t="s">
        <v>248</v>
      </c>
      <c r="F53" s="368" t="s">
        <v>258</v>
      </c>
      <c r="G53" s="368" t="s">
        <v>259</v>
      </c>
      <c r="H53" s="368" t="s">
        <v>260</v>
      </c>
      <c r="I53" s="368" t="s">
        <v>366</v>
      </c>
      <c r="J53" s="368" t="s">
        <v>261</v>
      </c>
      <c r="M53" s="170"/>
      <c r="N53" s="170"/>
      <c r="O53" s="170"/>
      <c r="Q53" s="262">
        <f>'08.2020 Base Rate Revenue'!P52</f>
        <v>640959.46740999992</v>
      </c>
      <c r="R53" s="188">
        <f>J64</f>
        <v>190314.86546999999</v>
      </c>
      <c r="U53" s="170"/>
      <c r="V53" s="170"/>
      <c r="W53" s="170"/>
      <c r="X53" s="170"/>
      <c r="Y53" s="170"/>
      <c r="Z53" s="170"/>
      <c r="AA53" s="170"/>
      <c r="AB53" s="170"/>
      <c r="AC53" s="170"/>
      <c r="AD53" s="77"/>
      <c r="AE53" s="77"/>
      <c r="AF53" s="77"/>
      <c r="AG53" s="77"/>
    </row>
    <row r="54" spans="1:33" x14ac:dyDescent="0.25">
      <c r="A54" s="178" t="s">
        <v>212</v>
      </c>
      <c r="B54" s="170"/>
      <c r="C54" s="186">
        <f>C42*$H4</f>
        <v>101231.09550000001</v>
      </c>
      <c r="D54" s="186">
        <f t="shared" ref="D54:E54" si="31">D42*$H4</f>
        <v>1660.7319300000001</v>
      </c>
      <c r="E54" s="186">
        <f t="shared" si="31"/>
        <v>-2651.7514500000002</v>
      </c>
      <c r="F54" s="186">
        <f>F42*$H4</f>
        <v>0</v>
      </c>
      <c r="G54" s="186">
        <f t="shared" ref="G54:I54" si="32">G42*$H4</f>
        <v>11721.902760000001</v>
      </c>
      <c r="H54" s="186">
        <f t="shared" si="32"/>
        <v>8477.8622999999989</v>
      </c>
      <c r="I54" s="186">
        <f t="shared" si="32"/>
        <v>-8288.17497</v>
      </c>
      <c r="J54" s="186">
        <f>SUM(C54:I54)</f>
        <v>112151.66607000001</v>
      </c>
      <c r="M54" s="170"/>
      <c r="N54" s="191"/>
      <c r="O54" s="170"/>
      <c r="P54" s="170"/>
      <c r="R54" s="191">
        <f>R52-R53</f>
        <v>0</v>
      </c>
      <c r="U54" s="170"/>
      <c r="V54" s="170"/>
      <c r="W54" s="170"/>
      <c r="X54" s="170"/>
      <c r="Y54" s="170"/>
      <c r="Z54" s="170"/>
      <c r="AA54" s="170"/>
      <c r="AB54" s="170"/>
      <c r="AC54" s="170"/>
      <c r="AD54" s="77"/>
      <c r="AE54" s="77"/>
      <c r="AF54" s="77"/>
      <c r="AG54" s="77"/>
    </row>
    <row r="55" spans="1:33" x14ac:dyDescent="0.25">
      <c r="A55" s="178" t="s">
        <v>214</v>
      </c>
      <c r="B55" s="170"/>
      <c r="C55" s="186">
        <f t="shared" ref="C55:I63" si="33">C43*$H5</f>
        <v>193.51000000000002</v>
      </c>
      <c r="D55" s="186">
        <f t="shared" si="33"/>
        <v>3.1746000000000003</v>
      </c>
      <c r="E55" s="186">
        <f t="shared" si="33"/>
        <v>-5.069</v>
      </c>
      <c r="F55" s="186">
        <f t="shared" si="33"/>
        <v>-358.67059999999998</v>
      </c>
      <c r="G55" s="186">
        <f t="shared" si="33"/>
        <v>22.4072</v>
      </c>
      <c r="H55" s="186">
        <f t="shared" si="33"/>
        <v>16.206</v>
      </c>
      <c r="I55" s="186">
        <f t="shared" si="33"/>
        <v>-15.843399999999999</v>
      </c>
      <c r="J55" s="186">
        <f t="shared" ref="J55:J63" si="34">SUM(C55:I55)</f>
        <v>-144.28519999999997</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186">
        <f t="shared" si="33"/>
        <v>66785.551819999993</v>
      </c>
      <c r="D56" s="186">
        <f t="shared" si="33"/>
        <v>2877.6587</v>
      </c>
      <c r="E56" s="186">
        <f t="shared" si="33"/>
        <v>1111.28018</v>
      </c>
      <c r="F56" s="186">
        <f t="shared" si="33"/>
        <v>0</v>
      </c>
      <c r="G56" s="186">
        <f t="shared" si="33"/>
        <v>4312.50972</v>
      </c>
      <c r="H56" s="186">
        <f t="shared" si="33"/>
        <v>4869.4759200000008</v>
      </c>
      <c r="I56" s="186">
        <f t="shared" si="33"/>
        <v>-3209.1862000000001</v>
      </c>
      <c r="J56" s="186">
        <f t="shared" si="34"/>
        <v>76747.290139999997</v>
      </c>
      <c r="K56" s="170"/>
      <c r="L56" s="170"/>
      <c r="M56" s="191"/>
      <c r="N56" s="170"/>
      <c r="O56" s="170"/>
      <c r="P56" s="170"/>
      <c r="Q56" s="170"/>
      <c r="R56" s="170"/>
      <c r="S56" s="170"/>
      <c r="T56" s="170"/>
      <c r="U56" s="170"/>
      <c r="V56" s="170"/>
      <c r="W56" s="170"/>
      <c r="X56" s="170"/>
      <c r="Y56" s="170"/>
      <c r="Z56" s="170"/>
      <c r="AA56" s="170"/>
      <c r="AB56" s="170"/>
      <c r="AC56" s="170"/>
      <c r="AD56" s="77"/>
      <c r="AE56" s="77"/>
      <c r="AF56" s="77"/>
      <c r="AG56" s="77"/>
    </row>
    <row r="57" spans="1:33" x14ac:dyDescent="0.25">
      <c r="A57" s="178" t="s">
        <v>218</v>
      </c>
      <c r="B57" s="170"/>
      <c r="C57" s="186">
        <f t="shared" si="33"/>
        <v>1464.02334</v>
      </c>
      <c r="D57" s="186">
        <f t="shared" si="33"/>
        <v>0</v>
      </c>
      <c r="E57" s="186">
        <f t="shared" si="33"/>
        <v>24.360659999999999</v>
      </c>
      <c r="F57" s="186">
        <f t="shared" si="33"/>
        <v>0</v>
      </c>
      <c r="G57" s="186">
        <f t="shared" si="33"/>
        <v>94.535640000000001</v>
      </c>
      <c r="H57" s="186">
        <f t="shared" si="33"/>
        <v>106.74504</v>
      </c>
      <c r="I57" s="186">
        <f t="shared" si="33"/>
        <v>-70.349400000000003</v>
      </c>
      <c r="J57" s="186">
        <f t="shared" si="34"/>
        <v>1619.31528</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186">
        <f t="shared" si="33"/>
        <v>0</v>
      </c>
      <c r="D58" s="186">
        <f t="shared" si="33"/>
        <v>0</v>
      </c>
      <c r="E58" s="186">
        <f t="shared" si="33"/>
        <v>0</v>
      </c>
      <c r="F58" s="186">
        <f t="shared" si="33"/>
        <v>0</v>
      </c>
      <c r="G58" s="186">
        <f t="shared" si="33"/>
        <v>0</v>
      </c>
      <c r="H58" s="186">
        <f t="shared" si="33"/>
        <v>0</v>
      </c>
      <c r="I58" s="186">
        <f t="shared" si="33"/>
        <v>0</v>
      </c>
      <c r="J58" s="186">
        <f t="shared" si="34"/>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186">
        <f t="shared" si="33"/>
        <v>0</v>
      </c>
      <c r="D59" s="186">
        <f t="shared" si="33"/>
        <v>0</v>
      </c>
      <c r="E59" s="186">
        <f t="shared" si="33"/>
        <v>0</v>
      </c>
      <c r="F59" s="186">
        <f t="shared" si="33"/>
        <v>0</v>
      </c>
      <c r="G59" s="186">
        <f t="shared" si="33"/>
        <v>0</v>
      </c>
      <c r="H59" s="186">
        <f t="shared" si="33"/>
        <v>0</v>
      </c>
      <c r="I59" s="186">
        <f t="shared" si="33"/>
        <v>0</v>
      </c>
      <c r="J59" s="186">
        <f t="shared" si="34"/>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186">
        <f t="shared" si="33"/>
        <v>0</v>
      </c>
      <c r="D60" s="186">
        <f t="shared" si="33"/>
        <v>0</v>
      </c>
      <c r="E60" s="186">
        <f t="shared" si="33"/>
        <v>0</v>
      </c>
      <c r="F60" s="186">
        <f t="shared" si="33"/>
        <v>0</v>
      </c>
      <c r="G60" s="186">
        <f t="shared" si="33"/>
        <v>0</v>
      </c>
      <c r="H60" s="186">
        <f t="shared" si="33"/>
        <v>0</v>
      </c>
      <c r="I60" s="186">
        <f t="shared" si="33"/>
        <v>0</v>
      </c>
      <c r="J60" s="186">
        <f t="shared" si="34"/>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186">
        <f t="shared" si="33"/>
        <v>16.721039999999999</v>
      </c>
      <c r="D61" s="186">
        <f t="shared" si="33"/>
        <v>0</v>
      </c>
      <c r="E61" s="186">
        <f t="shared" si="33"/>
        <v>0</v>
      </c>
      <c r="F61" s="186">
        <f t="shared" si="33"/>
        <v>0</v>
      </c>
      <c r="G61" s="186">
        <f t="shared" si="33"/>
        <v>0</v>
      </c>
      <c r="H61" s="186">
        <f t="shared" si="33"/>
        <v>29.560410000000001</v>
      </c>
      <c r="I61" s="186">
        <f t="shared" si="33"/>
        <v>-105.40227</v>
      </c>
      <c r="J61" s="186">
        <f t="shared" si="34"/>
        <v>-59.120820000000002</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186">
        <f t="shared" si="33"/>
        <v>0</v>
      </c>
      <c r="D62" s="186">
        <f t="shared" si="33"/>
        <v>0</v>
      </c>
      <c r="E62" s="186">
        <f t="shared" si="33"/>
        <v>0</v>
      </c>
      <c r="F62" s="186">
        <f t="shared" si="33"/>
        <v>0</v>
      </c>
      <c r="G62" s="186">
        <f t="shared" si="33"/>
        <v>0</v>
      </c>
      <c r="H62" s="186">
        <f t="shared" si="33"/>
        <v>0</v>
      </c>
      <c r="I62" s="186">
        <f t="shared" si="33"/>
        <v>0</v>
      </c>
      <c r="J62" s="186">
        <f t="shared" si="34"/>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186">
        <f t="shared" si="33"/>
        <v>0</v>
      </c>
      <c r="D63" s="186">
        <f t="shared" si="33"/>
        <v>0</v>
      </c>
      <c r="E63" s="186">
        <f t="shared" si="33"/>
        <v>0</v>
      </c>
      <c r="F63" s="186">
        <f t="shared" si="33"/>
        <v>0</v>
      </c>
      <c r="G63" s="186">
        <f t="shared" si="33"/>
        <v>0</v>
      </c>
      <c r="H63" s="186">
        <f t="shared" si="33"/>
        <v>0</v>
      </c>
      <c r="I63" s="186">
        <f t="shared" si="33"/>
        <v>0</v>
      </c>
      <c r="J63" s="186">
        <f t="shared" si="34"/>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194">
        <f>SUM(C54:C63)</f>
        <v>169690.90170000002</v>
      </c>
      <c r="D64" s="194">
        <f t="shared" ref="D64:I64" si="35">SUM(D54:D63)</f>
        <v>4541.5652300000002</v>
      </c>
      <c r="E64" s="194">
        <f t="shared" si="35"/>
        <v>-1521.1796100000001</v>
      </c>
      <c r="F64" s="194">
        <f t="shared" si="35"/>
        <v>-358.67059999999998</v>
      </c>
      <c r="G64" s="194">
        <f t="shared" si="35"/>
        <v>16151.355320000001</v>
      </c>
      <c r="H64" s="194">
        <f t="shared" si="35"/>
        <v>13499.84967</v>
      </c>
      <c r="I64" s="194">
        <f t="shared" si="35"/>
        <v>-11688.95624</v>
      </c>
      <c r="J64" s="194">
        <f>SUM(J54:J63)</f>
        <v>190314.86546999999</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101424.60550000001</v>
      </c>
      <c r="D66" s="186">
        <f>D54+D55</f>
        <v>1663.9065300000002</v>
      </c>
      <c r="E66" s="186">
        <f t="shared" ref="E66:I66" si="36">E54+E55</f>
        <v>-2656.8204500000002</v>
      </c>
      <c r="F66" s="186">
        <f t="shared" si="36"/>
        <v>-358.67059999999998</v>
      </c>
      <c r="G66" s="186">
        <f t="shared" si="36"/>
        <v>11744.309960000001</v>
      </c>
      <c r="H66" s="186">
        <f t="shared" si="36"/>
        <v>8494.068299999999</v>
      </c>
      <c r="I66" s="186">
        <f t="shared" si="36"/>
        <v>-8304.0183699999998</v>
      </c>
      <c r="J66" s="186">
        <f>J54+J55</f>
        <v>112007.38087000001</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68249.575159999993</v>
      </c>
      <c r="D68" s="219">
        <f t="shared" ref="D68:I68" si="37">SUM(D56:D59)</f>
        <v>2877.6587</v>
      </c>
      <c r="E68" s="219">
        <f t="shared" si="37"/>
        <v>1135.64084</v>
      </c>
      <c r="F68" s="219">
        <f t="shared" si="37"/>
        <v>0</v>
      </c>
      <c r="G68" s="219">
        <f t="shared" si="37"/>
        <v>4407.0453600000001</v>
      </c>
      <c r="H68" s="219">
        <f t="shared" si="37"/>
        <v>4976.2209600000006</v>
      </c>
      <c r="I68" s="219">
        <f t="shared" si="37"/>
        <v>-3279.5356000000002</v>
      </c>
      <c r="J68" s="219">
        <f>SUM(J56:J59)</f>
        <v>78366.605419999993</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5288</v>
      </c>
      <c r="D74" s="273">
        <v>44156.372759999998</v>
      </c>
      <c r="E74" s="183">
        <v>50353.06</v>
      </c>
      <c r="F74" s="183">
        <v>69377.73</v>
      </c>
      <c r="G74" s="183">
        <v>12797.77</v>
      </c>
      <c r="H74" s="183">
        <v>2255.7399999999998</v>
      </c>
      <c r="I74" s="186">
        <f>SUM(F74:H74)</f>
        <v>84431.24</v>
      </c>
      <c r="J74" s="349"/>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2</v>
      </c>
      <c r="D75" s="273">
        <v>28.555399999999999</v>
      </c>
      <c r="E75" s="183">
        <v>19</v>
      </c>
      <c r="F75" s="183">
        <v>30.72</v>
      </c>
      <c r="G75" s="183">
        <v>-5.57</v>
      </c>
      <c r="H75" s="183">
        <v>1.1000000000000001</v>
      </c>
      <c r="I75" s="186">
        <f t="shared" ref="I75:I79" si="38">SUM(F75:H75)</f>
        <v>26.25</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37</v>
      </c>
      <c r="D76" s="273">
        <v>17846.57302</v>
      </c>
      <c r="E76" s="183">
        <v>3979.67</v>
      </c>
      <c r="F76" s="183">
        <v>8345.41</v>
      </c>
      <c r="G76" s="183">
        <v>5168.6499999999996</v>
      </c>
      <c r="H76" s="183">
        <v>365.19</v>
      </c>
      <c r="I76" s="186">
        <f t="shared" si="38"/>
        <v>13879.25</v>
      </c>
      <c r="J76" s="349"/>
    </row>
    <row r="77" spans="1:33" x14ac:dyDescent="0.25">
      <c r="A77" s="178" t="s">
        <v>218</v>
      </c>
      <c r="C77" s="273">
        <v>0</v>
      </c>
      <c r="D77" s="273"/>
      <c r="E77" s="183"/>
      <c r="F77" s="183"/>
      <c r="G77" s="183"/>
      <c r="H77" s="183"/>
      <c r="I77" s="186">
        <f t="shared" si="38"/>
        <v>0</v>
      </c>
    </row>
    <row r="78" spans="1:33" x14ac:dyDescent="0.25">
      <c r="A78" s="178" t="s">
        <v>220</v>
      </c>
      <c r="C78" s="273">
        <v>0</v>
      </c>
      <c r="D78" s="273"/>
      <c r="E78" s="183"/>
      <c r="F78" s="183"/>
      <c r="G78" s="183"/>
      <c r="H78" s="183"/>
      <c r="I78" s="186">
        <f t="shared" si="38"/>
        <v>0</v>
      </c>
    </row>
    <row r="79" spans="1:33" x14ac:dyDescent="0.25">
      <c r="A79" s="178" t="s">
        <v>222</v>
      </c>
      <c r="C79" s="273">
        <v>0</v>
      </c>
      <c r="D79" s="273"/>
      <c r="E79" s="183"/>
      <c r="F79" s="183"/>
      <c r="G79" s="183"/>
      <c r="H79" s="183"/>
      <c r="I79" s="186">
        <f t="shared" si="38"/>
        <v>0</v>
      </c>
    </row>
    <row r="80" spans="1:33" x14ac:dyDescent="0.25">
      <c r="A80" s="178" t="s">
        <v>351</v>
      </c>
      <c r="C80" s="310">
        <f>SUM(C74:C79)</f>
        <v>5327</v>
      </c>
      <c r="D80" s="310">
        <f t="shared" ref="D80:I80" si="39">SUM(D74:D79)</f>
        <v>62031.501179999992</v>
      </c>
      <c r="E80" s="213">
        <f t="shared" si="39"/>
        <v>54351.729999999996</v>
      </c>
      <c r="F80" s="213">
        <f t="shared" si="39"/>
        <v>77753.86</v>
      </c>
      <c r="G80" s="213">
        <f t="shared" si="39"/>
        <v>17960.849999999999</v>
      </c>
      <c r="H80" s="213">
        <f t="shared" si="39"/>
        <v>2622.0299999999997</v>
      </c>
      <c r="I80" s="213">
        <f t="shared" si="39"/>
        <v>98336.74</v>
      </c>
    </row>
    <row r="81" spans="1:9" ht="15.75" thickBot="1" x14ac:dyDescent="0.3">
      <c r="A81" s="178"/>
      <c r="B81" s="282" t="s">
        <v>343</v>
      </c>
      <c r="C81" s="282" t="s">
        <v>343</v>
      </c>
      <c r="D81" s="372" t="s">
        <v>343</v>
      </c>
      <c r="E81" s="282" t="s">
        <v>343</v>
      </c>
      <c r="F81" s="282" t="s">
        <v>343</v>
      </c>
      <c r="G81" s="282" t="s">
        <v>343</v>
      </c>
      <c r="H81" s="282" t="s">
        <v>343</v>
      </c>
      <c r="I81" s="282" t="s">
        <v>343</v>
      </c>
    </row>
    <row r="82" spans="1:9" x14ac:dyDescent="0.25">
      <c r="A82" s="178" t="s">
        <v>352</v>
      </c>
      <c r="C82" s="311">
        <f t="shared" ref="C82:I82" si="40">C74+C75</f>
        <v>5290</v>
      </c>
      <c r="D82" s="312">
        <f t="shared" si="40"/>
        <v>44184.928159999996</v>
      </c>
      <c r="E82" s="312">
        <f t="shared" si="40"/>
        <v>50372.06</v>
      </c>
      <c r="F82" s="313">
        <f t="shared" si="40"/>
        <v>69408.45</v>
      </c>
      <c r="G82" s="186">
        <f t="shared" si="40"/>
        <v>12792.2</v>
      </c>
      <c r="H82" s="186">
        <f t="shared" si="40"/>
        <v>2256.8399999999997</v>
      </c>
      <c r="I82" s="186">
        <f t="shared" si="40"/>
        <v>84457.49</v>
      </c>
    </row>
    <row r="83" spans="1:9" x14ac:dyDescent="0.25">
      <c r="C83" s="325"/>
      <c r="D83" s="326"/>
      <c r="E83" s="326"/>
      <c r="F83" s="327"/>
      <c r="G83" s="186"/>
      <c r="H83" s="186"/>
      <c r="I83" s="186"/>
    </row>
    <row r="84" spans="1:9" ht="15.75" thickBot="1" x14ac:dyDescent="0.3">
      <c r="A84" s="178" t="s">
        <v>353</v>
      </c>
      <c r="C84" s="314">
        <f t="shared" ref="C84:H84" si="41">SUM(C76:C79)</f>
        <v>37</v>
      </c>
      <c r="D84" s="315">
        <f t="shared" si="41"/>
        <v>17846.57302</v>
      </c>
      <c r="E84" s="316">
        <f t="shared" si="41"/>
        <v>3979.67</v>
      </c>
      <c r="F84" s="317">
        <f t="shared" si="41"/>
        <v>8345.41</v>
      </c>
      <c r="G84" s="186">
        <f t="shared" si="41"/>
        <v>5168.6499999999996</v>
      </c>
      <c r="H84" s="186">
        <f t="shared" si="41"/>
        <v>365.19</v>
      </c>
      <c r="I84" s="186">
        <f>SUM(I76:I79)</f>
        <v>13879.25</v>
      </c>
    </row>
    <row r="85" spans="1:9" x14ac:dyDescent="0.25">
      <c r="C85" s="282"/>
      <c r="D85" s="282"/>
      <c r="E85" s="282"/>
      <c r="F85" s="282"/>
    </row>
  </sheetData>
  <mergeCells count="7">
    <mergeCell ref="R40:R41"/>
    <mergeCell ref="A70:I70"/>
    <mergeCell ref="A1:I1"/>
    <mergeCell ref="O40:O41"/>
    <mergeCell ref="P40:P41"/>
    <mergeCell ref="Q40:Q41"/>
    <mergeCell ref="N40:N41"/>
  </mergeCells>
  <printOptions horizontalCentered="1"/>
  <pageMargins left="0.45" right="0.45" top="0.5" bottom="0.5" header="0.3" footer="0.3"/>
  <pageSetup scale="80" orientation="landscape" useFirstPageNumber="1" r:id="rId1"/>
  <headerFooter scaleWithDoc="0">
    <oddFooter>&amp;L&amp;F / &amp;A&amp;RPage &amp;P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85"/>
  <sheetViews>
    <sheetView topLeftCell="J1" zoomScaleNormal="100" workbookViewId="0">
      <selection activeCell="V33" sqref="V33"/>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5.7109375" customWidth="1"/>
    <col min="8" max="8" width="14.7109375" customWidth="1"/>
    <col min="9" max="9" width="18.28515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5.85546875" customWidth="1"/>
    <col min="28" max="28" width="14.28515625" customWidth="1"/>
    <col min="29" max="29" width="18.140625" customWidth="1"/>
    <col min="30" max="30" width="10.5703125" customWidth="1"/>
  </cols>
  <sheetData>
    <row r="1" spans="1:33" x14ac:dyDescent="0.25">
      <c r="A1" s="432" t="s">
        <v>200</v>
      </c>
      <c r="B1" s="432"/>
      <c r="C1" s="432"/>
      <c r="D1" s="432"/>
      <c r="E1" s="432"/>
      <c r="F1" s="432"/>
      <c r="G1" s="432"/>
      <c r="H1" s="432"/>
      <c r="I1" s="432"/>
      <c r="J1" s="170"/>
      <c r="K1" s="170"/>
      <c r="L1" s="170" t="s">
        <v>388</v>
      </c>
      <c r="M1" s="170"/>
      <c r="N1" s="170"/>
      <c r="O1" s="170"/>
      <c r="P1" s="170"/>
      <c r="Q1" s="170"/>
      <c r="R1" s="170"/>
      <c r="S1" s="170"/>
      <c r="T1" s="170"/>
      <c r="U1" s="170"/>
      <c r="V1" s="170"/>
      <c r="W1" s="170"/>
      <c r="X1" s="170"/>
      <c r="Y1" s="170"/>
      <c r="Z1" s="171" t="s">
        <v>201</v>
      </c>
      <c r="AA1" s="172" t="s">
        <v>383</v>
      </c>
      <c r="AB1" s="170"/>
      <c r="AC1" s="171" t="s">
        <v>203</v>
      </c>
      <c r="AD1" s="172" t="s">
        <v>381</v>
      </c>
      <c r="AE1" s="77"/>
      <c r="AF1" s="77"/>
      <c r="AG1" s="77"/>
    </row>
    <row r="2" spans="1:33" ht="42.75" customHeight="1" x14ac:dyDescent="0.25">
      <c r="A2" s="173"/>
      <c r="B2" s="174"/>
      <c r="C2" s="175" t="s">
        <v>204</v>
      </c>
      <c r="D2" s="174"/>
      <c r="E2" s="175" t="s">
        <v>205</v>
      </c>
      <c r="F2" s="176" t="s">
        <v>206</v>
      </c>
      <c r="G2" s="176" t="s">
        <v>207</v>
      </c>
      <c r="H2" s="176" t="s">
        <v>115</v>
      </c>
      <c r="I2" s="176" t="s">
        <v>208</v>
      </c>
      <c r="J2" s="170"/>
      <c r="K2" s="170"/>
      <c r="L2" s="170"/>
      <c r="M2" s="170"/>
      <c r="N2" s="357" t="str">
        <f>AA1&amp;" Billed Schedule 175 Revenue"</f>
        <v>August Billed Schedule 175 Revenue</v>
      </c>
      <c r="O2" s="357" t="str">
        <f>AA1&amp;" Billed Therms"</f>
        <v>August Billed Therms</v>
      </c>
      <c r="P2" s="357" t="str">
        <f>AA1&amp;" Unbilled Therms"</f>
        <v>August Unbilled Therms</v>
      </c>
      <c r="Q2" s="260" t="s">
        <v>382</v>
      </c>
      <c r="R2" s="357" t="s">
        <v>209</v>
      </c>
      <c r="S2" s="357" t="str">
        <f>AD1&amp;" Unbilled Therms reversal"</f>
        <v>July Unbilled Therms reversal</v>
      </c>
      <c r="T2" s="357" t="s">
        <v>308</v>
      </c>
      <c r="U2" s="357" t="str">
        <f>AD1&amp;" Schedule 175 Unbilled Reversal"</f>
        <v>July Schedule 175 Unbilled Reversal</v>
      </c>
      <c r="V2" s="170"/>
      <c r="W2" s="357" t="str">
        <f>"Total "&amp;AA1&amp;" Schedule 175 Revenue"</f>
        <v>Total August Schedule 175 Revenue</v>
      </c>
      <c r="X2" s="170"/>
      <c r="Y2" s="357" t="str">
        <f>"Calendar "&amp;AA1&amp;" Usage"</f>
        <v>Calendar August Usage</v>
      </c>
      <c r="Z2" s="357" t="str">
        <f>Q2</f>
        <v>8/1/2020 rate</v>
      </c>
      <c r="AA2" s="357" t="s">
        <v>210</v>
      </c>
      <c r="AB2" s="357" t="s">
        <v>211</v>
      </c>
      <c r="AC2" s="357" t="str">
        <f>"implied "&amp;AD1&amp;" unbilled/Cancel-Rebill True-up therms"</f>
        <v>implied July unbilled/Cancel-Rebill True-up therms</v>
      </c>
      <c r="AD2" s="170"/>
      <c r="AE2" s="77"/>
      <c r="AF2" s="77"/>
      <c r="AG2" s="77"/>
    </row>
    <row r="3" spans="1:33" x14ac:dyDescent="0.25">
      <c r="A3" s="177"/>
      <c r="B3" s="177"/>
      <c r="C3" s="177"/>
      <c r="D3" s="170"/>
      <c r="E3" s="170"/>
      <c r="F3" s="170"/>
      <c r="G3" s="170"/>
      <c r="H3" s="170"/>
      <c r="I3" s="170"/>
      <c r="J3" s="170"/>
      <c r="K3" s="170"/>
      <c r="L3" s="170"/>
      <c r="M3" s="170"/>
      <c r="N3" s="357"/>
      <c r="O3" s="357"/>
      <c r="P3" s="357"/>
      <c r="Q3" s="357"/>
      <c r="R3" s="357"/>
      <c r="S3" s="357"/>
      <c r="T3" s="357"/>
      <c r="U3" s="357"/>
      <c r="V3" s="170"/>
      <c r="W3" s="357"/>
      <c r="X3" s="170"/>
      <c r="Y3" s="357"/>
      <c r="Z3" s="357"/>
      <c r="AA3" s="357"/>
      <c r="AB3" s="357"/>
      <c r="AC3" s="357"/>
      <c r="AD3" s="170"/>
      <c r="AE3" s="77"/>
      <c r="AF3" s="77"/>
      <c r="AG3" s="77"/>
    </row>
    <row r="4" spans="1:33" x14ac:dyDescent="0.25">
      <c r="A4" s="178" t="s">
        <v>212</v>
      </c>
      <c r="B4" s="177"/>
      <c r="C4" s="345">
        <v>167651</v>
      </c>
      <c r="D4" s="177"/>
      <c r="E4" s="345">
        <v>2216621.2229599999</v>
      </c>
      <c r="F4" s="180">
        <v>-1333913</v>
      </c>
      <c r="G4" s="345">
        <f>1355425-G5</f>
        <v>1353878</v>
      </c>
      <c r="H4" s="181">
        <f>F4+G4</f>
        <v>19965</v>
      </c>
      <c r="I4" s="182">
        <f t="shared" ref="I4:I13" si="0">SUM(E4:G4)</f>
        <v>2236586.2229599999</v>
      </c>
      <c r="J4" s="170"/>
      <c r="K4" s="170"/>
      <c r="L4" s="170" t="s">
        <v>213</v>
      </c>
      <c r="M4" s="170"/>
      <c r="N4" s="183">
        <v>-1567.37</v>
      </c>
      <c r="O4" s="184">
        <f>E4</f>
        <v>2216621.2229599999</v>
      </c>
      <c r="P4" s="184">
        <f t="shared" ref="P4:P9" si="1">G4</f>
        <v>1353878</v>
      </c>
      <c r="Q4" s="366">
        <v>-6.8500000000000002E-3</v>
      </c>
      <c r="R4" s="186">
        <f>P4*Q4</f>
        <v>-9274.0643</v>
      </c>
      <c r="S4" s="184">
        <f t="shared" ref="S4:S9" si="2">F4</f>
        <v>-1333913</v>
      </c>
      <c r="T4" s="185">
        <v>4.1999999999999997E-3</v>
      </c>
      <c r="U4" s="187">
        <f>S4*T4</f>
        <v>-5602.4345999999996</v>
      </c>
      <c r="V4" s="170"/>
      <c r="W4" s="188">
        <f>N4+R4+U4</f>
        <v>-16443.868900000001</v>
      </c>
      <c r="X4" s="170"/>
      <c r="Y4" s="189">
        <f>O4+P4+S4</f>
        <v>2236586.2229599999</v>
      </c>
      <c r="Z4" s="190">
        <f>Q4</f>
        <v>-6.8500000000000002E-3</v>
      </c>
      <c r="AA4" s="191">
        <f>Y4*Z4</f>
        <v>-15320.615627276</v>
      </c>
      <c r="AB4" s="188">
        <f>W4-AA4</f>
        <v>-1123.2532727240014</v>
      </c>
      <c r="AC4" s="189">
        <f>AB4/T4</f>
        <v>-267441.25541047653</v>
      </c>
      <c r="AD4" s="192">
        <f t="shared" ref="AD4:AD11" si="3">AB4/W4</f>
        <v>6.8308333005744237E-2</v>
      </c>
      <c r="AE4" s="77"/>
      <c r="AF4" s="77"/>
      <c r="AG4" s="77"/>
    </row>
    <row r="5" spans="1:33" x14ac:dyDescent="0.25">
      <c r="A5" s="178" t="s">
        <v>214</v>
      </c>
      <c r="B5" s="177"/>
      <c r="C5" s="345">
        <v>216</v>
      </c>
      <c r="D5" s="177"/>
      <c r="E5" s="345">
        <v>2531.9371900000001</v>
      </c>
      <c r="F5" s="180">
        <v>-1564</v>
      </c>
      <c r="G5" s="345">
        <v>1547</v>
      </c>
      <c r="H5" s="181">
        <f t="shared" ref="H5:H13" si="4">F5+G5</f>
        <v>-17</v>
      </c>
      <c r="I5" s="182">
        <f t="shared" si="0"/>
        <v>2514.9371900000001</v>
      </c>
      <c r="J5" s="170"/>
      <c r="K5" s="170"/>
      <c r="L5" s="170" t="s">
        <v>215</v>
      </c>
      <c r="M5" s="170"/>
      <c r="N5" s="183">
        <v>-2.61</v>
      </c>
      <c r="O5" s="184">
        <f t="shared" ref="O5:O7" si="5">E5</f>
        <v>2531.9371900000001</v>
      </c>
      <c r="P5" s="184">
        <f t="shared" si="1"/>
        <v>1547</v>
      </c>
      <c r="Q5" s="366">
        <v>-6.8500000000000002E-3</v>
      </c>
      <c r="R5" s="186">
        <f t="shared" ref="R5:R10" si="6">P5*Q5</f>
        <v>-10.59695</v>
      </c>
      <c r="S5" s="184">
        <f t="shared" si="2"/>
        <v>-1564</v>
      </c>
      <c r="T5" s="185">
        <v>4.1999999999999997E-3</v>
      </c>
      <c r="U5" s="187">
        <f t="shared" ref="U5:U10" si="7">S5*T5</f>
        <v>-6.5687999999999995</v>
      </c>
      <c r="V5" s="170"/>
      <c r="W5" s="188">
        <f t="shared" ref="W5:W10" si="8">N5+R5+U5</f>
        <v>-19.775749999999999</v>
      </c>
      <c r="X5" s="170"/>
      <c r="Y5" s="189">
        <f t="shared" ref="Y5:Y10" si="9">O5+P5+S5</f>
        <v>2514.9371900000001</v>
      </c>
      <c r="Z5" s="190">
        <f t="shared" ref="Z5:Z10" si="10">Q5</f>
        <v>-6.8500000000000002E-3</v>
      </c>
      <c r="AA5" s="191">
        <f t="shared" ref="AA5:AA10" si="11">Y5*Z5</f>
        <v>-17.227319751500001</v>
      </c>
      <c r="AB5" s="188">
        <f t="shared" ref="AB5:AB10" si="12">W5-AA5</f>
        <v>-2.5484302484999972</v>
      </c>
      <c r="AC5" s="189">
        <f t="shared" ref="AC5:AC10" si="13">AB5/T5</f>
        <v>-606.76910678571369</v>
      </c>
      <c r="AD5" s="192">
        <f t="shared" si="3"/>
        <v>0.12886642724043323</v>
      </c>
      <c r="AE5" s="77"/>
      <c r="AF5" s="77"/>
      <c r="AG5" s="77"/>
    </row>
    <row r="6" spans="1:33" x14ac:dyDescent="0.25">
      <c r="A6" s="178" t="s">
        <v>216</v>
      </c>
      <c r="B6" s="177"/>
      <c r="C6" s="345">
        <v>3118</v>
      </c>
      <c r="D6" s="177"/>
      <c r="E6" s="345">
        <v>1520328.7039600001</v>
      </c>
      <c r="F6" s="180">
        <v>-740650</v>
      </c>
      <c r="G6" s="345">
        <v>841551</v>
      </c>
      <c r="H6" s="181">
        <f t="shared" si="4"/>
        <v>100901</v>
      </c>
      <c r="I6" s="182">
        <f>SUM(E6:G6)</f>
        <v>1621229.7039600001</v>
      </c>
      <c r="J6" s="170"/>
      <c r="K6" s="170"/>
      <c r="L6" s="170" t="s">
        <v>217</v>
      </c>
      <c r="M6" s="170"/>
      <c r="N6" s="183">
        <v>17304.740000000002</v>
      </c>
      <c r="O6" s="184">
        <f t="shared" si="5"/>
        <v>1520328.7039600001</v>
      </c>
      <c r="P6" s="184">
        <f t="shared" si="1"/>
        <v>841551</v>
      </c>
      <c r="Q6" s="261">
        <v>4.1900000000000001E-3</v>
      </c>
      <c r="R6" s="186">
        <f t="shared" si="6"/>
        <v>3526.0986900000003</v>
      </c>
      <c r="S6" s="184">
        <f t="shared" si="2"/>
        <v>-740650</v>
      </c>
      <c r="T6" s="185">
        <v>1.8409999999999999E-2</v>
      </c>
      <c r="U6" s="187">
        <f t="shared" si="7"/>
        <v>-13635.3665</v>
      </c>
      <c r="V6" s="170"/>
      <c r="W6" s="188">
        <f t="shared" si="8"/>
        <v>7195.4721900000004</v>
      </c>
      <c r="X6" s="170"/>
      <c r="Y6" s="189">
        <f t="shared" si="9"/>
        <v>1621229.7039600001</v>
      </c>
      <c r="Z6" s="177">
        <f t="shared" si="10"/>
        <v>4.1900000000000001E-3</v>
      </c>
      <c r="AA6" s="191">
        <f t="shared" si="11"/>
        <v>6792.9524595924004</v>
      </c>
      <c r="AB6" s="188">
        <f t="shared" si="12"/>
        <v>402.51973040760004</v>
      </c>
      <c r="AC6" s="189">
        <f t="shared" si="13"/>
        <v>21864.189593025534</v>
      </c>
      <c r="AD6" s="192">
        <f t="shared" si="3"/>
        <v>5.5940697118808544E-2</v>
      </c>
      <c r="AE6" s="77"/>
      <c r="AF6" s="77"/>
      <c r="AG6" s="77"/>
    </row>
    <row r="7" spans="1:33" x14ac:dyDescent="0.25">
      <c r="A7" s="178" t="s">
        <v>218</v>
      </c>
      <c r="B7" s="177"/>
      <c r="C7" s="345">
        <v>4</v>
      </c>
      <c r="D7" s="177"/>
      <c r="E7" s="345">
        <v>52763.142</v>
      </c>
      <c r="F7" s="180">
        <v>-31715</v>
      </c>
      <c r="G7" s="345">
        <v>32237</v>
      </c>
      <c r="H7" s="181">
        <f t="shared" si="4"/>
        <v>522</v>
      </c>
      <c r="I7" s="182">
        <f>SUM(E7:G7)</f>
        <v>53285.142</v>
      </c>
      <c r="J7" s="170"/>
      <c r="K7" s="170"/>
      <c r="L7" s="170" t="s">
        <v>219</v>
      </c>
      <c r="M7" s="170"/>
      <c r="N7" s="183">
        <v>889.02</v>
      </c>
      <c r="O7" s="184">
        <f t="shared" si="5"/>
        <v>52763.142</v>
      </c>
      <c r="P7" s="184">
        <f t="shared" si="1"/>
        <v>32237</v>
      </c>
      <c r="Q7" s="261">
        <v>4.1900000000000001E-3</v>
      </c>
      <c r="R7" s="186">
        <f t="shared" si="6"/>
        <v>135.07303000000002</v>
      </c>
      <c r="S7" s="184">
        <f t="shared" si="2"/>
        <v>-31715</v>
      </c>
      <c r="T7" s="185">
        <v>1.8409999999999999E-2</v>
      </c>
      <c r="U7" s="187">
        <f t="shared" si="7"/>
        <v>-583.87315000000001</v>
      </c>
      <c r="V7" s="170"/>
      <c r="W7" s="188">
        <f t="shared" si="8"/>
        <v>440.21987999999999</v>
      </c>
      <c r="X7" s="170"/>
      <c r="Y7" s="189">
        <f t="shared" si="9"/>
        <v>53285.141999999993</v>
      </c>
      <c r="Z7" s="190">
        <f t="shared" si="10"/>
        <v>4.1900000000000001E-3</v>
      </c>
      <c r="AA7" s="191">
        <f t="shared" si="11"/>
        <v>223.26474497999999</v>
      </c>
      <c r="AB7" s="188">
        <f t="shared" si="12"/>
        <v>216.95513502</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c r="O8" s="184">
        <f>E8</f>
        <v>0</v>
      </c>
      <c r="P8" s="184">
        <f t="shared" si="1"/>
        <v>0</v>
      </c>
      <c r="Q8" s="261">
        <v>4.1900000000000001E-3</v>
      </c>
      <c r="R8" s="186">
        <f t="shared" si="6"/>
        <v>0</v>
      </c>
      <c r="S8" s="184">
        <f t="shared" si="2"/>
        <v>0</v>
      </c>
      <c r="T8" s="185">
        <v>1.8409999999999999E-2</v>
      </c>
      <c r="U8" s="187">
        <f t="shared" si="7"/>
        <v>0</v>
      </c>
      <c r="V8" s="170"/>
      <c r="W8" s="188">
        <f>N8+R8+U8</f>
        <v>0</v>
      </c>
      <c r="X8" s="170"/>
      <c r="Y8" s="189">
        <f t="shared" si="9"/>
        <v>0</v>
      </c>
      <c r="Z8" s="177">
        <f t="shared" si="10"/>
        <v>4.1900000000000001E-3</v>
      </c>
      <c r="AA8" s="191">
        <f t="shared" si="11"/>
        <v>0</v>
      </c>
      <c r="AB8" s="188">
        <f t="shared" si="12"/>
        <v>0</v>
      </c>
      <c r="AC8" s="189">
        <f t="shared" si="13"/>
        <v>0</v>
      </c>
      <c r="AD8" s="192" t="e">
        <f>AB8/W8</f>
        <v>#DIV/0!</v>
      </c>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c r="O9" s="184">
        <f>E9</f>
        <v>0</v>
      </c>
      <c r="P9" s="184">
        <f t="shared" si="1"/>
        <v>0</v>
      </c>
      <c r="Q9" s="261">
        <v>4.1900000000000001E-3</v>
      </c>
      <c r="R9" s="186">
        <f t="shared" si="6"/>
        <v>0</v>
      </c>
      <c r="S9" s="184">
        <f t="shared" si="2"/>
        <v>0</v>
      </c>
      <c r="T9" s="185">
        <v>1.8409999999999999E-2</v>
      </c>
      <c r="U9" s="187">
        <f t="shared" si="7"/>
        <v>0</v>
      </c>
      <c r="V9" s="170"/>
      <c r="W9" s="188">
        <f>N9+R9+U9</f>
        <v>0</v>
      </c>
      <c r="X9" s="170"/>
      <c r="Y9" s="189">
        <f t="shared" si="9"/>
        <v>0</v>
      </c>
      <c r="Z9" s="190">
        <f t="shared" si="10"/>
        <v>4.1900000000000001E-3</v>
      </c>
      <c r="AA9" s="191">
        <f t="shared" si="11"/>
        <v>0</v>
      </c>
      <c r="AB9" s="188">
        <f t="shared" si="12"/>
        <v>0</v>
      </c>
      <c r="AC9" s="189"/>
      <c r="AD9" s="192"/>
      <c r="AE9" s="77"/>
      <c r="AF9" s="77"/>
      <c r="AG9" s="77"/>
    </row>
    <row r="10" spans="1:33" x14ac:dyDescent="0.25">
      <c r="A10" s="178" t="s">
        <v>223</v>
      </c>
      <c r="B10" s="177"/>
      <c r="C10" s="345">
        <v>2</v>
      </c>
      <c r="D10" s="177"/>
      <c r="E10" s="345">
        <v>42566.22</v>
      </c>
      <c r="F10" s="180"/>
      <c r="G10" s="345"/>
      <c r="H10" s="181">
        <f t="shared" si="4"/>
        <v>0</v>
      </c>
      <c r="I10" s="182">
        <f t="shared" si="0"/>
        <v>42566.22</v>
      </c>
      <c r="J10" s="170"/>
      <c r="K10" s="170"/>
      <c r="L10" s="170" t="s">
        <v>224</v>
      </c>
      <c r="M10" s="170"/>
      <c r="N10" s="183"/>
      <c r="O10" s="184">
        <v>0</v>
      </c>
      <c r="P10" s="184">
        <v>0</v>
      </c>
      <c r="Q10" s="261">
        <v>4.1900000000000001E-3</v>
      </c>
      <c r="R10" s="186">
        <f t="shared" si="6"/>
        <v>0</v>
      </c>
      <c r="S10" s="184">
        <v>0</v>
      </c>
      <c r="T10" s="185">
        <v>1.8409999999999999E-2</v>
      </c>
      <c r="U10" s="187">
        <f t="shared" si="7"/>
        <v>0</v>
      </c>
      <c r="V10" s="170"/>
      <c r="W10" s="188">
        <f t="shared" si="8"/>
        <v>0</v>
      </c>
      <c r="X10" s="170"/>
      <c r="Y10" s="189">
        <f t="shared" si="9"/>
        <v>0</v>
      </c>
      <c r="Z10" s="177">
        <f t="shared" si="10"/>
        <v>4.1900000000000001E-3</v>
      </c>
      <c r="AA10" s="191">
        <f t="shared" si="11"/>
        <v>0</v>
      </c>
      <c r="AB10" s="188">
        <f t="shared" si="12"/>
        <v>0</v>
      </c>
      <c r="AC10" s="189">
        <f t="shared" si="13"/>
        <v>0</v>
      </c>
      <c r="AD10" s="192"/>
      <c r="AE10" s="77"/>
      <c r="AF10" s="77"/>
      <c r="AG10" s="77"/>
    </row>
    <row r="11" spans="1:33" x14ac:dyDescent="0.25">
      <c r="A11" s="178" t="s">
        <v>225</v>
      </c>
      <c r="B11" s="177"/>
      <c r="C11" s="345">
        <v>37</v>
      </c>
      <c r="D11" s="177"/>
      <c r="E11" s="345">
        <v>1488779</v>
      </c>
      <c r="F11" s="180">
        <v>-1488201</v>
      </c>
      <c r="G11" s="345">
        <v>1752099</v>
      </c>
      <c r="H11" s="181">
        <f t="shared" si="4"/>
        <v>263898</v>
      </c>
      <c r="I11" s="182">
        <f t="shared" si="0"/>
        <v>1752677</v>
      </c>
      <c r="J11" s="170"/>
      <c r="K11" s="170"/>
      <c r="L11" s="170"/>
      <c r="M11" s="170"/>
      <c r="N11" s="194">
        <f>SUM(N4:N10)</f>
        <v>16623.780000000002</v>
      </c>
      <c r="O11" s="195">
        <f>SUM(O4:O10)</f>
        <v>3792245.00611</v>
      </c>
      <c r="P11" s="195">
        <f>SUM(P4:P10)</f>
        <v>2229213</v>
      </c>
      <c r="Q11" s="170"/>
      <c r="R11" s="194">
        <f>SUM(R4:R10)</f>
        <v>-5623.4895299999989</v>
      </c>
      <c r="S11" s="195">
        <f>SUM(S4:S10)</f>
        <v>-2107842</v>
      </c>
      <c r="T11" s="196"/>
      <c r="U11" s="194">
        <f>SUM(U4:U10)</f>
        <v>-19828.243049999997</v>
      </c>
      <c r="V11" s="170"/>
      <c r="W11" s="194">
        <f>SUM(W4:W10)</f>
        <v>-8827.952580000001</v>
      </c>
      <c r="X11" s="170"/>
      <c r="Y11" s="197">
        <f>SUM(Y4:Y10)</f>
        <v>3913616.00611</v>
      </c>
      <c r="Z11" s="170"/>
      <c r="AA11" s="197">
        <f>SUM(AA4:AA10)</f>
        <v>-8321.6257424550986</v>
      </c>
      <c r="AB11" s="194">
        <f>SUM(AB4:AB10)</f>
        <v>-506.32683754490125</v>
      </c>
      <c r="AC11" s="197">
        <f>SUM(AC4:AC10)</f>
        <v>-246183.8349242367</v>
      </c>
      <c r="AD11" s="192">
        <f t="shared" si="3"/>
        <v>5.7354956651217218E-2</v>
      </c>
      <c r="AE11" s="77"/>
      <c r="AF11" s="77"/>
      <c r="AG11" s="77"/>
    </row>
    <row r="12" spans="1:33" x14ac:dyDescent="0.25">
      <c r="A12" s="178" t="s">
        <v>226</v>
      </c>
      <c r="B12" s="177"/>
      <c r="C12" s="345">
        <v>3</v>
      </c>
      <c r="D12" s="177"/>
      <c r="E12" s="345">
        <v>281055</v>
      </c>
      <c r="F12" s="180"/>
      <c r="G12" s="345"/>
      <c r="H12" s="181">
        <f t="shared" si="4"/>
        <v>0</v>
      </c>
      <c r="I12" s="182">
        <f t="shared" si="0"/>
        <v>281055</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2592737</v>
      </c>
      <c r="F13" s="180">
        <v>-2587504</v>
      </c>
      <c r="G13" s="345">
        <v>2729135</v>
      </c>
      <c r="H13" s="181">
        <f t="shared" si="4"/>
        <v>141631</v>
      </c>
      <c r="I13" s="182">
        <f t="shared" si="0"/>
        <v>2734368</v>
      </c>
      <c r="J13" s="170"/>
      <c r="K13" s="170"/>
      <c r="L13" s="170"/>
      <c r="M13" s="170"/>
      <c r="N13" s="170"/>
      <c r="O13" s="170"/>
      <c r="P13" s="170"/>
      <c r="Q13" s="170"/>
      <c r="R13" s="170"/>
      <c r="S13" s="170"/>
      <c r="T13" s="365" t="s">
        <v>384</v>
      </c>
      <c r="U13" s="177" t="s">
        <v>228</v>
      </c>
      <c r="V13" s="177"/>
      <c r="W13" s="364">
        <v>0.95660000000000001</v>
      </c>
      <c r="X13" s="170"/>
      <c r="Y13" s="170"/>
      <c r="Z13" s="170" t="s">
        <v>229</v>
      </c>
      <c r="AA13" s="170" t="s">
        <v>230</v>
      </c>
      <c r="AB13" s="170"/>
      <c r="AC13" s="170" t="s">
        <v>231</v>
      </c>
      <c r="AD13" s="170"/>
      <c r="AE13" s="77"/>
      <c r="AF13" s="77"/>
      <c r="AG13" s="77"/>
    </row>
    <row r="14" spans="1:33" x14ac:dyDescent="0.25">
      <c r="A14" s="177"/>
      <c r="B14" s="177"/>
      <c r="C14" s="201">
        <f>SUM(C4:C13)</f>
        <v>171036</v>
      </c>
      <c r="D14" s="170"/>
      <c r="E14" s="201">
        <f>SUM(E4:E13)</f>
        <v>8197382.2261100002</v>
      </c>
      <c r="F14" s="201">
        <f>SUM(F4:F13)</f>
        <v>-6183547</v>
      </c>
      <c r="G14" s="201">
        <f>SUM(G4:G13)</f>
        <v>6710447</v>
      </c>
      <c r="H14" s="201">
        <f>SUM(H4:H13)</f>
        <v>526900</v>
      </c>
      <c r="I14" s="201">
        <f t="shared" ref="I14" si="14">SUM(I4:I13)</f>
        <v>8724282.2261100002</v>
      </c>
      <c r="J14" s="170"/>
      <c r="K14" s="170"/>
      <c r="L14" s="170"/>
      <c r="M14" s="170"/>
      <c r="N14" s="170"/>
      <c r="O14" s="170"/>
      <c r="P14" s="170"/>
      <c r="Q14" s="170"/>
      <c r="R14" s="170"/>
      <c r="S14" s="170" t="s">
        <v>181</v>
      </c>
      <c r="T14" s="170" t="s">
        <v>232</v>
      </c>
      <c r="U14" s="170"/>
      <c r="V14" s="282"/>
      <c r="W14" s="202">
        <f>ROUND((W4+W5)*W13,2)</f>
        <v>-15749.12</v>
      </c>
      <c r="X14" s="170"/>
      <c r="Y14" s="170" t="s">
        <v>28</v>
      </c>
      <c r="Z14" s="181">
        <f>O4+O5+P4+P5+S4+S5</f>
        <v>2239101.1601499999</v>
      </c>
      <c r="AA14" s="190">
        <v>-6.5500000000000003E-3</v>
      </c>
      <c r="AB14" s="188">
        <f>Z14*AA14</f>
        <v>-14666.1125989825</v>
      </c>
      <c r="AC14" s="188">
        <f>W14-AB14</f>
        <v>-1083.0074010175013</v>
      </c>
      <c r="AD14" s="192">
        <f>AC14/W14</f>
        <v>6.8766216843703085E-2</v>
      </c>
      <c r="AE14" s="77"/>
      <c r="AF14" s="77"/>
      <c r="AG14" s="77"/>
    </row>
    <row r="15" spans="1:33" ht="15.75" thickBot="1" x14ac:dyDescent="0.3">
      <c r="A15" s="282"/>
      <c r="B15" s="282" t="s">
        <v>343</v>
      </c>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c r="W15" s="202">
        <f>ROUND(SUM(W6:W10)*W13,2)</f>
        <v>7304.3</v>
      </c>
      <c r="X15" s="170"/>
      <c r="Y15" s="170" t="s">
        <v>234</v>
      </c>
      <c r="Z15" s="181">
        <f>SUM(O6:P10,S6:S10)</f>
        <v>1674514.8459600001</v>
      </c>
      <c r="AA15" s="190">
        <v>4.0099999999999997E-3</v>
      </c>
      <c r="AB15" s="188">
        <f>(Z15)*AA15</f>
        <v>6714.8045322995995</v>
      </c>
      <c r="AC15" s="188">
        <f>W15-AB15</f>
        <v>589.4954677004007</v>
      </c>
      <c r="AD15" s="192">
        <f>AC15/W15</f>
        <v>8.0705265076790475E-2</v>
      </c>
      <c r="AE15" s="77"/>
      <c r="AF15" s="77"/>
      <c r="AG15" s="77"/>
    </row>
    <row r="16" spans="1:33" x14ac:dyDescent="0.25">
      <c r="A16" s="177" t="s">
        <v>28</v>
      </c>
      <c r="B16" s="282"/>
      <c r="C16" s="203">
        <f>C4+C5</f>
        <v>167867</v>
      </c>
      <c r="D16" s="170"/>
      <c r="E16" s="204">
        <f>E4+E5</f>
        <v>2219153.1601499999</v>
      </c>
      <c r="F16" s="204">
        <f t="shared" ref="F16:H16" si="15">F4+F5</f>
        <v>-1335477</v>
      </c>
      <c r="G16" s="204">
        <f t="shared" si="15"/>
        <v>1355425</v>
      </c>
      <c r="H16" s="204">
        <f t="shared" si="15"/>
        <v>19948</v>
      </c>
      <c r="I16" s="203">
        <f>I4+I5</f>
        <v>2239101.1601499999</v>
      </c>
      <c r="J16" s="291" t="s">
        <v>343</v>
      </c>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-25451.732579999996</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c r="C18" s="207">
        <f>SUM(C6:C9)</f>
        <v>3122</v>
      </c>
      <c r="D18" s="170"/>
      <c r="E18" s="208">
        <f>SUM(E6:E9)</f>
        <v>1573091.8459600001</v>
      </c>
      <c r="F18" s="208">
        <f t="shared" ref="F18:H18" si="16">SUM(F6:F9)</f>
        <v>-772365</v>
      </c>
      <c r="G18" s="208">
        <f>SUM(G6:G9)</f>
        <v>873788</v>
      </c>
      <c r="H18" s="208">
        <f t="shared" si="16"/>
        <v>101423</v>
      </c>
      <c r="I18" s="207">
        <f>SUM(I6:I9)</f>
        <v>1674514.8459600001</v>
      </c>
      <c r="J18" s="291" t="s">
        <v>343</v>
      </c>
      <c r="K18" s="170"/>
      <c r="L18" s="170"/>
      <c r="M18" s="170"/>
      <c r="N18" s="170"/>
      <c r="O18" s="170"/>
      <c r="P18" s="170"/>
      <c r="Q18" s="170"/>
      <c r="R18" s="188">
        <f>E64</f>
        <v>-25451.732579999996</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58"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1619075.5</v>
      </c>
      <c r="D22" s="183">
        <v>2547288.39</v>
      </c>
      <c r="E22" s="183">
        <v>-1760609.894924741</v>
      </c>
      <c r="F22" s="183">
        <f>1809187-F23</f>
        <v>1808826.5620540651</v>
      </c>
      <c r="G22" s="211">
        <f>SUM(D22:F22)</f>
        <v>2595505.0571293244</v>
      </c>
      <c r="H22" s="188">
        <f t="shared" ref="H22:H31" si="17">-J54</f>
        <v>8955.6785</v>
      </c>
      <c r="I22" s="188">
        <f t="shared" ref="I22:I31" si="18">G22+H22</f>
        <v>2604460.7356293243</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2071</v>
      </c>
      <c r="D23" s="183">
        <v>3140.05</v>
      </c>
      <c r="E23" s="183">
        <v>-359.10507525901693</v>
      </c>
      <c r="F23" s="183">
        <f>G5*(K23-C23)/E5</f>
        <v>360.43794593498586</v>
      </c>
      <c r="G23" s="211">
        <f>SUM(D23:F23)</f>
        <v>3141.3828706759691</v>
      </c>
      <c r="H23" s="188">
        <f t="shared" si="17"/>
        <v>13.967539999999998</v>
      </c>
      <c r="I23" s="188">
        <f t="shared" si="18"/>
        <v>3155.3504106759692</v>
      </c>
      <c r="J23" s="170"/>
      <c r="K23" s="183">
        <v>2660.92</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336245.73</v>
      </c>
      <c r="D24" s="183">
        <v>692248.03</v>
      </c>
      <c r="E24" s="183">
        <v>-421511</v>
      </c>
      <c r="F24" s="183">
        <v>478935</v>
      </c>
      <c r="G24" s="211">
        <f>SUM(D24:F24)</f>
        <v>749672.03</v>
      </c>
      <c r="H24" s="188">
        <f t="shared" si="17"/>
        <v>-18665.679370000002</v>
      </c>
      <c r="I24" s="188">
        <f t="shared" si="18"/>
        <v>731006.35063</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430.27</v>
      </c>
      <c r="D25" s="183">
        <v>14017.66</v>
      </c>
      <c r="E25" s="183">
        <v>-17705</v>
      </c>
      <c r="F25" s="183">
        <v>17996</v>
      </c>
      <c r="G25" s="211">
        <f>SUM(D25:F25)</f>
        <v>14308.66</v>
      </c>
      <c r="H25" s="188">
        <f t="shared" si="17"/>
        <v>305.59985999999998</v>
      </c>
      <c r="I25" s="188">
        <f>G25+H25</f>
        <v>14614.25986</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10243.049999999999</v>
      </c>
      <c r="E28" s="183"/>
      <c r="F28" s="183"/>
      <c r="G28" s="211">
        <f t="shared" si="19"/>
        <v>10243.049999999999</v>
      </c>
      <c r="H28" s="188">
        <f t="shared" si="17"/>
        <v>0</v>
      </c>
      <c r="I28" s="188">
        <f t="shared" si="18"/>
        <v>10243.049999999999</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23125</v>
      </c>
      <c r="D29" s="183">
        <v>164604.20000000001</v>
      </c>
      <c r="E29" s="183">
        <v>-132524</v>
      </c>
      <c r="F29" s="183">
        <v>156024</v>
      </c>
      <c r="G29" s="211">
        <f t="shared" si="19"/>
        <v>188104.2</v>
      </c>
      <c r="H29" s="188">
        <f t="shared" si="17"/>
        <v>522.51803999999993</v>
      </c>
      <c r="I29" s="188">
        <f t="shared" si="18"/>
        <v>188626.71804000001</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5876.86</v>
      </c>
      <c r="E30" s="183"/>
      <c r="F30" s="183"/>
      <c r="G30" s="211">
        <f t="shared" si="19"/>
        <v>5876.86</v>
      </c>
      <c r="H30" s="188">
        <f t="shared" si="17"/>
        <v>0</v>
      </c>
      <c r="I30" s="188">
        <f t="shared" si="18"/>
        <v>5876.86</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67767.47</v>
      </c>
      <c r="E31" s="183">
        <v>-54105</v>
      </c>
      <c r="F31" s="183">
        <v>57066</v>
      </c>
      <c r="G31" s="211">
        <f t="shared" si="19"/>
        <v>70728.47</v>
      </c>
      <c r="H31" s="188">
        <f t="shared" si="17"/>
        <v>0</v>
      </c>
      <c r="I31" s="188">
        <f t="shared" si="18"/>
        <v>70728.47</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1128728.96</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163290.79999999999</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1981947.5</v>
      </c>
      <c r="D34" s="213">
        <f>SUM(D22:D33)</f>
        <v>4797205.47</v>
      </c>
      <c r="E34" s="213">
        <f>SUM(E22:E33)</f>
        <v>-2386814</v>
      </c>
      <c r="F34" s="213">
        <f>SUM(F22:F33)</f>
        <v>2519208</v>
      </c>
      <c r="G34" s="213">
        <f t="shared" ref="G34:I34" si="20">SUM(G22:G33)</f>
        <v>3637579.7100000009</v>
      </c>
      <c r="H34" s="213">
        <f t="shared" si="20"/>
        <v>-8867.9154300000009</v>
      </c>
      <c r="I34" s="213">
        <f t="shared" si="20"/>
        <v>3628711.7945700008</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c r="C36" s="215">
        <f>C22+C23</f>
        <v>1621146.5</v>
      </c>
      <c r="D36" s="186">
        <f>D22+D23</f>
        <v>2550428.44</v>
      </c>
      <c r="E36" s="186">
        <f t="shared" ref="E36:H36" si="21">E22+E23</f>
        <v>-1760969</v>
      </c>
      <c r="F36" s="186">
        <f t="shared" si="21"/>
        <v>1809187</v>
      </c>
      <c r="G36" s="186">
        <f t="shared" si="21"/>
        <v>2598646.4400000004</v>
      </c>
      <c r="H36" s="186">
        <f t="shared" si="21"/>
        <v>8969.6460399999996</v>
      </c>
      <c r="I36" s="215">
        <f>I22+I23</f>
        <v>2607616.0860400004</v>
      </c>
      <c r="J36" s="291"/>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c r="C38" s="218">
        <f>SUM(C24:C27)</f>
        <v>336676</v>
      </c>
      <c r="D38" s="219">
        <f>SUM(D24:D27)</f>
        <v>706265.69000000006</v>
      </c>
      <c r="E38" s="219">
        <f t="shared" ref="E38:F38" si="22">SUM(E24:E27)</f>
        <v>-439216</v>
      </c>
      <c r="F38" s="219">
        <f t="shared" si="22"/>
        <v>496931</v>
      </c>
      <c r="G38" s="219">
        <f>SUM(G24:G27)</f>
        <v>763980.69000000006</v>
      </c>
      <c r="H38" s="219">
        <f>SUM(H24:H27)</f>
        <v>-18360.079510000003</v>
      </c>
      <c r="I38" s="218">
        <f>SUM(I24:I27)</f>
        <v>745620.61048999999</v>
      </c>
      <c r="J38" s="291"/>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c r="B40" s="170"/>
      <c r="C40" s="221">
        <v>43770</v>
      </c>
      <c r="D40" s="221">
        <v>43770</v>
      </c>
      <c r="E40" s="362">
        <v>43770</v>
      </c>
      <c r="F40" s="221">
        <v>43739</v>
      </c>
      <c r="G40" s="221">
        <v>43344</v>
      </c>
      <c r="H40" s="221">
        <v>43922</v>
      </c>
      <c r="I40" s="324" t="s">
        <v>375</v>
      </c>
      <c r="J40" s="363">
        <v>44044</v>
      </c>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361" t="s">
        <v>248</v>
      </c>
      <c r="F41" s="223" t="s">
        <v>249</v>
      </c>
      <c r="G41" s="223" t="s">
        <v>250</v>
      </c>
      <c r="H41" s="223" t="s">
        <v>251</v>
      </c>
      <c r="I41" s="223" t="s">
        <v>364</v>
      </c>
      <c r="J41" s="361" t="s">
        <v>248</v>
      </c>
      <c r="K41" s="359"/>
      <c r="L41" s="359"/>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2.1899999999999999E-2</v>
      </c>
      <c r="I42" s="224">
        <v>-2.1409999999999998E-2</v>
      </c>
      <c r="J42" s="224">
        <v>-6.8500000000000002E-3</v>
      </c>
      <c r="K42" s="224"/>
      <c r="L42" s="224"/>
      <c r="N42" s="225">
        <f>SUM(C42:I42)+J42-E42</f>
        <v>0.28971000000000002</v>
      </c>
      <c r="O42" s="225">
        <f>SUM(C42:I42)</f>
        <v>0.30076000000000003</v>
      </c>
      <c r="P42" s="191">
        <f t="shared" ref="P42:P51" si="23">N42*G4</f>
        <v>392231.99538000004</v>
      </c>
      <c r="Q42" s="226">
        <f t="shared" ref="Q42:Q51" si="24">-F4*O42</f>
        <v>401187.67388000002</v>
      </c>
      <c r="R42" s="191">
        <f>P42-Q42</f>
        <v>-8955.67849999998</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f>H42</f>
        <v>2.1899999999999999E-2</v>
      </c>
      <c r="I43" s="224">
        <f>I42</f>
        <v>-2.1409999999999998E-2</v>
      </c>
      <c r="J43" s="224">
        <f>J42</f>
        <v>-6.8500000000000002E-3</v>
      </c>
      <c r="K43" s="224"/>
      <c r="L43" s="224"/>
      <c r="N43" s="225">
        <f t="shared" ref="N43:N51" si="25">SUM(C43:I43)+J43-E43</f>
        <v>-0.19497999999999999</v>
      </c>
      <c r="O43" s="225">
        <f t="shared" ref="O43:O51" si="26">SUM(C43:I43)</f>
        <v>-0.18392999999999998</v>
      </c>
      <c r="P43" s="191">
        <f t="shared" si="23"/>
        <v>-301.63405999999998</v>
      </c>
      <c r="Q43" s="226">
        <f t="shared" si="24"/>
        <v>-287.66651999999999</v>
      </c>
      <c r="R43" s="191">
        <f t="shared" ref="R43:R51" si="27">P43-Q43</f>
        <v>-13.967539999999985</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1.8360000000000001E-2</v>
      </c>
      <c r="I44" s="224">
        <v>-1.21E-2</v>
      </c>
      <c r="J44" s="224">
        <v>4.1900000000000001E-3</v>
      </c>
      <c r="K44" s="224"/>
      <c r="L44" s="224"/>
      <c r="N44" s="225">
        <f t="shared" si="25"/>
        <v>0.28937000000000002</v>
      </c>
      <c r="O44" s="225">
        <f t="shared" si="26"/>
        <v>0.30358999999999997</v>
      </c>
      <c r="P44" s="191">
        <f t="shared" si="23"/>
        <v>243519.61287000001</v>
      </c>
      <c r="Q44" s="226">
        <f t="shared" si="24"/>
        <v>224853.93349999998</v>
      </c>
      <c r="R44" s="191">
        <f t="shared" si="27"/>
        <v>18665.679370000027</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f>H44</f>
        <v>1.8360000000000001E-2</v>
      </c>
      <c r="I45" s="224">
        <f>I44</f>
        <v>-1.21E-2</v>
      </c>
      <c r="J45" s="224">
        <f>J44</f>
        <v>4.1900000000000001E-3</v>
      </c>
      <c r="K45" s="224"/>
      <c r="L45" s="224"/>
      <c r="N45" s="225">
        <f t="shared" si="25"/>
        <v>0.27851999999999999</v>
      </c>
      <c r="O45" s="225">
        <f t="shared" si="26"/>
        <v>0.29273999999999994</v>
      </c>
      <c r="P45" s="191">
        <f t="shared" si="23"/>
        <v>8978.6492399999988</v>
      </c>
      <c r="Q45" s="226">
        <f t="shared" si="24"/>
        <v>9284.2490999999991</v>
      </c>
      <c r="R45" s="191">
        <f t="shared" si="27"/>
        <v>-305.59986000000026</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f t="shared" ref="H46:J47" si="28">H45</f>
        <v>1.8360000000000001E-2</v>
      </c>
      <c r="I46" s="224">
        <f t="shared" si="28"/>
        <v>-1.21E-2</v>
      </c>
      <c r="J46" s="224">
        <f t="shared" si="28"/>
        <v>4.1900000000000001E-3</v>
      </c>
      <c r="K46" s="224"/>
      <c r="L46" s="224"/>
      <c r="N46" s="225">
        <f t="shared" si="25"/>
        <v>0.28587000000000001</v>
      </c>
      <c r="O46" s="225">
        <f t="shared" si="26"/>
        <v>0.30008999999999997</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f t="shared" si="28"/>
        <v>1.8360000000000001E-2</v>
      </c>
      <c r="I47" s="224">
        <f t="shared" si="28"/>
        <v>-1.21E-2</v>
      </c>
      <c r="J47" s="224">
        <f t="shared" si="28"/>
        <v>4.1900000000000001E-3</v>
      </c>
      <c r="K47" s="224"/>
      <c r="L47" s="224"/>
      <c r="N47" s="225">
        <f t="shared" si="25"/>
        <v>0.27501999999999999</v>
      </c>
      <c r="O47" s="225">
        <f t="shared" si="26"/>
        <v>0.28923999999999994</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v>0</v>
      </c>
      <c r="K48" s="224"/>
      <c r="L48" s="224"/>
      <c r="N48" s="225">
        <f t="shared" si="25"/>
        <v>0.23843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v>0</v>
      </c>
      <c r="K49" s="224"/>
      <c r="L49" s="224"/>
      <c r="N49" s="225">
        <f t="shared" si="25"/>
        <v>-1.98E-3</v>
      </c>
      <c r="O49" s="225">
        <f t="shared" si="26"/>
        <v>-1.98E-3</v>
      </c>
      <c r="P49" s="191">
        <f t="shared" si="23"/>
        <v>-3469.1560199999999</v>
      </c>
      <c r="Q49" s="226">
        <f t="shared" si="24"/>
        <v>-2946.63798</v>
      </c>
      <c r="R49" s="191">
        <f t="shared" si="27"/>
        <v>-522.51803999999993</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v>0</v>
      </c>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v>0</v>
      </c>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640959.46740999992</v>
      </c>
      <c r="Q52" s="227">
        <f>SUM(Q42:Q51)</f>
        <v>632091.55197999999</v>
      </c>
      <c r="R52" s="227">
        <f>SUM(R42:R51)</f>
        <v>8867.9154300000482</v>
      </c>
      <c r="U52" s="170"/>
      <c r="V52" s="170"/>
      <c r="W52" s="170"/>
      <c r="X52" s="170"/>
      <c r="Y52" s="170"/>
      <c r="Z52" s="170"/>
      <c r="AA52" s="170"/>
      <c r="AB52" s="170"/>
      <c r="AC52" s="170"/>
      <c r="AD52" s="170"/>
      <c r="AE52" s="77"/>
      <c r="AF52" s="77"/>
      <c r="AG52" s="77"/>
    </row>
    <row r="53" spans="1:33" ht="39" x14ac:dyDescent="0.25">
      <c r="A53" s="222" t="s">
        <v>255</v>
      </c>
      <c r="B53" s="174"/>
      <c r="C53" s="358" t="s">
        <v>256</v>
      </c>
      <c r="D53" s="358" t="s">
        <v>257</v>
      </c>
      <c r="E53" s="358" t="s">
        <v>248</v>
      </c>
      <c r="F53" s="358" t="s">
        <v>258</v>
      </c>
      <c r="G53" s="358" t="s">
        <v>259</v>
      </c>
      <c r="H53" s="358" t="s">
        <v>260</v>
      </c>
      <c r="I53" s="358" t="s">
        <v>366</v>
      </c>
      <c r="J53" s="358" t="s">
        <v>261</v>
      </c>
      <c r="M53" s="170"/>
      <c r="N53" s="170"/>
      <c r="O53" s="170"/>
      <c r="Q53" s="262">
        <f>'07.2020 Base Rate Revenue'!P52</f>
        <v>632091.55197999999</v>
      </c>
      <c r="R53" s="188">
        <f>J64</f>
        <v>8867.9154300000009</v>
      </c>
      <c r="U53" s="170"/>
      <c r="V53" s="170"/>
      <c r="W53" s="170"/>
      <c r="X53" s="170"/>
      <c r="Y53" s="170"/>
      <c r="Z53" s="170"/>
      <c r="AA53" s="170"/>
      <c r="AB53" s="170"/>
      <c r="AC53" s="170"/>
      <c r="AD53" s="77"/>
      <c r="AE53" s="77"/>
      <c r="AF53" s="77"/>
      <c r="AG53" s="77"/>
    </row>
    <row r="54" spans="1:33" x14ac:dyDescent="0.25">
      <c r="A54" s="178" t="s">
        <v>212</v>
      </c>
      <c r="B54" s="170"/>
      <c r="C54" s="186">
        <f>C42*$H4</f>
        <v>5220.8474999999999</v>
      </c>
      <c r="D54" s="186">
        <f t="shared" ref="D54" si="29">D42*$H4</f>
        <v>85.649850000000015</v>
      </c>
      <c r="E54" s="186">
        <f>E42*F4+J42*G4</f>
        <v>-14876.498899999999</v>
      </c>
      <c r="F54" s="186">
        <f>F42*$H4</f>
        <v>0</v>
      </c>
      <c r="G54" s="186">
        <f t="shared" ref="G54:I54" si="30">G42*$H4</f>
        <v>604.54020000000003</v>
      </c>
      <c r="H54" s="186">
        <f t="shared" si="30"/>
        <v>437.23349999999999</v>
      </c>
      <c r="I54" s="186">
        <f t="shared" si="30"/>
        <v>-427.45065</v>
      </c>
      <c r="J54" s="186">
        <f>SUM(C54:I54)</f>
        <v>-8955.6785</v>
      </c>
      <c r="M54" s="170"/>
      <c r="N54" s="191"/>
      <c r="O54" s="170"/>
      <c r="P54" s="170"/>
      <c r="R54" s="191">
        <f>R52-R53</f>
        <v>4.7293724492192268E-11</v>
      </c>
      <c r="U54" s="170"/>
      <c r="V54" s="170"/>
      <c r="W54" s="170"/>
      <c r="X54" s="170"/>
      <c r="Y54" s="170"/>
      <c r="Z54" s="170"/>
      <c r="AA54" s="170"/>
      <c r="AB54" s="170"/>
      <c r="AC54" s="170"/>
      <c r="AD54" s="77"/>
      <c r="AE54" s="77"/>
      <c r="AF54" s="77"/>
      <c r="AG54" s="77"/>
    </row>
    <row r="55" spans="1:33" x14ac:dyDescent="0.25">
      <c r="A55" s="178" t="s">
        <v>214</v>
      </c>
      <c r="B55" s="170"/>
      <c r="C55" s="186">
        <f t="shared" ref="C55:I63" si="31">C43*$H5</f>
        <v>-4.4455</v>
      </c>
      <c r="D55" s="186">
        <f t="shared" si="31"/>
        <v>-7.2930000000000009E-2</v>
      </c>
      <c r="E55" s="186">
        <f t="shared" ref="E55:E63" si="32">E43*F5+J43*G5</f>
        <v>-17.165749999999999</v>
      </c>
      <c r="F55" s="186">
        <f t="shared" si="31"/>
        <v>8.2397299999999998</v>
      </c>
      <c r="G55" s="186">
        <f t="shared" si="31"/>
        <v>-0.51476</v>
      </c>
      <c r="H55" s="186">
        <f t="shared" si="31"/>
        <v>-0.37229999999999996</v>
      </c>
      <c r="I55" s="186">
        <f t="shared" si="31"/>
        <v>0.36396999999999996</v>
      </c>
      <c r="J55" s="186">
        <f t="shared" ref="J55:J63" si="33">SUM(C55:I55)</f>
        <v>-13.967539999999998</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186">
        <f t="shared" si="31"/>
        <v>25407.880809999999</v>
      </c>
      <c r="D56" s="186">
        <f t="shared" si="31"/>
        <v>1094.77585</v>
      </c>
      <c r="E56" s="186">
        <f t="shared" si="32"/>
        <v>-10109.267809999999</v>
      </c>
      <c r="F56" s="186">
        <f t="shared" si="31"/>
        <v>0</v>
      </c>
      <c r="G56" s="186">
        <f t="shared" si="31"/>
        <v>1640.6502600000001</v>
      </c>
      <c r="H56" s="186">
        <f t="shared" si="31"/>
        <v>1852.5423600000001</v>
      </c>
      <c r="I56" s="186">
        <f t="shared" si="31"/>
        <v>-1220.9021</v>
      </c>
      <c r="J56" s="186">
        <f t="shared" si="33"/>
        <v>18665.679370000002</v>
      </c>
      <c r="K56" s="170"/>
      <c r="L56" s="170"/>
      <c r="M56" s="191"/>
      <c r="N56" s="170"/>
      <c r="O56" s="170"/>
      <c r="P56" s="170"/>
      <c r="Q56" s="170"/>
      <c r="R56" s="170"/>
      <c r="S56" s="170"/>
      <c r="T56" s="170"/>
      <c r="U56" s="170"/>
      <c r="V56" s="170"/>
      <c r="W56" s="170"/>
      <c r="X56" s="170"/>
      <c r="Y56" s="170"/>
      <c r="Z56" s="170"/>
      <c r="AA56" s="170"/>
      <c r="AB56" s="170"/>
      <c r="AC56" s="170"/>
      <c r="AD56" s="77"/>
      <c r="AE56" s="77"/>
      <c r="AF56" s="77"/>
      <c r="AG56" s="77"/>
    </row>
    <row r="57" spans="1:33" x14ac:dyDescent="0.25">
      <c r="A57" s="178" t="s">
        <v>218</v>
      </c>
      <c r="B57" s="170"/>
      <c r="C57" s="186">
        <f t="shared" si="31"/>
        <v>131.44481999999999</v>
      </c>
      <c r="D57" s="186">
        <f t="shared" si="31"/>
        <v>0</v>
      </c>
      <c r="E57" s="186">
        <f t="shared" si="32"/>
        <v>-448.80011999999999</v>
      </c>
      <c r="F57" s="186">
        <f t="shared" si="31"/>
        <v>0</v>
      </c>
      <c r="G57" s="186">
        <f t="shared" si="31"/>
        <v>8.4877199999999995</v>
      </c>
      <c r="H57" s="186">
        <f t="shared" si="31"/>
        <v>9.5839200000000009</v>
      </c>
      <c r="I57" s="186">
        <f t="shared" si="31"/>
        <v>-6.3162000000000003</v>
      </c>
      <c r="J57" s="186">
        <f t="shared" si="33"/>
        <v>-305.59985999999998</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186">
        <f t="shared" si="31"/>
        <v>0</v>
      </c>
      <c r="D58" s="186">
        <f t="shared" si="31"/>
        <v>0</v>
      </c>
      <c r="E58" s="186">
        <f t="shared" si="32"/>
        <v>0</v>
      </c>
      <c r="F58" s="186">
        <f t="shared" si="31"/>
        <v>0</v>
      </c>
      <c r="G58" s="186">
        <f t="shared" si="31"/>
        <v>0</v>
      </c>
      <c r="H58" s="186">
        <f t="shared" si="31"/>
        <v>0</v>
      </c>
      <c r="I58" s="186">
        <f t="shared" si="31"/>
        <v>0</v>
      </c>
      <c r="J58" s="186">
        <f t="shared" si="33"/>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186">
        <f t="shared" si="31"/>
        <v>0</v>
      </c>
      <c r="D59" s="186">
        <f t="shared" si="31"/>
        <v>0</v>
      </c>
      <c r="E59" s="186">
        <f t="shared" si="32"/>
        <v>0</v>
      </c>
      <c r="F59" s="186">
        <f t="shared" si="31"/>
        <v>0</v>
      </c>
      <c r="G59" s="186">
        <f t="shared" si="31"/>
        <v>0</v>
      </c>
      <c r="H59" s="186">
        <f t="shared" si="31"/>
        <v>0</v>
      </c>
      <c r="I59" s="186">
        <f t="shared" si="31"/>
        <v>0</v>
      </c>
      <c r="J59" s="186">
        <f t="shared" si="33"/>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186">
        <f t="shared" si="31"/>
        <v>0</v>
      </c>
      <c r="D60" s="186">
        <f t="shared" si="31"/>
        <v>0</v>
      </c>
      <c r="E60" s="186">
        <f t="shared" si="32"/>
        <v>0</v>
      </c>
      <c r="F60" s="186">
        <f t="shared" si="31"/>
        <v>0</v>
      </c>
      <c r="G60" s="186">
        <f t="shared" si="31"/>
        <v>0</v>
      </c>
      <c r="H60" s="186">
        <f t="shared" si="31"/>
        <v>0</v>
      </c>
      <c r="I60" s="186">
        <f t="shared" si="31"/>
        <v>0</v>
      </c>
      <c r="J60" s="186">
        <f t="shared" si="33"/>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186">
        <f t="shared" si="31"/>
        <v>147.78287999999998</v>
      </c>
      <c r="D61" s="186">
        <f t="shared" si="31"/>
        <v>0</v>
      </c>
      <c r="E61" s="186">
        <f t="shared" si="32"/>
        <v>0</v>
      </c>
      <c r="F61" s="186">
        <f t="shared" si="31"/>
        <v>0</v>
      </c>
      <c r="G61" s="186">
        <f t="shared" si="31"/>
        <v>0</v>
      </c>
      <c r="H61" s="186">
        <f t="shared" si="31"/>
        <v>261.25902000000002</v>
      </c>
      <c r="I61" s="186">
        <f t="shared" si="31"/>
        <v>-931.55993999999998</v>
      </c>
      <c r="J61" s="186">
        <f t="shared" si="33"/>
        <v>-522.51803999999993</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186">
        <f t="shared" si="31"/>
        <v>0</v>
      </c>
      <c r="D62" s="186">
        <f t="shared" si="31"/>
        <v>0</v>
      </c>
      <c r="E62" s="186">
        <f t="shared" si="32"/>
        <v>0</v>
      </c>
      <c r="F62" s="186">
        <f t="shared" si="31"/>
        <v>0</v>
      </c>
      <c r="G62" s="186">
        <f t="shared" si="31"/>
        <v>0</v>
      </c>
      <c r="H62" s="186">
        <f t="shared" si="31"/>
        <v>0</v>
      </c>
      <c r="I62" s="186">
        <f t="shared" si="31"/>
        <v>0</v>
      </c>
      <c r="J62" s="186">
        <f t="shared" si="33"/>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186">
        <f t="shared" si="31"/>
        <v>0</v>
      </c>
      <c r="D63" s="186">
        <f t="shared" si="31"/>
        <v>0</v>
      </c>
      <c r="E63" s="186">
        <f t="shared" si="32"/>
        <v>0</v>
      </c>
      <c r="F63" s="186">
        <f t="shared" si="31"/>
        <v>0</v>
      </c>
      <c r="G63" s="186">
        <f t="shared" si="31"/>
        <v>0</v>
      </c>
      <c r="H63" s="186">
        <f t="shared" si="31"/>
        <v>0</v>
      </c>
      <c r="I63" s="186">
        <f t="shared" si="31"/>
        <v>0</v>
      </c>
      <c r="J63" s="186">
        <f t="shared" si="33"/>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194">
        <f>SUM(C54:C63)</f>
        <v>30903.510509999996</v>
      </c>
      <c r="D64" s="194">
        <f t="shared" ref="D64:I64" si="34">SUM(D54:D63)</f>
        <v>1180.35277</v>
      </c>
      <c r="E64" s="194">
        <f t="shared" si="34"/>
        <v>-25451.732579999996</v>
      </c>
      <c r="F64" s="194">
        <f t="shared" si="34"/>
        <v>8.2397299999999998</v>
      </c>
      <c r="G64" s="194">
        <f t="shared" si="34"/>
        <v>2253.1634200000003</v>
      </c>
      <c r="H64" s="194">
        <f t="shared" si="34"/>
        <v>2560.2465000000002</v>
      </c>
      <c r="I64" s="194">
        <f t="shared" si="34"/>
        <v>-2585.86492</v>
      </c>
      <c r="J64" s="194">
        <f>SUM(J54:J63)</f>
        <v>8867.9154300000009</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5216.402</v>
      </c>
      <c r="D66" s="186">
        <f>D54+D55</f>
        <v>85.576920000000015</v>
      </c>
      <c r="E66" s="186">
        <f t="shared" ref="E66:I66" si="35">E54+E55</f>
        <v>-14893.664649999999</v>
      </c>
      <c r="F66" s="186">
        <f t="shared" si="35"/>
        <v>8.2397299999999998</v>
      </c>
      <c r="G66" s="186">
        <f t="shared" si="35"/>
        <v>604.02544</v>
      </c>
      <c r="H66" s="186">
        <f t="shared" si="35"/>
        <v>436.8612</v>
      </c>
      <c r="I66" s="186">
        <f t="shared" si="35"/>
        <v>-427.08668</v>
      </c>
      <c r="J66" s="186">
        <f>J54+J55</f>
        <v>-8969.6460399999996</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25539.325629999999</v>
      </c>
      <c r="D68" s="219">
        <f t="shared" ref="D68:I68" si="36">SUM(D56:D59)</f>
        <v>1094.77585</v>
      </c>
      <c r="E68" s="219">
        <f t="shared" si="36"/>
        <v>-10558.067929999999</v>
      </c>
      <c r="F68" s="219">
        <f t="shared" si="36"/>
        <v>0</v>
      </c>
      <c r="G68" s="219">
        <f t="shared" si="36"/>
        <v>1649.1379800000002</v>
      </c>
      <c r="H68" s="219">
        <f t="shared" si="36"/>
        <v>1862.1262800000002</v>
      </c>
      <c r="I68" s="219">
        <f t="shared" si="36"/>
        <v>-1227.2183</v>
      </c>
      <c r="J68" s="219">
        <f>SUM(J56:J59)</f>
        <v>18360.079510000003</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4976</v>
      </c>
      <c r="D74" s="273">
        <v>35734.190490000001</v>
      </c>
      <c r="E74" s="183">
        <v>47215</v>
      </c>
      <c r="F74" s="183">
        <v>62472.62</v>
      </c>
      <c r="G74" s="183">
        <v>10567.66</v>
      </c>
      <c r="H74" s="183">
        <v>1980.04</v>
      </c>
      <c r="I74" s="186">
        <f>SUM(F74:H74)</f>
        <v>75020.319999999992</v>
      </c>
      <c r="J74" s="349" t="s">
        <v>343</v>
      </c>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1</v>
      </c>
      <c r="D75" s="273">
        <v>10.26675</v>
      </c>
      <c r="E75" s="183">
        <v>9.5</v>
      </c>
      <c r="F75" s="183">
        <v>13.73</v>
      </c>
      <c r="G75" s="183">
        <v>-1.92</v>
      </c>
      <c r="H75" s="183">
        <v>0.71</v>
      </c>
      <c r="I75" s="186">
        <f t="shared" ref="I75:I79" si="37">SUM(F75:H75)</f>
        <v>12.52</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42</v>
      </c>
      <c r="D76" s="273">
        <v>15266.382170000001</v>
      </c>
      <c r="E76" s="183">
        <v>4252.16</v>
      </c>
      <c r="F76" s="183">
        <v>7888.57</v>
      </c>
      <c r="G76" s="183">
        <v>4522.1000000000004</v>
      </c>
      <c r="H76" s="183">
        <v>445.53</v>
      </c>
      <c r="I76" s="186">
        <f t="shared" si="37"/>
        <v>12856.2</v>
      </c>
      <c r="J76" s="349"/>
    </row>
    <row r="77" spans="1:33" x14ac:dyDescent="0.25">
      <c r="A77" s="178" t="s">
        <v>218</v>
      </c>
      <c r="C77" s="273"/>
      <c r="D77" s="273"/>
      <c r="E77" s="183"/>
      <c r="F77" s="183"/>
      <c r="G77" s="183"/>
      <c r="H77" s="183"/>
      <c r="I77" s="186">
        <f t="shared" si="37"/>
        <v>0</v>
      </c>
    </row>
    <row r="78" spans="1:33" x14ac:dyDescent="0.25">
      <c r="A78" s="178" t="s">
        <v>220</v>
      </c>
      <c r="C78" s="273"/>
      <c r="D78" s="273"/>
      <c r="E78" s="183"/>
      <c r="F78" s="183"/>
      <c r="G78" s="183"/>
      <c r="H78" s="183"/>
      <c r="I78" s="186">
        <f t="shared" si="37"/>
        <v>0</v>
      </c>
    </row>
    <row r="79" spans="1:33" x14ac:dyDescent="0.25">
      <c r="A79" s="178" t="s">
        <v>222</v>
      </c>
      <c r="C79" s="273"/>
      <c r="D79" s="273"/>
      <c r="E79" s="183"/>
      <c r="F79" s="183"/>
      <c r="G79" s="183"/>
      <c r="H79" s="183"/>
      <c r="I79" s="186">
        <f t="shared" si="37"/>
        <v>0</v>
      </c>
    </row>
    <row r="80" spans="1:33" x14ac:dyDescent="0.25">
      <c r="A80" s="178" t="s">
        <v>351</v>
      </c>
      <c r="C80" s="310">
        <f>SUM(C74:C79)</f>
        <v>5019</v>
      </c>
      <c r="D80" s="310">
        <f t="shared" ref="D80:I80" si="38">SUM(D74:D79)</f>
        <v>51010.83941</v>
      </c>
      <c r="E80" s="213">
        <f t="shared" si="38"/>
        <v>51476.66</v>
      </c>
      <c r="F80" s="213">
        <f t="shared" si="38"/>
        <v>70374.920000000013</v>
      </c>
      <c r="G80" s="213">
        <f t="shared" si="38"/>
        <v>15087.84</v>
      </c>
      <c r="H80" s="213">
        <f t="shared" si="38"/>
        <v>2426.2799999999997</v>
      </c>
      <c r="I80" s="213">
        <f t="shared" si="38"/>
        <v>87889.04</v>
      </c>
    </row>
    <row r="81" spans="1:9" ht="15.75" thickBot="1" x14ac:dyDescent="0.3">
      <c r="A81" s="178"/>
      <c r="B81" s="282" t="s">
        <v>343</v>
      </c>
      <c r="C81" s="282" t="s">
        <v>343</v>
      </c>
      <c r="D81" s="282" t="s">
        <v>343</v>
      </c>
      <c r="E81" s="282" t="s">
        <v>343</v>
      </c>
      <c r="F81" s="282" t="s">
        <v>343</v>
      </c>
      <c r="G81" s="282" t="s">
        <v>343</v>
      </c>
      <c r="H81" s="282" t="s">
        <v>343</v>
      </c>
      <c r="I81" s="282" t="s">
        <v>343</v>
      </c>
    </row>
    <row r="82" spans="1:9" x14ac:dyDescent="0.25">
      <c r="A82" s="178" t="s">
        <v>352</v>
      </c>
      <c r="C82" s="311">
        <f t="shared" ref="C82:I82" si="39">C74+C75</f>
        <v>4977</v>
      </c>
      <c r="D82" s="312">
        <f t="shared" si="39"/>
        <v>35744.457240000003</v>
      </c>
      <c r="E82" s="312">
        <f t="shared" si="39"/>
        <v>47224.5</v>
      </c>
      <c r="F82" s="313">
        <f t="shared" si="39"/>
        <v>62486.350000000006</v>
      </c>
      <c r="G82" s="186">
        <f t="shared" si="39"/>
        <v>10565.74</v>
      </c>
      <c r="H82" s="186">
        <f t="shared" si="39"/>
        <v>1980.75</v>
      </c>
      <c r="I82" s="186">
        <f t="shared" si="39"/>
        <v>75032.84</v>
      </c>
    </row>
    <row r="83" spans="1:9" x14ac:dyDescent="0.25">
      <c r="C83" s="282"/>
      <c r="D83" s="282"/>
      <c r="E83" s="282"/>
      <c r="F83" s="282"/>
      <c r="G83" s="186"/>
      <c r="H83" s="186"/>
      <c r="I83" s="186"/>
    </row>
    <row r="84" spans="1:9" ht="15.75" thickBot="1" x14ac:dyDescent="0.3">
      <c r="A84" s="178" t="s">
        <v>353</v>
      </c>
      <c r="C84" s="314">
        <f t="shared" ref="C84:H84" si="40">SUM(C76:C79)</f>
        <v>42</v>
      </c>
      <c r="D84" s="315">
        <f t="shared" si="40"/>
        <v>15266.382170000001</v>
      </c>
      <c r="E84" s="316">
        <f t="shared" si="40"/>
        <v>4252.16</v>
      </c>
      <c r="F84" s="317">
        <f t="shared" si="40"/>
        <v>7888.57</v>
      </c>
      <c r="G84" s="186">
        <f t="shared" si="40"/>
        <v>4522.1000000000004</v>
      </c>
      <c r="H84" s="186">
        <f t="shared" si="40"/>
        <v>445.53</v>
      </c>
      <c r="I84" s="186">
        <f>SUM(I76:I79)</f>
        <v>12856.2</v>
      </c>
    </row>
    <row r="85" spans="1:9" x14ac:dyDescent="0.25">
      <c r="C85" s="282"/>
      <c r="D85" s="282"/>
      <c r="E85" s="282"/>
      <c r="F85" s="282"/>
    </row>
  </sheetData>
  <mergeCells count="7">
    <mergeCell ref="R40:R41"/>
    <mergeCell ref="A70:I70"/>
    <mergeCell ref="A1:I1"/>
    <mergeCell ref="O40:O41"/>
    <mergeCell ref="P40:P41"/>
    <mergeCell ref="Q40:Q41"/>
    <mergeCell ref="N40:N41"/>
  </mergeCells>
  <printOptions horizontalCentered="1"/>
  <pageMargins left="0.45" right="0.45" top="0.5" bottom="0.5" header="0.3" footer="0.3"/>
  <pageSetup scale="80" orientation="landscape" useFirstPageNumber="1" r:id="rId1"/>
  <headerFooter scaleWithDoc="0">
    <oddFooter>&amp;L&amp;F / &amp;A&amp;RPage &amp;P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85"/>
  <sheetViews>
    <sheetView zoomScaleNormal="100" workbookViewId="0">
      <selection activeCell="L1" sqref="L1"/>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5.7109375" customWidth="1"/>
    <col min="8" max="8" width="14.7109375" customWidth="1"/>
    <col min="9" max="9" width="18.28515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381</v>
      </c>
      <c r="AB1" s="170"/>
      <c r="AC1" s="171" t="s">
        <v>203</v>
      </c>
      <c r="AD1" s="172" t="s">
        <v>376</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46" t="str">
        <f>AA1&amp;" Billed Schedule 175 Revenue"</f>
        <v>July Billed Schedule 175 Revenue</v>
      </c>
      <c r="O2" s="346" t="str">
        <f>AA1&amp;" Billed Therms"</f>
        <v>July Billed Therms</v>
      </c>
      <c r="P2" s="346" t="str">
        <f>AA1&amp;" Unbilled Therms"</f>
        <v>July Unbilled Therms</v>
      </c>
      <c r="Q2" s="346" t="s">
        <v>308</v>
      </c>
      <c r="R2" s="346" t="s">
        <v>209</v>
      </c>
      <c r="S2" s="346" t="str">
        <f>AD1&amp;" Unbilled Therms reversal"</f>
        <v>June Unbilled Therms reversal</v>
      </c>
      <c r="T2" s="346" t="s">
        <v>308</v>
      </c>
      <c r="U2" s="346" t="str">
        <f>AD1&amp;" Schedule 175 Unbilled Reversal"</f>
        <v>June Schedule 175 Unbilled Reversal</v>
      </c>
      <c r="V2" s="170"/>
      <c r="W2" s="346" t="str">
        <f>"Total "&amp;AA1&amp;" Schedule 175 Revenue"</f>
        <v>Total July Schedule 175 Revenue</v>
      </c>
      <c r="X2" s="170"/>
      <c r="Y2" s="346" t="str">
        <f>"Calendar "&amp;AA1&amp;" Usage"</f>
        <v>Calendar July Usage</v>
      </c>
      <c r="Z2" s="346" t="str">
        <f>Q2</f>
        <v>11/1/2019 rate</v>
      </c>
      <c r="AA2" s="346" t="s">
        <v>210</v>
      </c>
      <c r="AB2" s="346" t="s">
        <v>211</v>
      </c>
      <c r="AC2" s="346" t="str">
        <f>"implied "&amp;AD1&amp;" unbilled/Cancel-Rebill True-up therms"</f>
        <v>implied June unbilled/Cancel-Rebill True-up therms</v>
      </c>
      <c r="AD2" s="170"/>
      <c r="AE2" s="77"/>
      <c r="AF2" s="77"/>
      <c r="AG2" s="77"/>
    </row>
    <row r="3" spans="1:33" x14ac:dyDescent="0.25">
      <c r="A3" s="177"/>
      <c r="B3" s="177"/>
      <c r="C3" s="177"/>
      <c r="D3" s="170"/>
      <c r="E3" s="170"/>
      <c r="F3" s="170"/>
      <c r="G3" s="170"/>
      <c r="H3" s="170"/>
      <c r="I3" s="170"/>
      <c r="J3" s="170"/>
      <c r="K3" s="170"/>
      <c r="L3" s="170"/>
      <c r="M3" s="170"/>
      <c r="N3" s="346"/>
      <c r="O3" s="346"/>
      <c r="P3" s="346"/>
      <c r="Q3" s="346"/>
      <c r="R3" s="346"/>
      <c r="S3" s="346"/>
      <c r="T3" s="346"/>
      <c r="U3" s="346"/>
      <c r="V3" s="170"/>
      <c r="W3" s="346"/>
      <c r="X3" s="170"/>
      <c r="Y3" s="346"/>
      <c r="Z3" s="346"/>
      <c r="AA3" s="346"/>
      <c r="AB3" s="346"/>
      <c r="AC3" s="346"/>
      <c r="AD3" s="170"/>
      <c r="AE3" s="77"/>
      <c r="AF3" s="77"/>
      <c r="AG3" s="77"/>
    </row>
    <row r="4" spans="1:33" x14ac:dyDescent="0.25">
      <c r="A4" s="178" t="s">
        <v>212</v>
      </c>
      <c r="B4" s="177"/>
      <c r="C4" s="345">
        <v>167792</v>
      </c>
      <c r="D4" s="177"/>
      <c r="E4" s="345">
        <v>2911131.8180499999</v>
      </c>
      <c r="F4" s="180">
        <v>-1614587</v>
      </c>
      <c r="G4" s="345">
        <f>1335477-G5</f>
        <v>1333913</v>
      </c>
      <c r="H4" s="181">
        <f>F4+G4</f>
        <v>-280674</v>
      </c>
      <c r="I4" s="182">
        <f t="shared" ref="I4:I13" si="0">SUM(E4:G4)</f>
        <v>2630457.8180499999</v>
      </c>
      <c r="J4" s="170"/>
      <c r="K4" s="170"/>
      <c r="L4" s="170" t="s">
        <v>213</v>
      </c>
      <c r="M4" s="170"/>
      <c r="N4" s="183">
        <v>12210.49</v>
      </c>
      <c r="O4" s="184">
        <f>E4</f>
        <v>2911131.8180499999</v>
      </c>
      <c r="P4" s="184">
        <f t="shared" ref="P4:P9" si="1">G4</f>
        <v>1333913</v>
      </c>
      <c r="Q4" s="185">
        <v>4.1999999999999997E-3</v>
      </c>
      <c r="R4" s="186">
        <f>P4*Q4</f>
        <v>5602.4345999999996</v>
      </c>
      <c r="S4" s="184">
        <f t="shared" ref="S4:S9" si="2">F4</f>
        <v>-1614587</v>
      </c>
      <c r="T4" s="185">
        <v>4.1999999999999997E-3</v>
      </c>
      <c r="U4" s="187">
        <f>S4*T4</f>
        <v>-6781.2653999999993</v>
      </c>
      <c r="V4" s="170"/>
      <c r="W4" s="188">
        <f>N4+R4+U4</f>
        <v>11031.659199999998</v>
      </c>
      <c r="X4" s="170"/>
      <c r="Y4" s="189">
        <f>O4+P4+S4</f>
        <v>2630457.8180499999</v>
      </c>
      <c r="Z4" s="190">
        <f>Q4</f>
        <v>4.1999999999999997E-3</v>
      </c>
      <c r="AA4" s="191">
        <f>Y4*Z4</f>
        <v>11047.922835809999</v>
      </c>
      <c r="AB4" s="188">
        <f>W4-AA4</f>
        <v>-16.263635810000778</v>
      </c>
      <c r="AC4" s="189">
        <f>AB4/T4</f>
        <v>-3872.2942404763762</v>
      </c>
      <c r="AD4" s="192">
        <f t="shared" ref="AD4:AD11" si="3">AB4/W4</f>
        <v>-1.4742692386654566E-3</v>
      </c>
      <c r="AE4" s="77"/>
      <c r="AF4" s="77"/>
      <c r="AG4" s="77"/>
    </row>
    <row r="5" spans="1:33" x14ac:dyDescent="0.25">
      <c r="A5" s="178" t="s">
        <v>214</v>
      </c>
      <c r="B5" s="177"/>
      <c r="C5" s="345">
        <v>216</v>
      </c>
      <c r="D5" s="177"/>
      <c r="E5" s="345">
        <v>3411.8323700000001</v>
      </c>
      <c r="F5" s="180">
        <v>-2176</v>
      </c>
      <c r="G5" s="345">
        <v>1564</v>
      </c>
      <c r="H5" s="181">
        <f t="shared" ref="H5:H13" si="4">F5+G5</f>
        <v>-612</v>
      </c>
      <c r="I5" s="182">
        <f t="shared" si="0"/>
        <v>2799.8323700000001</v>
      </c>
      <c r="J5" s="170"/>
      <c r="K5" s="170"/>
      <c r="L5" s="170" t="s">
        <v>215</v>
      </c>
      <c r="M5" s="170"/>
      <c r="N5" s="183">
        <v>14.34</v>
      </c>
      <c r="O5" s="184">
        <f t="shared" ref="O5:O7" si="5">E5</f>
        <v>3411.8323700000001</v>
      </c>
      <c r="P5" s="184">
        <f t="shared" si="1"/>
        <v>1564</v>
      </c>
      <c r="Q5" s="185">
        <v>4.1999999999999997E-3</v>
      </c>
      <c r="R5" s="186">
        <f t="shared" ref="R5:R10" si="6">P5*Q5</f>
        <v>6.5687999999999995</v>
      </c>
      <c r="S5" s="184">
        <f t="shared" si="2"/>
        <v>-2176</v>
      </c>
      <c r="T5" s="185">
        <v>4.1999999999999997E-3</v>
      </c>
      <c r="U5" s="187">
        <f t="shared" ref="U5:U10" si="7">S5*T5</f>
        <v>-9.1391999999999989</v>
      </c>
      <c r="V5" s="170"/>
      <c r="W5" s="188">
        <f t="shared" ref="W5:W10" si="8">N5+R5+U5</f>
        <v>11.769600000000001</v>
      </c>
      <c r="X5" s="170"/>
      <c r="Y5" s="189">
        <f t="shared" ref="Y5:Y10" si="9">O5+P5+S5</f>
        <v>2799.8323700000001</v>
      </c>
      <c r="Z5" s="190">
        <f t="shared" ref="Z5:Z10" si="10">Q5</f>
        <v>4.1999999999999997E-3</v>
      </c>
      <c r="AA5" s="191">
        <f t="shared" ref="AA5:AA10" si="11">Y5*Z5</f>
        <v>11.759295953999999</v>
      </c>
      <c r="AB5" s="188">
        <f t="shared" ref="AB5:AB10" si="12">W5-AA5</f>
        <v>1.0304046000001676E-2</v>
      </c>
      <c r="AC5" s="189">
        <f t="shared" ref="AC5:AC10" si="13">AB5/T5</f>
        <v>2.4533442857146852</v>
      </c>
      <c r="AD5" s="192">
        <f t="shared" si="3"/>
        <v>8.7547971044059922E-4</v>
      </c>
      <c r="AE5" s="77"/>
      <c r="AF5" s="77"/>
      <c r="AG5" s="77"/>
    </row>
    <row r="6" spans="1:33" x14ac:dyDescent="0.25">
      <c r="A6" s="178" t="s">
        <v>216</v>
      </c>
      <c r="B6" s="177"/>
      <c r="C6" s="345">
        <v>3145</v>
      </c>
      <c r="D6" s="177"/>
      <c r="E6" s="345">
        <v>1750988.1940599999</v>
      </c>
      <c r="F6" s="180">
        <v>-746576</v>
      </c>
      <c r="G6" s="345">
        <v>740650</v>
      </c>
      <c r="H6" s="181">
        <f t="shared" si="4"/>
        <v>-5926</v>
      </c>
      <c r="I6" s="182">
        <f>SUM(E6:G6)</f>
        <v>1745062.1940599999</v>
      </c>
      <c r="J6" s="170"/>
      <c r="K6" s="170"/>
      <c r="L6" s="170" t="s">
        <v>217</v>
      </c>
      <c r="M6" s="170"/>
      <c r="N6" s="183">
        <v>32235.26</v>
      </c>
      <c r="O6" s="184">
        <f t="shared" si="5"/>
        <v>1750988.1940599999</v>
      </c>
      <c r="P6" s="184">
        <f t="shared" si="1"/>
        <v>740650</v>
      </c>
      <c r="Q6" s="193">
        <v>1.8409999999999999E-2</v>
      </c>
      <c r="R6" s="186">
        <f t="shared" si="6"/>
        <v>13635.3665</v>
      </c>
      <c r="S6" s="184">
        <f t="shared" si="2"/>
        <v>-746576</v>
      </c>
      <c r="T6" s="185">
        <v>1.8409999999999999E-2</v>
      </c>
      <c r="U6" s="187">
        <f t="shared" si="7"/>
        <v>-13744.46416</v>
      </c>
      <c r="V6" s="170"/>
      <c r="W6" s="188">
        <f t="shared" si="8"/>
        <v>32126.162339999999</v>
      </c>
      <c r="X6" s="170"/>
      <c r="Y6" s="189">
        <f t="shared" si="9"/>
        <v>1745062.1940599997</v>
      </c>
      <c r="Z6" s="177">
        <f t="shared" si="10"/>
        <v>1.8409999999999999E-2</v>
      </c>
      <c r="AA6" s="191">
        <f t="shared" si="11"/>
        <v>32126.594992644594</v>
      </c>
      <c r="AB6" s="188">
        <f t="shared" si="12"/>
        <v>-0.43265264459478203</v>
      </c>
      <c r="AC6" s="189">
        <f t="shared" si="13"/>
        <v>-23.500958424485717</v>
      </c>
      <c r="AD6" s="192">
        <f t="shared" si="3"/>
        <v>-1.3467299331177508E-5</v>
      </c>
      <c r="AE6" s="77"/>
      <c r="AF6" s="77"/>
      <c r="AG6" s="77"/>
    </row>
    <row r="7" spans="1:33" x14ac:dyDescent="0.25">
      <c r="A7" s="178" t="s">
        <v>218</v>
      </c>
      <c r="B7" s="177"/>
      <c r="C7" s="345">
        <v>3</v>
      </c>
      <c r="D7" s="177"/>
      <c r="E7" s="345">
        <v>69171.073999999993</v>
      </c>
      <c r="F7" s="180">
        <v>-65570</v>
      </c>
      <c r="G7" s="345">
        <v>31715</v>
      </c>
      <c r="H7" s="181">
        <f t="shared" si="4"/>
        <v>-33855</v>
      </c>
      <c r="I7" s="182">
        <f>SUM(E7:G7)</f>
        <v>35316.073999999993</v>
      </c>
      <c r="J7" s="170"/>
      <c r="K7" s="170"/>
      <c r="L7" s="170" t="s">
        <v>219</v>
      </c>
      <c r="M7" s="170"/>
      <c r="N7" s="183">
        <v>1273.44</v>
      </c>
      <c r="O7" s="184">
        <f t="shared" si="5"/>
        <v>69171.073999999993</v>
      </c>
      <c r="P7" s="184">
        <f t="shared" si="1"/>
        <v>31715</v>
      </c>
      <c r="Q7" s="185">
        <v>1.8409999999999999E-2</v>
      </c>
      <c r="R7" s="186">
        <f t="shared" si="6"/>
        <v>583.87315000000001</v>
      </c>
      <c r="S7" s="184">
        <f t="shared" si="2"/>
        <v>-65570</v>
      </c>
      <c r="T7" s="185">
        <v>1.8409999999999999E-2</v>
      </c>
      <c r="U7" s="187">
        <f t="shared" si="7"/>
        <v>-1207.1436999999999</v>
      </c>
      <c r="V7" s="170"/>
      <c r="W7" s="188">
        <f t="shared" si="8"/>
        <v>650.1694500000001</v>
      </c>
      <c r="X7" s="170"/>
      <c r="Y7" s="189">
        <f t="shared" si="9"/>
        <v>35316.073999999993</v>
      </c>
      <c r="Z7" s="190">
        <f t="shared" si="10"/>
        <v>1.8409999999999999E-2</v>
      </c>
      <c r="AA7" s="191">
        <f t="shared" si="11"/>
        <v>650.16892233999988</v>
      </c>
      <c r="AB7" s="188">
        <f t="shared" si="12"/>
        <v>5.276600002162013E-4</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193">
        <v>1.8409999999999999E-2</v>
      </c>
      <c r="R8" s="186">
        <f t="shared" si="6"/>
        <v>0</v>
      </c>
      <c r="S8" s="184">
        <f t="shared" si="2"/>
        <v>0</v>
      </c>
      <c r="T8" s="185">
        <v>1.8409999999999999E-2</v>
      </c>
      <c r="U8" s="187">
        <f t="shared" si="7"/>
        <v>0</v>
      </c>
      <c r="V8" s="170"/>
      <c r="W8" s="188">
        <f>N8+R8+U8</f>
        <v>0</v>
      </c>
      <c r="X8" s="170"/>
      <c r="Y8" s="189">
        <f t="shared" si="9"/>
        <v>0</v>
      </c>
      <c r="Z8" s="177">
        <f t="shared" si="10"/>
        <v>1.8409999999999999E-2</v>
      </c>
      <c r="AA8" s="191">
        <f t="shared" si="11"/>
        <v>0</v>
      </c>
      <c r="AB8" s="188">
        <f t="shared" si="12"/>
        <v>0</v>
      </c>
      <c r="AC8" s="189">
        <f t="shared" si="13"/>
        <v>0</v>
      </c>
      <c r="AD8" s="192" t="e">
        <f>AB8/W8</f>
        <v>#DIV/0!</v>
      </c>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185">
        <v>1.8409999999999999E-2</v>
      </c>
      <c r="R9" s="186">
        <f t="shared" si="6"/>
        <v>0</v>
      </c>
      <c r="S9" s="184">
        <f t="shared" si="2"/>
        <v>0</v>
      </c>
      <c r="T9" s="185">
        <v>1.8409999999999999E-2</v>
      </c>
      <c r="U9" s="187">
        <f t="shared" si="7"/>
        <v>0</v>
      </c>
      <c r="V9" s="170"/>
      <c r="W9" s="188">
        <f>N9+R9+U9</f>
        <v>0</v>
      </c>
      <c r="X9" s="170"/>
      <c r="Y9" s="189">
        <f t="shared" si="9"/>
        <v>0</v>
      </c>
      <c r="Z9" s="190">
        <f t="shared" si="10"/>
        <v>1.8409999999999999E-2</v>
      </c>
      <c r="AA9" s="191">
        <f t="shared" si="11"/>
        <v>0</v>
      </c>
      <c r="AB9" s="188">
        <f t="shared" si="12"/>
        <v>0</v>
      </c>
      <c r="AC9" s="189"/>
      <c r="AD9" s="192"/>
      <c r="AE9" s="77"/>
      <c r="AF9" s="77"/>
      <c r="AG9" s="77"/>
    </row>
    <row r="10" spans="1:33" x14ac:dyDescent="0.25">
      <c r="A10" s="178" t="s">
        <v>223</v>
      </c>
      <c r="B10" s="177"/>
      <c r="C10" s="345">
        <v>2</v>
      </c>
      <c r="D10" s="177"/>
      <c r="E10" s="345">
        <v>47366.775000000001</v>
      </c>
      <c r="F10" s="180"/>
      <c r="G10" s="345"/>
      <c r="H10" s="181">
        <f t="shared" si="4"/>
        <v>0</v>
      </c>
      <c r="I10" s="182">
        <f t="shared" si="0"/>
        <v>47366.775000000001</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345">
        <v>35</v>
      </c>
      <c r="D11" s="177"/>
      <c r="E11" s="345">
        <v>1850477</v>
      </c>
      <c r="F11" s="180">
        <v>-1819391</v>
      </c>
      <c r="G11" s="345">
        <v>1488201</v>
      </c>
      <c r="H11" s="181">
        <f t="shared" si="4"/>
        <v>-331190</v>
      </c>
      <c r="I11" s="182">
        <f t="shared" si="0"/>
        <v>1519287</v>
      </c>
      <c r="J11" s="170"/>
      <c r="K11" s="170"/>
      <c r="L11" s="170"/>
      <c r="M11" s="170"/>
      <c r="N11" s="194">
        <f>SUM(N4:N10)</f>
        <v>45733.53</v>
      </c>
      <c r="O11" s="195">
        <f>SUM(O4:O10)</f>
        <v>4734702.9184799995</v>
      </c>
      <c r="P11" s="195">
        <f>SUM(P4:P10)</f>
        <v>2107842</v>
      </c>
      <c r="Q11" s="170"/>
      <c r="R11" s="194">
        <f>SUM(R4:R10)</f>
        <v>19828.243049999997</v>
      </c>
      <c r="S11" s="195">
        <f>SUM(S4:S10)</f>
        <v>-2428909</v>
      </c>
      <c r="T11" s="196"/>
      <c r="U11" s="194">
        <f>SUM(U4:U10)</f>
        <v>-21742.012459999998</v>
      </c>
      <c r="V11" s="170"/>
      <c r="W11" s="194">
        <f>SUM(W4:W10)</f>
        <v>43819.760589999998</v>
      </c>
      <c r="X11" s="170"/>
      <c r="Y11" s="197">
        <f>SUM(Y4:Y10)</f>
        <v>4413635.9184799995</v>
      </c>
      <c r="Z11" s="170"/>
      <c r="AA11" s="197">
        <f>SUM(AA4:AA10)</f>
        <v>43836.446046748591</v>
      </c>
      <c r="AB11" s="194">
        <f>SUM(AB4:AB10)</f>
        <v>-16.685456748595342</v>
      </c>
      <c r="AC11" s="197">
        <f>SUM(AC4:AC10)</f>
        <v>-3893.3418546151474</v>
      </c>
      <c r="AD11" s="192">
        <f t="shared" si="3"/>
        <v>-3.8077471268528769E-4</v>
      </c>
      <c r="AE11" s="77"/>
      <c r="AF11" s="77"/>
      <c r="AG11" s="77"/>
    </row>
    <row r="12" spans="1:33" x14ac:dyDescent="0.25">
      <c r="A12" s="178" t="s">
        <v>226</v>
      </c>
      <c r="B12" s="177"/>
      <c r="C12" s="345">
        <v>2</v>
      </c>
      <c r="D12" s="177"/>
      <c r="E12" s="345">
        <v>135995</v>
      </c>
      <c r="F12" s="180"/>
      <c r="G12" s="345"/>
      <c r="H12" s="181">
        <f t="shared" si="4"/>
        <v>0</v>
      </c>
      <c r="I12" s="182">
        <f t="shared" si="0"/>
        <v>135995</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2910360</v>
      </c>
      <c r="F13" s="180">
        <v>-2904282</v>
      </c>
      <c r="G13" s="345">
        <v>2587504</v>
      </c>
      <c r="H13" s="181">
        <f t="shared" si="4"/>
        <v>-316778</v>
      </c>
      <c r="I13" s="182">
        <f t="shared" si="0"/>
        <v>2593582</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171200</v>
      </c>
      <c r="D14" s="170"/>
      <c r="E14" s="201">
        <f>SUM(E4:E13)</f>
        <v>9678901.6934799999</v>
      </c>
      <c r="F14" s="201">
        <f>SUM(F4:F13)</f>
        <v>-7152582</v>
      </c>
      <c r="G14" s="201">
        <f>SUM(G4:G13)</f>
        <v>6183547</v>
      </c>
      <c r="H14" s="201">
        <f>SUM(H4:H13)</f>
        <v>-969035</v>
      </c>
      <c r="I14" s="201">
        <f t="shared" ref="I14" si="14">SUM(I4:I13)</f>
        <v>8709866.6934799999</v>
      </c>
      <c r="J14" s="170"/>
      <c r="K14" s="170"/>
      <c r="L14" s="170"/>
      <c r="M14" s="170"/>
      <c r="N14" s="170"/>
      <c r="O14" s="170"/>
      <c r="P14" s="170"/>
      <c r="Q14" s="170"/>
      <c r="R14" s="170"/>
      <c r="S14" s="170" t="s">
        <v>181</v>
      </c>
      <c r="T14" s="170" t="s">
        <v>232</v>
      </c>
      <c r="U14" s="170"/>
      <c r="V14" s="282" t="s">
        <v>343</v>
      </c>
      <c r="W14" s="202">
        <f>ROUND((W4+W5)*W13,2)</f>
        <v>10555.81</v>
      </c>
      <c r="X14" s="170"/>
      <c r="Y14" s="170" t="s">
        <v>28</v>
      </c>
      <c r="Z14" s="181">
        <f>O4+O5+P4+P5+S4+S5</f>
        <v>2633257.6504199998</v>
      </c>
      <c r="AA14" s="190">
        <v>4.0099999999999997E-3</v>
      </c>
      <c r="AB14" s="188">
        <f>Z14*AA14</f>
        <v>10559.363178184198</v>
      </c>
      <c r="AC14" s="188">
        <f>W14-AB14</f>
        <v>-3.5531781841982593</v>
      </c>
      <c r="AD14" s="192">
        <f>AC14/W14</f>
        <v>-3.3660876656535683E-4</v>
      </c>
      <c r="AE14" s="77"/>
      <c r="AF14" s="77"/>
      <c r="AG14" s="77"/>
    </row>
    <row r="15" spans="1:33" ht="15.75" thickBot="1" x14ac:dyDescent="0.3">
      <c r="A15" s="282"/>
      <c r="B15" s="282" t="s">
        <v>343</v>
      </c>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t="s">
        <v>343</v>
      </c>
      <c r="W15" s="202">
        <f>ROUND(SUM(W6:W10)*W13,2)</f>
        <v>31329.09</v>
      </c>
      <c r="X15" s="170"/>
      <c r="Y15" s="170" t="s">
        <v>234</v>
      </c>
      <c r="Z15" s="181">
        <f>SUM(O6:P10,S6:S10)</f>
        <v>1780378.2680599997</v>
      </c>
      <c r="AA15" s="190">
        <v>1.7600000000000001E-2</v>
      </c>
      <c r="AB15" s="188">
        <f>(Z15)*AA15</f>
        <v>31334.657517855998</v>
      </c>
      <c r="AC15" s="188">
        <f>W15-AB15</f>
        <v>-5.5675178559977212</v>
      </c>
      <c r="AD15" s="192">
        <f>AC15/W15</f>
        <v>-1.7771080666555337E-4</v>
      </c>
      <c r="AE15" s="77"/>
      <c r="AF15" s="77"/>
      <c r="AG15" s="77"/>
    </row>
    <row r="16" spans="1:33" x14ac:dyDescent="0.25">
      <c r="A16" s="177" t="s">
        <v>28</v>
      </c>
      <c r="B16" s="282" t="s">
        <v>343</v>
      </c>
      <c r="C16" s="203">
        <f>C4+C5</f>
        <v>168008</v>
      </c>
      <c r="D16" s="170"/>
      <c r="E16" s="204">
        <f>E4+E5</f>
        <v>2914543.6504199998</v>
      </c>
      <c r="F16" s="204">
        <f t="shared" ref="F16:H16" si="15">F4+F5</f>
        <v>-1616763</v>
      </c>
      <c r="G16" s="204">
        <f t="shared" si="15"/>
        <v>1335477</v>
      </c>
      <c r="H16" s="204">
        <f t="shared" si="15"/>
        <v>-281286</v>
      </c>
      <c r="I16" s="203">
        <f>I4+I5</f>
        <v>2633257.6504199998</v>
      </c>
      <c r="J16" s="291" t="s">
        <v>343</v>
      </c>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-1913.7694100000008</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t="s">
        <v>343</v>
      </c>
      <c r="C18" s="207">
        <f>SUM(C6:C9)</f>
        <v>3148</v>
      </c>
      <c r="D18" s="170"/>
      <c r="E18" s="208">
        <f>SUM(E6:E9)</f>
        <v>1820159.2680599999</v>
      </c>
      <c r="F18" s="208">
        <f t="shared" ref="F18:H18" si="16">SUM(F6:F9)</f>
        <v>-812146</v>
      </c>
      <c r="G18" s="208">
        <f>SUM(G6:G9)</f>
        <v>772365</v>
      </c>
      <c r="H18" s="208">
        <f t="shared" si="16"/>
        <v>-39781</v>
      </c>
      <c r="I18" s="207">
        <f>SUM(I6:I9)</f>
        <v>1780378.2680599999</v>
      </c>
      <c r="J18" s="291" t="s">
        <v>343</v>
      </c>
      <c r="K18" s="170"/>
      <c r="L18" s="170"/>
      <c r="M18" s="170"/>
      <c r="N18" s="170"/>
      <c r="O18" s="170"/>
      <c r="P18" s="170"/>
      <c r="Q18" s="170"/>
      <c r="R18" s="188">
        <f>E64</f>
        <v>-1913.7694099999999</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47"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1621308</v>
      </c>
      <c r="D22" s="183">
        <v>2843932.96</v>
      </c>
      <c r="E22" s="183">
        <v>-1930235.2612051764</v>
      </c>
      <c r="F22" s="183">
        <f>1760969-F23</f>
        <v>1760609.894924741</v>
      </c>
      <c r="G22" s="211">
        <f>SUM(D22:F22)</f>
        <v>2674307.5937195644</v>
      </c>
      <c r="H22" s="188">
        <f t="shared" ref="H22:H31" si="17">-J54</f>
        <v>84415.512239999996</v>
      </c>
      <c r="I22" s="188">
        <f t="shared" ref="I22:I31" si="18">G22+H22</f>
        <v>2758723.1059595644</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2061.5</v>
      </c>
      <c r="D23" s="183">
        <v>3472.29</v>
      </c>
      <c r="E23" s="183">
        <v>-504.73879482367357</v>
      </c>
      <c r="F23" s="183">
        <f>G5*(K23-C23)/E5</f>
        <v>359.10507525901693</v>
      </c>
      <c r="G23" s="211">
        <f>SUM(D23:F23)</f>
        <v>3326.656280435343</v>
      </c>
      <c r="H23" s="188">
        <f t="shared" si="17"/>
        <v>-112.56515999999999</v>
      </c>
      <c r="I23" s="188">
        <f t="shared" si="18"/>
        <v>3214.0911204353429</v>
      </c>
      <c r="J23" s="170"/>
      <c r="K23" s="183">
        <v>2844.88</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338789.41</v>
      </c>
      <c r="D24" s="183">
        <v>747201.8</v>
      </c>
      <c r="E24" s="183">
        <v>-424884</v>
      </c>
      <c r="F24" s="183">
        <v>421511</v>
      </c>
      <c r="G24" s="211">
        <f>SUM(D24:F24)</f>
        <v>743828.8</v>
      </c>
      <c r="H24" s="188">
        <f t="shared" si="17"/>
        <v>1799.0743399999997</v>
      </c>
      <c r="I24" s="188">
        <f t="shared" si="18"/>
        <v>745627.8743400001</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322.69</v>
      </c>
      <c r="D25" s="183">
        <v>16607.990000000002</v>
      </c>
      <c r="E25" s="183">
        <v>-36605</v>
      </c>
      <c r="F25" s="183">
        <v>17705</v>
      </c>
      <c r="G25" s="211">
        <f>SUM(D25:F25)</f>
        <v>-2292.0099999999984</v>
      </c>
      <c r="H25" s="188">
        <f t="shared" si="17"/>
        <v>9910.7126999999982</v>
      </c>
      <c r="I25" s="188">
        <f>G25+H25</f>
        <v>7618.7026999999998</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11250.89</v>
      </c>
      <c r="E28" s="183"/>
      <c r="F28" s="183"/>
      <c r="G28" s="211">
        <f t="shared" si="19"/>
        <v>11250.89</v>
      </c>
      <c r="H28" s="188">
        <f t="shared" si="17"/>
        <v>0</v>
      </c>
      <c r="I28" s="188">
        <f t="shared" si="18"/>
        <v>11250.89</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23125</v>
      </c>
      <c r="D29" s="183">
        <v>196716.32</v>
      </c>
      <c r="E29" s="183">
        <v>-162017</v>
      </c>
      <c r="F29" s="183">
        <v>132524</v>
      </c>
      <c r="G29" s="211">
        <f t="shared" si="19"/>
        <v>167223.32</v>
      </c>
      <c r="H29" s="188">
        <f t="shared" si="17"/>
        <v>-655.75619999999992</v>
      </c>
      <c r="I29" s="188">
        <f t="shared" si="18"/>
        <v>166567.5638</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2843.65</v>
      </c>
      <c r="E30" s="183"/>
      <c r="F30" s="183"/>
      <c r="G30" s="211">
        <f t="shared" si="19"/>
        <v>2843.65</v>
      </c>
      <c r="H30" s="188">
        <f t="shared" si="17"/>
        <v>0</v>
      </c>
      <c r="I30" s="188">
        <f t="shared" si="18"/>
        <v>2843.65</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74884.47</v>
      </c>
      <c r="E31" s="183">
        <v>-60729</v>
      </c>
      <c r="F31" s="183">
        <v>54105</v>
      </c>
      <c r="G31" s="211">
        <f t="shared" si="19"/>
        <v>68260.47</v>
      </c>
      <c r="H31" s="188">
        <f t="shared" si="17"/>
        <v>0</v>
      </c>
      <c r="I31" s="188">
        <f t="shared" si="18"/>
        <v>68260.47</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1434348.86</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186736.59</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1986606.5999999999</v>
      </c>
      <c r="D34" s="213">
        <f>SUM(D22:D33)</f>
        <v>5517995.8200000003</v>
      </c>
      <c r="E34" s="213">
        <f>SUM(E22:E33)</f>
        <v>-2614975</v>
      </c>
      <c r="F34" s="213">
        <f>SUM(F22:F33)</f>
        <v>2386814</v>
      </c>
      <c r="G34" s="213">
        <f t="shared" ref="G34:I34" si="20">SUM(G22:G33)</f>
        <v>3668749.37</v>
      </c>
      <c r="H34" s="213">
        <f t="shared" si="20"/>
        <v>95356.977920000005</v>
      </c>
      <c r="I34" s="213">
        <f t="shared" si="20"/>
        <v>3764106.3479200001</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t="s">
        <v>343</v>
      </c>
      <c r="C36" s="215">
        <f>C22+C23</f>
        <v>1623369.5</v>
      </c>
      <c r="D36" s="186">
        <f>D22+D23</f>
        <v>2847405.25</v>
      </c>
      <c r="E36" s="186">
        <f t="shared" ref="E36:H36" si="21">E22+E23</f>
        <v>-1930740</v>
      </c>
      <c r="F36" s="186">
        <f t="shared" si="21"/>
        <v>1760969</v>
      </c>
      <c r="G36" s="186">
        <f t="shared" si="21"/>
        <v>2677634.2499999995</v>
      </c>
      <c r="H36" s="186">
        <f t="shared" si="21"/>
        <v>84302.947079999998</v>
      </c>
      <c r="I36" s="215">
        <f>I22+I23</f>
        <v>2761937.1970799998</v>
      </c>
      <c r="J36" s="291" t="s">
        <v>343</v>
      </c>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t="s">
        <v>343</v>
      </c>
      <c r="C38" s="218">
        <f>SUM(C24:C27)</f>
        <v>339112.1</v>
      </c>
      <c r="D38" s="219">
        <f>SUM(D24:D27)</f>
        <v>763809.79</v>
      </c>
      <c r="E38" s="219">
        <f t="shared" ref="E38:F38" si="22">SUM(E24:E27)</f>
        <v>-461489</v>
      </c>
      <c r="F38" s="219">
        <f t="shared" si="22"/>
        <v>439216</v>
      </c>
      <c r="G38" s="219">
        <f>SUM(G24:G27)</f>
        <v>741536.79</v>
      </c>
      <c r="H38" s="219">
        <f>SUM(H24:H27)</f>
        <v>11709.787039999997</v>
      </c>
      <c r="I38" s="218">
        <f>SUM(I24:I27)</f>
        <v>753246.57704000012</v>
      </c>
      <c r="J38" s="291" t="s">
        <v>343</v>
      </c>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76.150000000000006" customHeight="1" x14ac:dyDescent="0.25">
      <c r="A40" s="177"/>
      <c r="B40" s="170"/>
      <c r="C40" s="221">
        <v>43770</v>
      </c>
      <c r="D40" s="221">
        <v>43770</v>
      </c>
      <c r="E40" s="221">
        <v>43770</v>
      </c>
      <c r="F40" s="221">
        <v>43739</v>
      </c>
      <c r="G40" s="221">
        <v>43344</v>
      </c>
      <c r="H40" s="221">
        <v>43922</v>
      </c>
      <c r="I40" s="324" t="s">
        <v>375</v>
      </c>
      <c r="J40" s="324"/>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223" t="s">
        <v>248</v>
      </c>
      <c r="F41" s="223" t="s">
        <v>249</v>
      </c>
      <c r="G41" s="223" t="s">
        <v>250</v>
      </c>
      <c r="H41" s="223" t="s">
        <v>251</v>
      </c>
      <c r="I41" s="223" t="s">
        <v>364</v>
      </c>
      <c r="J41" s="348"/>
      <c r="K41" s="348"/>
      <c r="L41" s="348"/>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2.1899999999999999E-2</v>
      </c>
      <c r="I42" s="224">
        <v>-2.1409999999999998E-2</v>
      </c>
      <c r="J42" s="224"/>
      <c r="K42" s="224"/>
      <c r="L42" s="224"/>
      <c r="N42" s="225">
        <f>SUM(C42:I42)</f>
        <v>0.30076000000000003</v>
      </c>
      <c r="O42" s="225">
        <f>SUM(C42:I42)</f>
        <v>0.30076000000000003</v>
      </c>
      <c r="P42" s="191">
        <f t="shared" ref="P42:P51" si="23">N42*G4</f>
        <v>401187.67388000002</v>
      </c>
      <c r="Q42" s="226">
        <f t="shared" ref="Q42:Q51" si="24">-F4*O42</f>
        <v>485603.18612000003</v>
      </c>
      <c r="R42" s="191">
        <f>P42-Q42</f>
        <v>-84415.512240000011</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f>H42</f>
        <v>2.1899999999999999E-2</v>
      </c>
      <c r="I43" s="224">
        <f>I42</f>
        <v>-2.1409999999999998E-2</v>
      </c>
      <c r="J43" s="224"/>
      <c r="K43" s="224"/>
      <c r="L43" s="224"/>
      <c r="N43" s="225">
        <f t="shared" ref="N43:N51" si="25">SUM(C43:I43)</f>
        <v>-0.18392999999999998</v>
      </c>
      <c r="O43" s="225">
        <f t="shared" ref="O43:O51" si="26">SUM(C43:I43)</f>
        <v>-0.18392999999999998</v>
      </c>
      <c r="P43" s="191">
        <f t="shared" si="23"/>
        <v>-287.66651999999999</v>
      </c>
      <c r="Q43" s="226">
        <f t="shared" si="24"/>
        <v>-400.23167999999998</v>
      </c>
      <c r="R43" s="191">
        <f t="shared" ref="R43:R51" si="27">P43-Q43</f>
        <v>112.56515999999999</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1.8360000000000001E-2</v>
      </c>
      <c r="I44" s="224">
        <v>-1.21E-2</v>
      </c>
      <c r="J44" s="224"/>
      <c r="K44" s="224"/>
      <c r="L44" s="224"/>
      <c r="N44" s="225">
        <f t="shared" si="25"/>
        <v>0.30358999999999997</v>
      </c>
      <c r="O44" s="225">
        <f t="shared" si="26"/>
        <v>0.30358999999999997</v>
      </c>
      <c r="P44" s="191">
        <f t="shared" si="23"/>
        <v>224853.93349999998</v>
      </c>
      <c r="Q44" s="226">
        <f t="shared" si="24"/>
        <v>226653.00783999998</v>
      </c>
      <c r="R44" s="191">
        <f t="shared" si="27"/>
        <v>-1799.0743399999919</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f>H44</f>
        <v>1.8360000000000001E-2</v>
      </c>
      <c r="I45" s="224">
        <f>I44</f>
        <v>-1.21E-2</v>
      </c>
      <c r="J45" s="224"/>
      <c r="K45" s="224"/>
      <c r="L45" s="224"/>
      <c r="N45" s="225">
        <f t="shared" si="25"/>
        <v>0.29273999999999994</v>
      </c>
      <c r="O45" s="225">
        <f t="shared" si="26"/>
        <v>0.29273999999999994</v>
      </c>
      <c r="P45" s="191">
        <f t="shared" si="23"/>
        <v>9284.2490999999991</v>
      </c>
      <c r="Q45" s="226">
        <f t="shared" si="24"/>
        <v>19194.961799999997</v>
      </c>
      <c r="R45" s="191">
        <f t="shared" si="27"/>
        <v>-9910.7126999999982</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f t="shared" ref="H46:I47" si="28">H45</f>
        <v>1.8360000000000001E-2</v>
      </c>
      <c r="I46" s="224">
        <f t="shared" si="28"/>
        <v>-1.21E-2</v>
      </c>
      <c r="J46" s="224"/>
      <c r="K46" s="224"/>
      <c r="L46" s="224"/>
      <c r="N46" s="225">
        <f t="shared" si="25"/>
        <v>0.30008999999999997</v>
      </c>
      <c r="O46" s="225">
        <f t="shared" si="26"/>
        <v>0.30008999999999997</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f t="shared" si="28"/>
        <v>1.8360000000000001E-2</v>
      </c>
      <c r="I47" s="224">
        <f t="shared" si="28"/>
        <v>-1.21E-2</v>
      </c>
      <c r="J47" s="224"/>
      <c r="K47" s="224"/>
      <c r="L47" s="224"/>
      <c r="N47" s="225">
        <f t="shared" si="25"/>
        <v>0.28923999999999994</v>
      </c>
      <c r="O47" s="225">
        <f t="shared" si="26"/>
        <v>0.28923999999999994</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c r="K48" s="224"/>
      <c r="L48" s="224"/>
      <c r="N48" s="225">
        <f t="shared" si="25"/>
        <v>0.23843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c r="K49" s="224"/>
      <c r="L49" s="224"/>
      <c r="N49" s="225">
        <f t="shared" si="25"/>
        <v>-1.98E-3</v>
      </c>
      <c r="O49" s="225">
        <f t="shared" si="26"/>
        <v>-1.98E-3</v>
      </c>
      <c r="P49" s="191">
        <f t="shared" si="23"/>
        <v>-2946.63798</v>
      </c>
      <c r="Q49" s="226">
        <f t="shared" si="24"/>
        <v>-3602.3941799999998</v>
      </c>
      <c r="R49" s="191">
        <f t="shared" si="27"/>
        <v>655.75619999999981</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632091.55197999999</v>
      </c>
      <c r="Q52" s="227">
        <f>SUM(Q42:Q51)</f>
        <v>727448.52990000008</v>
      </c>
      <c r="R52" s="227">
        <f>SUM(R42:R51)</f>
        <v>-95356.977920000005</v>
      </c>
      <c r="U52" s="170"/>
      <c r="V52" s="170"/>
      <c r="W52" s="170"/>
      <c r="X52" s="170"/>
      <c r="Y52" s="170"/>
      <c r="Z52" s="170"/>
      <c r="AA52" s="170"/>
      <c r="AB52" s="170"/>
      <c r="AC52" s="170"/>
      <c r="AD52" s="170"/>
      <c r="AE52" s="77"/>
      <c r="AF52" s="77"/>
      <c r="AG52" s="77"/>
    </row>
    <row r="53" spans="1:33" ht="39" x14ac:dyDescent="0.25">
      <c r="A53" s="222" t="s">
        <v>255</v>
      </c>
      <c r="B53" s="174"/>
      <c r="C53" s="347" t="s">
        <v>256</v>
      </c>
      <c r="D53" s="347" t="s">
        <v>257</v>
      </c>
      <c r="E53" s="347" t="s">
        <v>248</v>
      </c>
      <c r="F53" s="347" t="s">
        <v>258</v>
      </c>
      <c r="G53" s="347" t="s">
        <v>259</v>
      </c>
      <c r="H53" s="347" t="s">
        <v>260</v>
      </c>
      <c r="I53" s="347" t="s">
        <v>366</v>
      </c>
      <c r="J53" s="347" t="s">
        <v>261</v>
      </c>
      <c r="M53" s="170"/>
      <c r="N53" s="170"/>
      <c r="O53" s="170"/>
      <c r="Q53" s="262">
        <f>'06.2020 Base Rate Revenue'!P52</f>
        <v>727448.52990000008</v>
      </c>
      <c r="R53" s="188">
        <f>J64</f>
        <v>-95356.977920000005</v>
      </c>
      <c r="U53" s="170"/>
      <c r="V53" s="170"/>
      <c r="W53" s="170"/>
      <c r="X53" s="170"/>
      <c r="Y53" s="170"/>
      <c r="Z53" s="170"/>
      <c r="AA53" s="170"/>
      <c r="AB53" s="170"/>
      <c r="AC53" s="170"/>
      <c r="AD53" s="77"/>
      <c r="AE53" s="77"/>
      <c r="AF53" s="77"/>
      <c r="AG53" s="77"/>
    </row>
    <row r="54" spans="1:33" x14ac:dyDescent="0.25">
      <c r="A54" s="178" t="s">
        <v>212</v>
      </c>
      <c r="B54" s="170"/>
      <c r="C54" s="186">
        <f>C42*$H4</f>
        <v>-73396.251000000004</v>
      </c>
      <c r="D54" s="186">
        <f t="shared" ref="D54:E54" si="29">D42*$H4</f>
        <v>-1204.0914600000001</v>
      </c>
      <c r="E54" s="186">
        <f t="shared" si="29"/>
        <v>-1178.8308</v>
      </c>
      <c r="F54" s="186">
        <f>F42*$H4</f>
        <v>0</v>
      </c>
      <c r="G54" s="186">
        <f t="shared" ref="G54:I54" si="30">G42*$H4</f>
        <v>-8498.8087200000009</v>
      </c>
      <c r="H54" s="186">
        <f t="shared" si="30"/>
        <v>-6146.7605999999996</v>
      </c>
      <c r="I54" s="186">
        <f t="shared" si="30"/>
        <v>6009.2303399999992</v>
      </c>
      <c r="J54" s="186">
        <f>SUM(C54:I54)</f>
        <v>-84415.512239999996</v>
      </c>
      <c r="M54" s="170"/>
      <c r="N54" s="191"/>
      <c r="O54" s="170"/>
      <c r="P54" s="170"/>
      <c r="R54" s="191">
        <f>R52-R53</f>
        <v>0</v>
      </c>
      <c r="U54" s="170"/>
      <c r="V54" s="170"/>
      <c r="W54" s="170"/>
      <c r="X54" s="170"/>
      <c r="Y54" s="170"/>
      <c r="Z54" s="170"/>
      <c r="AA54" s="170"/>
      <c r="AB54" s="170"/>
      <c r="AC54" s="170"/>
      <c r="AD54" s="77"/>
      <c r="AE54" s="77"/>
      <c r="AF54" s="77"/>
      <c r="AG54" s="77"/>
    </row>
    <row r="55" spans="1:33" x14ac:dyDescent="0.25">
      <c r="A55" s="178" t="s">
        <v>214</v>
      </c>
      <c r="B55" s="170"/>
      <c r="C55" s="186">
        <f t="shared" ref="C55:I63" si="31">C43*$H5</f>
        <v>-160.03800000000001</v>
      </c>
      <c r="D55" s="186">
        <f t="shared" si="31"/>
        <v>-2.62548</v>
      </c>
      <c r="E55" s="186">
        <f t="shared" si="31"/>
        <v>-2.5703999999999998</v>
      </c>
      <c r="F55" s="186">
        <f t="shared" si="31"/>
        <v>296.63028000000003</v>
      </c>
      <c r="G55" s="186">
        <f t="shared" si="31"/>
        <v>-18.531359999999999</v>
      </c>
      <c r="H55" s="186">
        <f t="shared" si="31"/>
        <v>-13.402799999999999</v>
      </c>
      <c r="I55" s="186">
        <f t="shared" si="31"/>
        <v>13.102919999999999</v>
      </c>
      <c r="J55" s="186">
        <f t="shared" ref="J55:J63" si="32">SUM(C55:I55)</f>
        <v>112.56515999999999</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186">
        <f t="shared" si="31"/>
        <v>-1492.22606</v>
      </c>
      <c r="D56" s="186">
        <f t="shared" si="31"/>
        <v>-64.2971</v>
      </c>
      <c r="E56" s="186">
        <f t="shared" si="31"/>
        <v>-109.09765999999999</v>
      </c>
      <c r="F56" s="186">
        <f t="shared" si="31"/>
        <v>0</v>
      </c>
      <c r="G56" s="186">
        <f t="shared" si="31"/>
        <v>-96.356759999999994</v>
      </c>
      <c r="H56" s="186">
        <f t="shared" si="31"/>
        <v>-108.80136</v>
      </c>
      <c r="I56" s="186">
        <f t="shared" si="31"/>
        <v>71.704599999999999</v>
      </c>
      <c r="J56" s="186">
        <f t="shared" si="32"/>
        <v>-1799.0743399999997</v>
      </c>
      <c r="K56" s="170"/>
      <c r="L56" s="170"/>
      <c r="M56" s="191"/>
      <c r="N56" s="170"/>
      <c r="O56" s="170"/>
      <c r="P56" s="170"/>
      <c r="Q56" s="170"/>
      <c r="R56" s="170"/>
      <c r="S56" s="170"/>
      <c r="T56" s="170"/>
      <c r="U56" s="170"/>
      <c r="V56" s="170"/>
      <c r="W56" s="170"/>
      <c r="X56" s="170"/>
      <c r="Y56" s="170"/>
      <c r="Z56" s="170"/>
      <c r="AA56" s="170"/>
      <c r="AB56" s="170"/>
      <c r="AC56" s="170"/>
      <c r="AD56" s="77"/>
      <c r="AE56" s="77"/>
      <c r="AF56" s="77"/>
      <c r="AG56" s="77"/>
    </row>
    <row r="57" spans="1:33" x14ac:dyDescent="0.25">
      <c r="A57" s="178" t="s">
        <v>218</v>
      </c>
      <c r="B57" s="170"/>
      <c r="C57" s="186">
        <f t="shared" si="31"/>
        <v>-8525.0275499999989</v>
      </c>
      <c r="D57" s="186">
        <f t="shared" si="31"/>
        <v>0</v>
      </c>
      <c r="E57" s="186">
        <f t="shared" si="31"/>
        <v>-623.27054999999996</v>
      </c>
      <c r="F57" s="186">
        <f t="shared" si="31"/>
        <v>0</v>
      </c>
      <c r="G57" s="186">
        <f t="shared" si="31"/>
        <v>-550.48230000000001</v>
      </c>
      <c r="H57" s="186">
        <f t="shared" si="31"/>
        <v>-621.57780000000002</v>
      </c>
      <c r="I57" s="186">
        <f t="shared" si="31"/>
        <v>409.64549999999997</v>
      </c>
      <c r="J57" s="186">
        <f t="shared" si="32"/>
        <v>-9910.7126999999982</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186">
        <f t="shared" si="31"/>
        <v>0</v>
      </c>
      <c r="D58" s="186">
        <f t="shared" si="31"/>
        <v>0</v>
      </c>
      <c r="E58" s="186">
        <f t="shared" si="31"/>
        <v>0</v>
      </c>
      <c r="F58" s="186">
        <f t="shared" si="31"/>
        <v>0</v>
      </c>
      <c r="G58" s="186">
        <f t="shared" si="31"/>
        <v>0</v>
      </c>
      <c r="H58" s="186">
        <f t="shared" si="31"/>
        <v>0</v>
      </c>
      <c r="I58" s="186">
        <f t="shared" si="31"/>
        <v>0</v>
      </c>
      <c r="J58" s="186">
        <f t="shared" si="32"/>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186">
        <f t="shared" si="31"/>
        <v>0</v>
      </c>
      <c r="D59" s="186">
        <f t="shared" si="31"/>
        <v>0</v>
      </c>
      <c r="E59" s="186">
        <f t="shared" si="31"/>
        <v>0</v>
      </c>
      <c r="F59" s="186">
        <f t="shared" si="31"/>
        <v>0</v>
      </c>
      <c r="G59" s="186">
        <f t="shared" si="31"/>
        <v>0</v>
      </c>
      <c r="H59" s="186">
        <f t="shared" si="31"/>
        <v>0</v>
      </c>
      <c r="I59" s="186">
        <f t="shared" si="31"/>
        <v>0</v>
      </c>
      <c r="J59" s="186">
        <f t="shared" si="32"/>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186">
        <f t="shared" si="31"/>
        <v>0</v>
      </c>
      <c r="D60" s="186">
        <f t="shared" si="31"/>
        <v>0</v>
      </c>
      <c r="E60" s="186">
        <f t="shared" si="31"/>
        <v>0</v>
      </c>
      <c r="F60" s="186">
        <f t="shared" si="31"/>
        <v>0</v>
      </c>
      <c r="G60" s="186">
        <f t="shared" si="31"/>
        <v>0</v>
      </c>
      <c r="H60" s="186">
        <f t="shared" si="31"/>
        <v>0</v>
      </c>
      <c r="I60" s="186">
        <f t="shared" si="31"/>
        <v>0</v>
      </c>
      <c r="J60" s="186">
        <f t="shared" si="32"/>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186">
        <f t="shared" si="31"/>
        <v>-185.46639999999999</v>
      </c>
      <c r="D61" s="186">
        <f t="shared" si="31"/>
        <v>0</v>
      </c>
      <c r="E61" s="186">
        <f t="shared" si="31"/>
        <v>0</v>
      </c>
      <c r="F61" s="186">
        <f t="shared" si="31"/>
        <v>0</v>
      </c>
      <c r="G61" s="186">
        <f t="shared" si="31"/>
        <v>0</v>
      </c>
      <c r="H61" s="186">
        <f t="shared" si="31"/>
        <v>-327.87810000000002</v>
      </c>
      <c r="I61" s="186">
        <f t="shared" si="31"/>
        <v>1169.1007</v>
      </c>
      <c r="J61" s="186">
        <f t="shared" si="32"/>
        <v>655.75619999999992</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186">
        <f t="shared" si="31"/>
        <v>0</v>
      </c>
      <c r="D62" s="186">
        <f t="shared" si="31"/>
        <v>0</v>
      </c>
      <c r="E62" s="186">
        <f t="shared" si="31"/>
        <v>0</v>
      </c>
      <c r="F62" s="186">
        <f t="shared" si="31"/>
        <v>0</v>
      </c>
      <c r="G62" s="186">
        <f t="shared" si="31"/>
        <v>0</v>
      </c>
      <c r="H62" s="186">
        <f t="shared" si="31"/>
        <v>0</v>
      </c>
      <c r="I62" s="186">
        <f t="shared" si="31"/>
        <v>0</v>
      </c>
      <c r="J62" s="186">
        <f t="shared" si="32"/>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186">
        <f t="shared" si="31"/>
        <v>0</v>
      </c>
      <c r="D63" s="186">
        <f t="shared" si="31"/>
        <v>0</v>
      </c>
      <c r="E63" s="186">
        <f t="shared" si="31"/>
        <v>0</v>
      </c>
      <c r="F63" s="186">
        <f t="shared" si="31"/>
        <v>0</v>
      </c>
      <c r="G63" s="186">
        <f t="shared" si="31"/>
        <v>0</v>
      </c>
      <c r="H63" s="186">
        <f t="shared" si="31"/>
        <v>0</v>
      </c>
      <c r="I63" s="186">
        <f t="shared" si="31"/>
        <v>0</v>
      </c>
      <c r="J63" s="186">
        <f t="shared" si="32"/>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194">
        <f>SUM(C54:C63)</f>
        <v>-83759.009010000009</v>
      </c>
      <c r="D64" s="194">
        <f t="shared" ref="D64:I64" si="33">SUM(D54:D63)</f>
        <v>-1271.01404</v>
      </c>
      <c r="E64" s="194">
        <f t="shared" si="33"/>
        <v>-1913.7694099999999</v>
      </c>
      <c r="F64" s="194">
        <f t="shared" si="33"/>
        <v>296.63028000000003</v>
      </c>
      <c r="G64" s="194">
        <f t="shared" si="33"/>
        <v>-9164.179140000002</v>
      </c>
      <c r="H64" s="194">
        <f t="shared" si="33"/>
        <v>-7218.4206599999998</v>
      </c>
      <c r="I64" s="194">
        <f t="shared" si="33"/>
        <v>7672.784059999999</v>
      </c>
      <c r="J64" s="194">
        <f>SUM(J54:J63)</f>
        <v>-95356.977920000005</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-73556.289000000004</v>
      </c>
      <c r="D66" s="186">
        <f>D54+D55</f>
        <v>-1206.71694</v>
      </c>
      <c r="E66" s="186">
        <f t="shared" ref="E66:I66" si="34">E54+E55</f>
        <v>-1181.4012</v>
      </c>
      <c r="F66" s="186">
        <f t="shared" si="34"/>
        <v>296.63028000000003</v>
      </c>
      <c r="G66" s="186">
        <f t="shared" si="34"/>
        <v>-8517.3400800000018</v>
      </c>
      <c r="H66" s="186">
        <f t="shared" si="34"/>
        <v>-6160.1633999999995</v>
      </c>
      <c r="I66" s="186">
        <f t="shared" si="34"/>
        <v>6022.3332599999994</v>
      </c>
      <c r="J66" s="186">
        <f>J54+J55</f>
        <v>-84302.947079999998</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-10017.25361</v>
      </c>
      <c r="D68" s="219">
        <f t="shared" ref="D68:I68" si="35">SUM(D56:D59)</f>
        <v>-64.2971</v>
      </c>
      <c r="E68" s="219">
        <f t="shared" si="35"/>
        <v>-732.36820999999998</v>
      </c>
      <c r="F68" s="219">
        <f t="shared" si="35"/>
        <v>0</v>
      </c>
      <c r="G68" s="219">
        <f t="shared" si="35"/>
        <v>-646.83906000000002</v>
      </c>
      <c r="H68" s="219">
        <f t="shared" si="35"/>
        <v>-730.37916000000007</v>
      </c>
      <c r="I68" s="219">
        <f t="shared" si="35"/>
        <v>481.3501</v>
      </c>
      <c r="J68" s="219">
        <f>SUM(J56:J59)</f>
        <v>-11709.787039999997</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4744</v>
      </c>
      <c r="D74" s="273">
        <v>54742.678899999999</v>
      </c>
      <c r="E74" s="183">
        <v>45837.5</v>
      </c>
      <c r="F74" s="183">
        <v>69526.320000000007</v>
      </c>
      <c r="G74" s="183">
        <v>16468.36</v>
      </c>
      <c r="H74" s="183">
        <v>2547.29</v>
      </c>
      <c r="I74" s="186">
        <f>SUM(F74:H74)</f>
        <v>88541.97</v>
      </c>
      <c r="J74" s="349"/>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1</v>
      </c>
      <c r="D75" s="273">
        <v>13.64025</v>
      </c>
      <c r="E75" s="183">
        <v>9.5</v>
      </c>
      <c r="F75" s="183">
        <v>15.09</v>
      </c>
      <c r="G75" s="183">
        <v>-2.5</v>
      </c>
      <c r="H75" s="183">
        <v>0.76</v>
      </c>
      <c r="I75" s="186">
        <f t="shared" ref="I75:I79" si="36">SUM(F75:H75)</f>
        <v>13.35</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38</v>
      </c>
      <c r="D76" s="273">
        <v>22680.040700000001</v>
      </c>
      <c r="E76" s="183">
        <v>4087.39</v>
      </c>
      <c r="F76" s="183">
        <v>9775.08</v>
      </c>
      <c r="G76" s="183">
        <v>6885.37</v>
      </c>
      <c r="H76" s="183">
        <v>488.05</v>
      </c>
      <c r="I76" s="186">
        <f t="shared" si="36"/>
        <v>17148.5</v>
      </c>
      <c r="J76" s="349"/>
    </row>
    <row r="77" spans="1:33" x14ac:dyDescent="0.25">
      <c r="A77" s="178" t="s">
        <v>218</v>
      </c>
      <c r="C77" s="273"/>
      <c r="D77" s="273"/>
      <c r="E77" s="183"/>
      <c r="F77" s="183"/>
      <c r="G77" s="183"/>
      <c r="H77" s="183"/>
      <c r="I77" s="186">
        <f t="shared" si="36"/>
        <v>0</v>
      </c>
    </row>
    <row r="78" spans="1:33" x14ac:dyDescent="0.25">
      <c r="A78" s="178" t="s">
        <v>220</v>
      </c>
      <c r="C78" s="273"/>
      <c r="D78" s="273"/>
      <c r="E78" s="183"/>
      <c r="F78" s="183"/>
      <c r="G78" s="183"/>
      <c r="H78" s="183"/>
      <c r="I78" s="186">
        <f t="shared" si="36"/>
        <v>0</v>
      </c>
    </row>
    <row r="79" spans="1:33" x14ac:dyDescent="0.25">
      <c r="A79" s="178" t="s">
        <v>222</v>
      </c>
      <c r="C79" s="273"/>
      <c r="D79" s="273"/>
      <c r="E79" s="183"/>
      <c r="F79" s="183"/>
      <c r="G79" s="183"/>
      <c r="H79" s="183"/>
      <c r="I79" s="186">
        <f t="shared" si="36"/>
        <v>0</v>
      </c>
    </row>
    <row r="80" spans="1:33" x14ac:dyDescent="0.25">
      <c r="A80" s="178" t="s">
        <v>351</v>
      </c>
      <c r="C80" s="310">
        <f>SUM(C74:C79)</f>
        <v>4783</v>
      </c>
      <c r="D80" s="310">
        <f t="shared" ref="D80:I80" si="37">SUM(D74:D79)</f>
        <v>77436.359849999993</v>
      </c>
      <c r="E80" s="213">
        <f t="shared" si="37"/>
        <v>49934.39</v>
      </c>
      <c r="F80" s="213">
        <f t="shared" si="37"/>
        <v>79316.490000000005</v>
      </c>
      <c r="G80" s="213">
        <f t="shared" si="37"/>
        <v>23351.23</v>
      </c>
      <c r="H80" s="213">
        <f t="shared" si="37"/>
        <v>3036.1000000000004</v>
      </c>
      <c r="I80" s="213">
        <f t="shared" si="37"/>
        <v>105703.82</v>
      </c>
    </row>
    <row r="81" spans="1:9" ht="15.75" thickBot="1" x14ac:dyDescent="0.3">
      <c r="A81" s="178"/>
      <c r="B81" s="282" t="s">
        <v>343</v>
      </c>
      <c r="C81" s="282" t="s">
        <v>343</v>
      </c>
      <c r="D81" s="282" t="s">
        <v>343</v>
      </c>
      <c r="E81" s="282" t="s">
        <v>343</v>
      </c>
      <c r="F81" s="282" t="s">
        <v>343</v>
      </c>
      <c r="G81" s="282" t="s">
        <v>343</v>
      </c>
      <c r="H81" s="282" t="s">
        <v>343</v>
      </c>
      <c r="I81" s="282" t="s">
        <v>343</v>
      </c>
    </row>
    <row r="82" spans="1:9" x14ac:dyDescent="0.25">
      <c r="A82" s="178" t="s">
        <v>352</v>
      </c>
      <c r="C82" s="311">
        <f t="shared" ref="C82:I82" si="38">C74+C75</f>
        <v>4745</v>
      </c>
      <c r="D82" s="312">
        <f t="shared" si="38"/>
        <v>54756.319149999996</v>
      </c>
      <c r="E82" s="312">
        <f t="shared" si="38"/>
        <v>45847</v>
      </c>
      <c r="F82" s="313">
        <f t="shared" si="38"/>
        <v>69541.41</v>
      </c>
      <c r="G82" s="186">
        <f t="shared" si="38"/>
        <v>16465.86</v>
      </c>
      <c r="H82" s="186">
        <f t="shared" si="38"/>
        <v>2548.0500000000002</v>
      </c>
      <c r="I82" s="186">
        <f t="shared" si="38"/>
        <v>88555.32</v>
      </c>
    </row>
    <row r="83" spans="1:9" x14ac:dyDescent="0.25">
      <c r="C83" s="282" t="s">
        <v>343</v>
      </c>
      <c r="D83" s="282" t="s">
        <v>343</v>
      </c>
      <c r="E83" s="282" t="s">
        <v>343</v>
      </c>
      <c r="F83" s="282" t="s">
        <v>343</v>
      </c>
      <c r="G83" s="186"/>
      <c r="H83" s="186"/>
      <c r="I83" s="186"/>
    </row>
    <row r="84" spans="1:9" ht="15.75" thickBot="1" x14ac:dyDescent="0.3">
      <c r="A84" s="178" t="s">
        <v>353</v>
      </c>
      <c r="C84" s="314">
        <f t="shared" ref="C84:H84" si="39">SUM(C76:C79)</f>
        <v>38</v>
      </c>
      <c r="D84" s="315">
        <f t="shared" si="39"/>
        <v>22680.040700000001</v>
      </c>
      <c r="E84" s="316">
        <f t="shared" si="39"/>
        <v>4087.39</v>
      </c>
      <c r="F84" s="317">
        <f t="shared" si="39"/>
        <v>9775.08</v>
      </c>
      <c r="G84" s="186">
        <f t="shared" si="39"/>
        <v>6885.37</v>
      </c>
      <c r="H84" s="186">
        <f t="shared" si="39"/>
        <v>488.05</v>
      </c>
      <c r="I84" s="186">
        <f>SUM(I76:I79)</f>
        <v>17148.5</v>
      </c>
    </row>
    <row r="85" spans="1:9" x14ac:dyDescent="0.25">
      <c r="C85" s="282" t="s">
        <v>343</v>
      </c>
      <c r="D85" s="282" t="s">
        <v>343</v>
      </c>
      <c r="E85" s="282" t="s">
        <v>343</v>
      </c>
      <c r="F85" s="282" t="s">
        <v>343</v>
      </c>
    </row>
  </sheetData>
  <mergeCells count="7">
    <mergeCell ref="R40:R41"/>
    <mergeCell ref="A70:I70"/>
    <mergeCell ref="A1:I1"/>
    <mergeCell ref="O40:O41"/>
    <mergeCell ref="P40:P41"/>
    <mergeCell ref="Q40:Q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85"/>
  <sheetViews>
    <sheetView topLeftCell="O146" zoomScaleNormal="100" workbookViewId="0">
      <selection sqref="A1:AE191"/>
    </sheetView>
  </sheetViews>
  <sheetFormatPr defaultRowHeight="15" x14ac:dyDescent="0.25"/>
  <cols>
    <col min="1" max="1" width="19" customWidth="1"/>
    <col min="2" max="2" width="5.85546875" customWidth="1"/>
    <col min="3" max="3" width="19.140625" customWidth="1"/>
    <col min="4" max="5" width="16.42578125" customWidth="1"/>
    <col min="6" max="6" width="16.140625" customWidth="1"/>
    <col min="7" max="7" width="15.5703125" customWidth="1"/>
    <col min="8" max="8" width="15.42578125" customWidth="1"/>
    <col min="9" max="9" width="19.28515625" customWidth="1"/>
    <col min="10" max="10" width="16"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376</v>
      </c>
      <c r="AB1" s="170"/>
      <c r="AC1" s="171" t="s">
        <v>203</v>
      </c>
      <c r="AD1" s="172" t="s">
        <v>66</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42" t="str">
        <f>AA1&amp;" Billed Schedule 175 Revenue"</f>
        <v>June Billed Schedule 175 Revenue</v>
      </c>
      <c r="O2" s="342" t="str">
        <f>AA1&amp;" Billed Therms"</f>
        <v>June Billed Therms</v>
      </c>
      <c r="P2" s="342" t="str">
        <f>AA1&amp;" Unbilled Therms"</f>
        <v>June Unbilled Therms</v>
      </c>
      <c r="Q2" s="342" t="s">
        <v>308</v>
      </c>
      <c r="R2" s="342" t="s">
        <v>209</v>
      </c>
      <c r="S2" s="342" t="str">
        <f>AD1&amp;" Unbilled Therms reversal"</f>
        <v>May Unbilled Therms reversal</v>
      </c>
      <c r="T2" s="342" t="s">
        <v>308</v>
      </c>
      <c r="U2" s="342" t="str">
        <f>AD1&amp;" Schedule 175 Unbilled Reversal"</f>
        <v>May Schedule 175 Unbilled Reversal</v>
      </c>
      <c r="V2" s="170"/>
      <c r="W2" s="342" t="str">
        <f>"Total "&amp;AA1&amp;" Schedule 175 Revenue"</f>
        <v>Total June Schedule 175 Revenue</v>
      </c>
      <c r="X2" s="170"/>
      <c r="Y2" s="342" t="str">
        <f>"Calendar "&amp;AA1&amp;" Usage"</f>
        <v>Calendar June Usage</v>
      </c>
      <c r="Z2" s="342" t="str">
        <f>Q2</f>
        <v>11/1/2019 rate</v>
      </c>
      <c r="AA2" s="342" t="s">
        <v>210</v>
      </c>
      <c r="AB2" s="342" t="s">
        <v>211</v>
      </c>
      <c r="AC2" s="342" t="str">
        <f>"implied "&amp;AD1&amp;" unbilled/Cancel-Rebill True-up therms"</f>
        <v>implied May unbilled/Cancel-Rebill True-up therms</v>
      </c>
      <c r="AD2" s="170"/>
      <c r="AE2" s="77"/>
      <c r="AF2" s="77"/>
      <c r="AG2" s="77"/>
    </row>
    <row r="3" spans="1:33" x14ac:dyDescent="0.25">
      <c r="A3" s="177"/>
      <c r="B3" s="177"/>
      <c r="C3" s="177"/>
      <c r="D3" s="170"/>
      <c r="E3" s="170"/>
      <c r="F3" s="170"/>
      <c r="G3" s="170"/>
      <c r="H3" s="170"/>
      <c r="I3" s="170"/>
      <c r="J3" s="170"/>
      <c r="K3" s="170"/>
      <c r="L3" s="170"/>
      <c r="M3" s="170"/>
      <c r="N3" s="342"/>
      <c r="O3" s="342"/>
      <c r="P3" s="342"/>
      <c r="Q3" s="342"/>
      <c r="R3" s="342"/>
      <c r="S3" s="342"/>
      <c r="T3" s="342"/>
      <c r="U3" s="342"/>
      <c r="V3" s="170"/>
      <c r="W3" s="342"/>
      <c r="X3" s="170"/>
      <c r="Y3" s="342"/>
      <c r="Z3" s="342"/>
      <c r="AA3" s="342"/>
      <c r="AB3" s="342"/>
      <c r="AC3" s="342"/>
      <c r="AD3" s="170"/>
      <c r="AE3" s="77"/>
      <c r="AF3" s="77"/>
      <c r="AG3" s="77"/>
    </row>
    <row r="4" spans="1:33" x14ac:dyDescent="0.25">
      <c r="A4" s="178" t="s">
        <v>212</v>
      </c>
      <c r="B4" s="177"/>
      <c r="C4" s="345">
        <v>167796</v>
      </c>
      <c r="D4" s="177"/>
      <c r="E4" s="345">
        <v>4378778.7515399996</v>
      </c>
      <c r="F4" s="180">
        <v>-2676351</v>
      </c>
      <c r="G4" s="345">
        <f>1616763-G5</f>
        <v>1614587</v>
      </c>
      <c r="H4" s="181">
        <f>F4+G4</f>
        <v>-1061764</v>
      </c>
      <c r="I4" s="182">
        <f t="shared" ref="I4:I13" si="0">SUM(E4:G4)</f>
        <v>3317014.7515399996</v>
      </c>
      <c r="J4" s="170"/>
      <c r="K4" s="170"/>
      <c r="L4" s="170" t="s">
        <v>213</v>
      </c>
      <c r="M4" s="170"/>
      <c r="N4" s="183">
        <v>18421.060000000001</v>
      </c>
      <c r="O4" s="184">
        <f>E4</f>
        <v>4378778.7515399996</v>
      </c>
      <c r="P4" s="184">
        <f t="shared" ref="P4:P9" si="1">G4</f>
        <v>1614587</v>
      </c>
      <c r="Q4" s="185">
        <v>4.1999999999999997E-3</v>
      </c>
      <c r="R4" s="186">
        <f>P4*Q4</f>
        <v>6781.2653999999993</v>
      </c>
      <c r="S4" s="184">
        <f t="shared" ref="S4:S9" si="2">F4</f>
        <v>-2676351</v>
      </c>
      <c r="T4" s="185">
        <v>4.1999999999999997E-3</v>
      </c>
      <c r="U4" s="187">
        <f>S4*T4</f>
        <v>-11240.674199999999</v>
      </c>
      <c r="V4" s="170"/>
      <c r="W4" s="188">
        <f>N4+R4+U4</f>
        <v>13961.651200000002</v>
      </c>
      <c r="X4" s="170"/>
      <c r="Y4" s="189">
        <f>O4+P4+S4</f>
        <v>3317014.7515399996</v>
      </c>
      <c r="Z4" s="190">
        <f>Q4</f>
        <v>4.1999999999999997E-3</v>
      </c>
      <c r="AA4" s="191">
        <f>Y4*Z4</f>
        <v>13931.461956467998</v>
      </c>
      <c r="AB4" s="188">
        <f>W4-AA4</f>
        <v>30.189243532004184</v>
      </c>
      <c r="AC4" s="189">
        <f>AB4/T4</f>
        <v>7187.9151266676636</v>
      </c>
      <c r="AD4" s="192">
        <f t="shared" ref="AD4:AD11" si="3">AB4/W4</f>
        <v>2.1622975033213964E-3</v>
      </c>
      <c r="AE4" s="77"/>
      <c r="AF4" s="77"/>
      <c r="AG4" s="77"/>
    </row>
    <row r="5" spans="1:33" x14ac:dyDescent="0.25">
      <c r="A5" s="178" t="s">
        <v>214</v>
      </c>
      <c r="B5" s="177"/>
      <c r="C5" s="345">
        <v>213</v>
      </c>
      <c r="D5" s="177"/>
      <c r="E5" s="345">
        <v>5897.2525800000003</v>
      </c>
      <c r="F5" s="180">
        <v>-3498</v>
      </c>
      <c r="G5" s="345">
        <v>2176</v>
      </c>
      <c r="H5" s="181">
        <f t="shared" ref="H5:H13" si="4">F5+G5</f>
        <v>-1322</v>
      </c>
      <c r="I5" s="182">
        <f t="shared" si="0"/>
        <v>4575.2525800000003</v>
      </c>
      <c r="J5" s="170"/>
      <c r="K5" s="170"/>
      <c r="L5" s="170" t="s">
        <v>215</v>
      </c>
      <c r="M5" s="170"/>
      <c r="N5" s="183">
        <v>24.81</v>
      </c>
      <c r="O5" s="184">
        <f t="shared" ref="O5:O7" si="5">E5</f>
        <v>5897.2525800000003</v>
      </c>
      <c r="P5" s="184">
        <f t="shared" si="1"/>
        <v>2176</v>
      </c>
      <c r="Q5" s="185">
        <v>4.1999999999999997E-3</v>
      </c>
      <c r="R5" s="186">
        <f t="shared" ref="R5:R10" si="6">P5*Q5</f>
        <v>9.1391999999999989</v>
      </c>
      <c r="S5" s="184">
        <f t="shared" si="2"/>
        <v>-3498</v>
      </c>
      <c r="T5" s="185">
        <v>4.1999999999999997E-3</v>
      </c>
      <c r="U5" s="187">
        <f t="shared" ref="U5:U10" si="7">S5*T5</f>
        <v>-14.691599999999999</v>
      </c>
      <c r="V5" s="170"/>
      <c r="W5" s="188">
        <f t="shared" ref="W5:W10" si="8">N5+R5+U5</f>
        <v>19.257599999999996</v>
      </c>
      <c r="X5" s="170"/>
      <c r="Y5" s="189">
        <f t="shared" ref="Y5:Y10" si="9">O5+P5+S5</f>
        <v>4575.2525800000003</v>
      </c>
      <c r="Z5" s="190">
        <f t="shared" ref="Z5:Z10" si="10">Q5</f>
        <v>4.1999999999999997E-3</v>
      </c>
      <c r="AA5" s="191">
        <f t="shared" ref="AA5:AA10" si="11">Y5*Z5</f>
        <v>19.216060836</v>
      </c>
      <c r="AB5" s="188">
        <f t="shared" ref="AB5:AB10" si="12">W5-AA5</f>
        <v>4.153916399999602E-2</v>
      </c>
      <c r="AC5" s="189">
        <f t="shared" ref="AC5:AC10" si="13">AB5/T5</f>
        <v>9.8902771428561955</v>
      </c>
      <c r="AD5" s="192">
        <f t="shared" si="3"/>
        <v>2.1570270438681888E-3</v>
      </c>
      <c r="AE5" s="77"/>
      <c r="AF5" s="77"/>
      <c r="AG5" s="77"/>
    </row>
    <row r="6" spans="1:33" x14ac:dyDescent="0.25">
      <c r="A6" s="178" t="s">
        <v>216</v>
      </c>
      <c r="B6" s="177"/>
      <c r="C6" s="345">
        <v>3155</v>
      </c>
      <c r="D6" s="177"/>
      <c r="E6" s="345">
        <v>2165429.0946300002</v>
      </c>
      <c r="F6" s="180">
        <v>-1165096</v>
      </c>
      <c r="G6" s="345">
        <v>746576</v>
      </c>
      <c r="H6" s="181">
        <f t="shared" si="4"/>
        <v>-418520</v>
      </c>
      <c r="I6" s="182">
        <f>SUM(E6:G6)</f>
        <v>1746909.0946300002</v>
      </c>
      <c r="J6" s="170"/>
      <c r="K6" s="170"/>
      <c r="L6" s="170" t="s">
        <v>217</v>
      </c>
      <c r="M6" s="170"/>
      <c r="N6" s="183">
        <v>39865.589999999997</v>
      </c>
      <c r="O6" s="184">
        <f t="shared" si="5"/>
        <v>2165429.0946300002</v>
      </c>
      <c r="P6" s="184">
        <f t="shared" si="1"/>
        <v>746576</v>
      </c>
      <c r="Q6" s="193">
        <v>1.8409999999999999E-2</v>
      </c>
      <c r="R6" s="186">
        <f t="shared" si="6"/>
        <v>13744.46416</v>
      </c>
      <c r="S6" s="184">
        <f t="shared" si="2"/>
        <v>-1165096</v>
      </c>
      <c r="T6" s="185">
        <v>1.8409999999999999E-2</v>
      </c>
      <c r="U6" s="187">
        <f t="shared" si="7"/>
        <v>-21449.417359999999</v>
      </c>
      <c r="V6" s="170"/>
      <c r="W6" s="188">
        <f t="shared" si="8"/>
        <v>32160.6368</v>
      </c>
      <c r="X6" s="170"/>
      <c r="Y6" s="189">
        <f t="shared" si="9"/>
        <v>1746909.0946300002</v>
      </c>
      <c r="Z6" s="177">
        <f t="shared" si="10"/>
        <v>1.8409999999999999E-2</v>
      </c>
      <c r="AA6" s="191">
        <f t="shared" si="11"/>
        <v>32160.596432138303</v>
      </c>
      <c r="AB6" s="188">
        <f t="shared" si="12"/>
        <v>4.0367861696722684E-2</v>
      </c>
      <c r="AC6" s="189">
        <f t="shared" si="13"/>
        <v>2.192713834694334</v>
      </c>
      <c r="AD6" s="192">
        <f t="shared" si="3"/>
        <v>1.2551947260174489E-6</v>
      </c>
      <c r="AE6" s="77"/>
      <c r="AF6" s="77"/>
      <c r="AG6" s="77"/>
    </row>
    <row r="7" spans="1:33" x14ac:dyDescent="0.25">
      <c r="A7" s="178" t="s">
        <v>218</v>
      </c>
      <c r="B7" s="177"/>
      <c r="C7" s="345">
        <v>4</v>
      </c>
      <c r="D7" s="177"/>
      <c r="E7" s="345">
        <v>177714.73</v>
      </c>
      <c r="F7" s="180">
        <v>-107618</v>
      </c>
      <c r="G7" s="345">
        <v>65570</v>
      </c>
      <c r="H7" s="181">
        <f t="shared" si="4"/>
        <v>-42048</v>
      </c>
      <c r="I7" s="182">
        <f>SUM(E7:G7)</f>
        <v>135666.73000000001</v>
      </c>
      <c r="J7" s="170"/>
      <c r="K7" s="170"/>
      <c r="L7" s="170" t="s">
        <v>219</v>
      </c>
      <c r="M7" s="170"/>
      <c r="N7" s="183">
        <v>3271.73</v>
      </c>
      <c r="O7" s="184">
        <f t="shared" si="5"/>
        <v>177714.73</v>
      </c>
      <c r="P7" s="184">
        <f t="shared" si="1"/>
        <v>65570</v>
      </c>
      <c r="Q7" s="185">
        <v>1.8409999999999999E-2</v>
      </c>
      <c r="R7" s="186">
        <f t="shared" si="6"/>
        <v>1207.1436999999999</v>
      </c>
      <c r="S7" s="184">
        <f t="shared" si="2"/>
        <v>-107618</v>
      </c>
      <c r="T7" s="185">
        <v>1.8409999999999999E-2</v>
      </c>
      <c r="U7" s="187">
        <f t="shared" si="7"/>
        <v>-1981.24738</v>
      </c>
      <c r="V7" s="170"/>
      <c r="W7" s="188">
        <f t="shared" si="8"/>
        <v>2497.6263200000003</v>
      </c>
      <c r="X7" s="170"/>
      <c r="Y7" s="189">
        <f t="shared" si="9"/>
        <v>135666.73000000001</v>
      </c>
      <c r="Z7" s="190">
        <f t="shared" si="10"/>
        <v>1.8409999999999999E-2</v>
      </c>
      <c r="AA7" s="191">
        <f t="shared" si="11"/>
        <v>2497.6244993</v>
      </c>
      <c r="AB7" s="188">
        <f t="shared" si="12"/>
        <v>1.8207000002803397E-3</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193">
        <v>1.8409999999999999E-2</v>
      </c>
      <c r="R8" s="186">
        <f t="shared" si="6"/>
        <v>0</v>
      </c>
      <c r="S8" s="184">
        <f t="shared" si="2"/>
        <v>0</v>
      </c>
      <c r="T8" s="185">
        <v>1.8409999999999999E-2</v>
      </c>
      <c r="U8" s="187">
        <f t="shared" si="7"/>
        <v>0</v>
      </c>
      <c r="V8" s="170"/>
      <c r="W8" s="188">
        <f>N8+R8+U8</f>
        <v>0</v>
      </c>
      <c r="X8" s="170"/>
      <c r="Y8" s="189">
        <f t="shared" si="9"/>
        <v>0</v>
      </c>
      <c r="Z8" s="177">
        <f t="shared" si="10"/>
        <v>1.8409999999999999E-2</v>
      </c>
      <c r="AA8" s="191">
        <f t="shared" si="11"/>
        <v>0</v>
      </c>
      <c r="AB8" s="188">
        <f t="shared" si="12"/>
        <v>0</v>
      </c>
      <c r="AC8" s="189">
        <f t="shared" si="13"/>
        <v>0</v>
      </c>
      <c r="AD8" s="192" t="e">
        <f>AB8/W8</f>
        <v>#DIV/0!</v>
      </c>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185">
        <v>1.8409999999999999E-2</v>
      </c>
      <c r="R9" s="186">
        <f t="shared" si="6"/>
        <v>0</v>
      </c>
      <c r="S9" s="184">
        <f t="shared" si="2"/>
        <v>0</v>
      </c>
      <c r="T9" s="185">
        <v>1.8409999999999999E-2</v>
      </c>
      <c r="U9" s="187">
        <f t="shared" si="7"/>
        <v>0</v>
      </c>
      <c r="V9" s="170"/>
      <c r="W9" s="188">
        <f>N9+R9+U9</f>
        <v>0</v>
      </c>
      <c r="X9" s="170"/>
      <c r="Y9" s="189">
        <f t="shared" si="9"/>
        <v>0</v>
      </c>
      <c r="Z9" s="190">
        <f t="shared" si="10"/>
        <v>1.8409999999999999E-2</v>
      </c>
      <c r="AA9" s="191">
        <f t="shared" si="11"/>
        <v>0</v>
      </c>
      <c r="AB9" s="188">
        <f t="shared" si="12"/>
        <v>0</v>
      </c>
      <c r="AC9" s="189"/>
      <c r="AD9" s="192"/>
      <c r="AE9" s="77"/>
      <c r="AF9" s="77"/>
      <c r="AG9" s="77"/>
    </row>
    <row r="10" spans="1:33" x14ac:dyDescent="0.25">
      <c r="A10" s="178" t="s">
        <v>223</v>
      </c>
      <c r="B10" s="177"/>
      <c r="C10" s="345">
        <v>2</v>
      </c>
      <c r="D10" s="177"/>
      <c r="E10" s="345">
        <v>59164.828000000001</v>
      </c>
      <c r="F10" s="180"/>
      <c r="G10" s="345"/>
      <c r="H10" s="181">
        <f t="shared" si="4"/>
        <v>0</v>
      </c>
      <c r="I10" s="182">
        <f t="shared" si="0"/>
        <v>59164.828000000001</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345">
        <v>37</v>
      </c>
      <c r="D11" s="177"/>
      <c r="E11" s="345">
        <v>1747634</v>
      </c>
      <c r="F11" s="180">
        <v>-1753831</v>
      </c>
      <c r="G11" s="345">
        <v>1819391</v>
      </c>
      <c r="H11" s="181">
        <f t="shared" si="4"/>
        <v>65560</v>
      </c>
      <c r="I11" s="182">
        <f t="shared" si="0"/>
        <v>1813194</v>
      </c>
      <c r="J11" s="170"/>
      <c r="K11" s="170"/>
      <c r="L11" s="170"/>
      <c r="M11" s="170"/>
      <c r="N11" s="194">
        <f>SUM(N4:N10)</f>
        <v>61583.19</v>
      </c>
      <c r="O11" s="195">
        <f>SUM(O4:O10)</f>
        <v>6727819.8287500003</v>
      </c>
      <c r="P11" s="195">
        <f>SUM(P4:P10)</f>
        <v>2428909</v>
      </c>
      <c r="Q11" s="170"/>
      <c r="R11" s="194">
        <f>SUM(R4:R10)</f>
        <v>21742.012459999998</v>
      </c>
      <c r="S11" s="195">
        <f>SUM(S4:S10)</f>
        <v>-3952563</v>
      </c>
      <c r="T11" s="196"/>
      <c r="U11" s="194">
        <f>SUM(U4:U10)</f>
        <v>-34686.03054</v>
      </c>
      <c r="V11" s="170"/>
      <c r="W11" s="194">
        <f>SUM(W4:W10)</f>
        <v>48639.171920000008</v>
      </c>
      <c r="X11" s="170"/>
      <c r="Y11" s="197">
        <f>SUM(Y4:Y10)</f>
        <v>5204165.8287500003</v>
      </c>
      <c r="Z11" s="170"/>
      <c r="AA11" s="197">
        <f>SUM(AA4:AA10)</f>
        <v>48608.898948742302</v>
      </c>
      <c r="AB11" s="194">
        <f>SUM(AB4:AB10)</f>
        <v>30.272971257701183</v>
      </c>
      <c r="AC11" s="197">
        <f>SUM(AC4:AC10)</f>
        <v>7199.9981176452147</v>
      </c>
      <c r="AD11" s="192">
        <f t="shared" si="3"/>
        <v>6.2239898548217668E-4</v>
      </c>
      <c r="AE11" s="77"/>
      <c r="AF11" s="77"/>
      <c r="AG11" s="77"/>
    </row>
    <row r="12" spans="1:33" x14ac:dyDescent="0.25">
      <c r="A12" s="178" t="s">
        <v>226</v>
      </c>
      <c r="B12" s="177"/>
      <c r="C12" s="345">
        <v>1</v>
      </c>
      <c r="D12" s="177"/>
      <c r="E12" s="345">
        <v>73447</v>
      </c>
      <c r="F12" s="180"/>
      <c r="G12" s="345"/>
      <c r="H12" s="181">
        <f t="shared" si="4"/>
        <v>0</v>
      </c>
      <c r="I12" s="182">
        <f t="shared" si="0"/>
        <v>73447</v>
      </c>
      <c r="J12" s="170"/>
      <c r="K12" s="170"/>
      <c r="L12" s="170"/>
      <c r="M12" s="170"/>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3381243</v>
      </c>
      <c r="F13" s="180">
        <v>-3380943</v>
      </c>
      <c r="G13" s="345">
        <v>2904282</v>
      </c>
      <c r="H13" s="181">
        <f t="shared" si="4"/>
        <v>-476661</v>
      </c>
      <c r="I13" s="182">
        <f t="shared" si="0"/>
        <v>2904582</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171213</v>
      </c>
      <c r="D14" s="170"/>
      <c r="E14" s="201">
        <f>SUM(E4:E13)</f>
        <v>11989308.656750001</v>
      </c>
      <c r="F14" s="201">
        <f>SUM(F4:F13)</f>
        <v>-9087337</v>
      </c>
      <c r="G14" s="201">
        <f>SUM(G4:G13)</f>
        <v>7152582</v>
      </c>
      <c r="H14" s="201">
        <f>SUM(H4:H13)</f>
        <v>-1934755</v>
      </c>
      <c r="I14" s="201">
        <f t="shared" ref="I14" si="14">SUM(I4:I13)</f>
        <v>10054553.656750001</v>
      </c>
      <c r="J14" s="170"/>
      <c r="K14" s="170"/>
      <c r="L14" s="170"/>
      <c r="M14" s="170"/>
      <c r="N14" s="170"/>
      <c r="O14" s="170"/>
      <c r="P14" s="170"/>
      <c r="Q14" s="170"/>
      <c r="R14" s="170"/>
      <c r="S14" s="170" t="s">
        <v>181</v>
      </c>
      <c r="T14" s="170" t="s">
        <v>232</v>
      </c>
      <c r="U14" s="170"/>
      <c r="V14" s="282" t="s">
        <v>343</v>
      </c>
      <c r="W14" s="202">
        <f>ROUND((W4+W5)*W13,2)</f>
        <v>13363.58</v>
      </c>
      <c r="X14" s="170"/>
      <c r="Y14" s="170" t="s">
        <v>28</v>
      </c>
      <c r="Z14" s="181">
        <f>O4+O5+P4+P5+S4+S5</f>
        <v>3321590.0041199997</v>
      </c>
      <c r="AA14" s="190">
        <v>4.0099999999999997E-3</v>
      </c>
      <c r="AB14" s="188">
        <f>Z14*AA14</f>
        <v>13319.575916521198</v>
      </c>
      <c r="AC14" s="188">
        <f>W14-AB14</f>
        <v>44.004083478801476</v>
      </c>
      <c r="AD14" s="192">
        <f>AC14/W14</f>
        <v>3.2928364613974306E-3</v>
      </c>
      <c r="AE14" s="77"/>
      <c r="AF14" s="77"/>
      <c r="AG14" s="77"/>
    </row>
    <row r="15" spans="1:33" ht="15.75" thickBot="1" x14ac:dyDescent="0.3">
      <c r="A15" s="282"/>
      <c r="B15" s="177"/>
      <c r="C15" s="282" t="s">
        <v>343</v>
      </c>
      <c r="D15" s="170"/>
      <c r="E15" s="282" t="s">
        <v>343</v>
      </c>
      <c r="F15" s="282" t="s">
        <v>343</v>
      </c>
      <c r="G15" s="282" t="s">
        <v>343</v>
      </c>
      <c r="H15" s="282" t="s">
        <v>343</v>
      </c>
      <c r="I15" s="177"/>
      <c r="J15" s="170"/>
      <c r="K15" s="170"/>
      <c r="L15" s="170"/>
      <c r="M15" s="170"/>
      <c r="N15" s="170"/>
      <c r="O15" s="170"/>
      <c r="P15" s="170"/>
      <c r="Q15" s="170"/>
      <c r="R15" s="170"/>
      <c r="S15" s="170" t="s">
        <v>181</v>
      </c>
      <c r="T15" s="170" t="s">
        <v>233</v>
      </c>
      <c r="U15" s="170"/>
      <c r="V15" s="282" t="s">
        <v>343</v>
      </c>
      <c r="W15" s="202">
        <f>ROUND(SUM(W6:W10)*W13,2)</f>
        <v>33127.93</v>
      </c>
      <c r="X15" s="170"/>
      <c r="Y15" s="170" t="s">
        <v>234</v>
      </c>
      <c r="Z15" s="181">
        <f>SUM(O6:P10,S6:S10)</f>
        <v>1882575.8246300002</v>
      </c>
      <c r="AA15" s="190">
        <v>1.7600000000000001E-2</v>
      </c>
      <c r="AB15" s="188">
        <f>(Z15)*AA15</f>
        <v>33133.334513488007</v>
      </c>
      <c r="AC15" s="188">
        <f>W15-AB15</f>
        <v>-5.4045134880070691</v>
      </c>
      <c r="AD15" s="192">
        <f>AC15/W15</f>
        <v>-1.6314069391015583E-4</v>
      </c>
      <c r="AE15" s="77"/>
      <c r="AF15" s="77"/>
      <c r="AG15" s="77"/>
    </row>
    <row r="16" spans="1:33" x14ac:dyDescent="0.25">
      <c r="A16" s="177" t="s">
        <v>28</v>
      </c>
      <c r="B16" s="282" t="s">
        <v>343</v>
      </c>
      <c r="C16" s="203">
        <f>C4+C5</f>
        <v>168009</v>
      </c>
      <c r="D16" s="170"/>
      <c r="E16" s="204">
        <f>E4+E5</f>
        <v>4384676.0041199997</v>
      </c>
      <c r="F16" s="204">
        <f t="shared" ref="F16:H16" si="15">F4+F5</f>
        <v>-2679849</v>
      </c>
      <c r="G16" s="204">
        <f t="shared" si="15"/>
        <v>1616763</v>
      </c>
      <c r="H16" s="204">
        <f t="shared" si="15"/>
        <v>-1063086</v>
      </c>
      <c r="I16" s="203">
        <f>I4+I5</f>
        <v>3321590.0041199997</v>
      </c>
      <c r="J16" s="349" t="s">
        <v>343</v>
      </c>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-12944.018080000002</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t="s">
        <v>343</v>
      </c>
      <c r="C18" s="207">
        <f>SUM(C6:C9)</f>
        <v>3159</v>
      </c>
      <c r="D18" s="170"/>
      <c r="E18" s="208">
        <f>SUM(E6:E9)</f>
        <v>2343143.8246300002</v>
      </c>
      <c r="F18" s="208">
        <f t="shared" ref="F18:H18" si="16">SUM(F6:F9)</f>
        <v>-1272714</v>
      </c>
      <c r="G18" s="208">
        <f>SUM(G6:G9)</f>
        <v>812146</v>
      </c>
      <c r="H18" s="208">
        <f t="shared" si="16"/>
        <v>-460568</v>
      </c>
      <c r="I18" s="207">
        <f>SUM(I6:I9)</f>
        <v>1882575.8246300002</v>
      </c>
      <c r="J18" s="349" t="s">
        <v>343</v>
      </c>
      <c r="K18" s="170"/>
      <c r="L18" s="170"/>
      <c r="M18" s="170"/>
      <c r="N18" s="170"/>
      <c r="O18" s="170"/>
      <c r="P18" s="170"/>
      <c r="Q18" s="170"/>
      <c r="R18" s="188">
        <f>E64</f>
        <v>-12944.01808</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43"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1621861.5</v>
      </c>
      <c r="D22" s="183">
        <v>3461130.4</v>
      </c>
      <c r="E22" s="183">
        <v>-2714100.840339249</v>
      </c>
      <c r="F22" s="183">
        <f>1930740-F23</f>
        <v>1930235.2612051764</v>
      </c>
      <c r="G22" s="211">
        <f>SUM(D22:F22)</f>
        <v>2677264.8208659273</v>
      </c>
      <c r="H22" s="188">
        <f t="shared" ref="H22:H31" si="17">-J54</f>
        <v>319336.14064000006</v>
      </c>
      <c r="I22" s="188">
        <f t="shared" ref="I22:I31" si="18">G22+H22</f>
        <v>2996600.9615059271</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2023.5</v>
      </c>
      <c r="D23" s="183">
        <v>4476.03</v>
      </c>
      <c r="E23" s="183">
        <v>-806.15966075107235</v>
      </c>
      <c r="F23" s="183">
        <f>G5*(K23-C23)/E5</f>
        <v>504.73879482367357</v>
      </c>
      <c r="G23" s="211">
        <f>SUM(D23:F23)</f>
        <v>4174.6091340726007</v>
      </c>
      <c r="H23" s="188">
        <f t="shared" si="17"/>
        <v>-243.15546000000001</v>
      </c>
      <c r="I23" s="188">
        <f t="shared" si="18"/>
        <v>3931.4536740726007</v>
      </c>
      <c r="J23" s="170"/>
      <c r="K23" s="183">
        <v>3391.41</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340063.61</v>
      </c>
      <c r="D24" s="183">
        <v>856906.09</v>
      </c>
      <c r="E24" s="183">
        <v>-663068</v>
      </c>
      <c r="F24" s="183">
        <v>424884</v>
      </c>
      <c r="G24" s="211">
        <f>SUM(D24:F24)</f>
        <v>618722.09</v>
      </c>
      <c r="H24" s="188">
        <f t="shared" si="17"/>
        <v>127058.48679999998</v>
      </c>
      <c r="I24" s="188">
        <f t="shared" si="18"/>
        <v>745780.57679999992</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430.23</v>
      </c>
      <c r="D25" s="183">
        <v>35331.86</v>
      </c>
      <c r="E25" s="183">
        <v>-60079</v>
      </c>
      <c r="F25" s="183">
        <v>36605</v>
      </c>
      <c r="G25" s="211">
        <f>SUM(D25:F25)</f>
        <v>11857.86</v>
      </c>
      <c r="H25" s="188">
        <f t="shared" si="17"/>
        <v>12309.131519999999</v>
      </c>
      <c r="I25" s="188">
        <f>G25+H25</f>
        <v>24166.99152</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13773.07</v>
      </c>
      <c r="E28" s="183"/>
      <c r="F28" s="183"/>
      <c r="G28" s="211">
        <f t="shared" si="19"/>
        <v>13773.07</v>
      </c>
      <c r="H28" s="188">
        <f t="shared" si="17"/>
        <v>0</v>
      </c>
      <c r="I28" s="188">
        <f t="shared" si="18"/>
        <v>13773.07</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23125</v>
      </c>
      <c r="D29" s="183">
        <v>188155.92</v>
      </c>
      <c r="E29" s="183">
        <v>-156179</v>
      </c>
      <c r="F29" s="183">
        <v>162017</v>
      </c>
      <c r="G29" s="211">
        <f t="shared" si="19"/>
        <v>193993.92</v>
      </c>
      <c r="H29" s="188">
        <f t="shared" si="17"/>
        <v>129.80880000000002</v>
      </c>
      <c r="I29" s="188">
        <f t="shared" si="18"/>
        <v>194123.72880000001</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1535.78</v>
      </c>
      <c r="E30" s="183"/>
      <c r="F30" s="183"/>
      <c r="G30" s="211">
        <f t="shared" si="19"/>
        <v>1535.78</v>
      </c>
      <c r="H30" s="188">
        <f t="shared" si="17"/>
        <v>0</v>
      </c>
      <c r="I30" s="188">
        <f t="shared" si="18"/>
        <v>1535.78</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86194.01</v>
      </c>
      <c r="E31" s="183">
        <v>-70696</v>
      </c>
      <c r="F31" s="183">
        <v>60729</v>
      </c>
      <c r="G31" s="211">
        <f t="shared" si="19"/>
        <v>76227.009999999995</v>
      </c>
      <c r="H31" s="188">
        <f t="shared" si="17"/>
        <v>0</v>
      </c>
      <c r="I31" s="188">
        <f t="shared" si="18"/>
        <v>76227.009999999995</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2036063.25</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235461.98</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1988503.8399999999</v>
      </c>
      <c r="D34" s="213">
        <f>SUM(D22:D33)</f>
        <v>6919028.3900000006</v>
      </c>
      <c r="E34" s="213">
        <f>SUM(E22:E33)</f>
        <v>-3664929</v>
      </c>
      <c r="F34" s="213">
        <f>SUM(F22:F33)</f>
        <v>2614975</v>
      </c>
      <c r="G34" s="213">
        <f t="shared" ref="G34:I34" si="20">SUM(G22:G33)</f>
        <v>3597549.1599999988</v>
      </c>
      <c r="H34" s="213">
        <f t="shared" si="20"/>
        <v>458590.41230000003</v>
      </c>
      <c r="I34" s="213">
        <f t="shared" si="20"/>
        <v>4056139.5722999992</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t="s">
        <v>343</v>
      </c>
      <c r="C36" s="215">
        <f>C22+C23</f>
        <v>1623885</v>
      </c>
      <c r="D36" s="186">
        <f>D22+D23</f>
        <v>3465606.4299999997</v>
      </c>
      <c r="E36" s="186">
        <f t="shared" ref="E36:H36" si="21">E22+E23</f>
        <v>-2714907</v>
      </c>
      <c r="F36" s="186">
        <f t="shared" si="21"/>
        <v>1930740</v>
      </c>
      <c r="G36" s="186">
        <f t="shared" si="21"/>
        <v>2681439.4299999997</v>
      </c>
      <c r="H36" s="186">
        <f t="shared" si="21"/>
        <v>319092.98518000008</v>
      </c>
      <c r="I36" s="215">
        <f>I22+I23</f>
        <v>3000532.4151799995</v>
      </c>
      <c r="J36" s="349" t="s">
        <v>343</v>
      </c>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t="s">
        <v>343</v>
      </c>
      <c r="C38" s="218">
        <f>SUM(C24:C27)</f>
        <v>340493.83999999997</v>
      </c>
      <c r="D38" s="219">
        <f>SUM(D24:D27)</f>
        <v>892237.95</v>
      </c>
      <c r="E38" s="219">
        <f t="shared" ref="E38:F38" si="22">SUM(E24:E27)</f>
        <v>-723147</v>
      </c>
      <c r="F38" s="219">
        <f t="shared" si="22"/>
        <v>461489</v>
      </c>
      <c r="G38" s="219">
        <f>SUM(G24:G27)</f>
        <v>630579.94999999995</v>
      </c>
      <c r="H38" s="219">
        <f>SUM(H24:H27)</f>
        <v>139367.61831999998</v>
      </c>
      <c r="I38" s="218">
        <f>SUM(I24:I27)</f>
        <v>769947.56831999996</v>
      </c>
      <c r="J38" s="349" t="s">
        <v>343</v>
      </c>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c r="B40" s="170"/>
      <c r="C40" s="221">
        <v>43770</v>
      </c>
      <c r="D40" s="221">
        <v>43770</v>
      </c>
      <c r="E40" s="221">
        <v>43770</v>
      </c>
      <c r="F40" s="221">
        <v>43739</v>
      </c>
      <c r="G40" s="221">
        <v>43344</v>
      </c>
      <c r="H40" s="221">
        <v>43922</v>
      </c>
      <c r="I40" s="324" t="s">
        <v>375</v>
      </c>
      <c r="J40" s="324"/>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23" t="s">
        <v>364</v>
      </c>
      <c r="J41" s="344"/>
      <c r="K41" s="344"/>
      <c r="L41" s="344"/>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2.1899999999999999E-2</v>
      </c>
      <c r="I42" s="224">
        <v>-2.1409999999999998E-2</v>
      </c>
      <c r="J42" s="224"/>
      <c r="K42" s="224"/>
      <c r="L42" s="224"/>
      <c r="N42" s="225">
        <f>SUM(C42:I42)</f>
        <v>0.30076000000000003</v>
      </c>
      <c r="O42" s="225">
        <f>SUM(C42:I42)</f>
        <v>0.30076000000000003</v>
      </c>
      <c r="P42" s="191">
        <f t="shared" ref="P42:P51" si="23">N42*G4</f>
        <v>485603.18612000003</v>
      </c>
      <c r="Q42" s="226">
        <f t="shared" ref="Q42:Q51" si="24">-F4*O42</f>
        <v>804939.32676000008</v>
      </c>
      <c r="R42" s="191">
        <f>P42-Q42</f>
        <v>-319336.14064000006</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f>H42</f>
        <v>2.1899999999999999E-2</v>
      </c>
      <c r="I43" s="224">
        <f>I42</f>
        <v>-2.1409999999999998E-2</v>
      </c>
      <c r="J43" s="224"/>
      <c r="K43" s="224"/>
      <c r="L43" s="224"/>
      <c r="N43" s="225">
        <f t="shared" ref="N43:N51" si="25">SUM(C43:I43)</f>
        <v>-0.18392999999999998</v>
      </c>
      <c r="O43" s="225">
        <f t="shared" ref="O43:O51" si="26">SUM(C43:I43)</f>
        <v>-0.18392999999999998</v>
      </c>
      <c r="P43" s="191">
        <f t="shared" si="23"/>
        <v>-400.23167999999998</v>
      </c>
      <c r="Q43" s="226">
        <f t="shared" si="24"/>
        <v>-643.38713999999993</v>
      </c>
      <c r="R43" s="191">
        <f t="shared" ref="R43:R51" si="27">P43-Q43</f>
        <v>243.15545999999995</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1.8360000000000001E-2</v>
      </c>
      <c r="I44" s="224">
        <v>-1.21E-2</v>
      </c>
      <c r="J44" s="224"/>
      <c r="K44" s="224"/>
      <c r="L44" s="224"/>
      <c r="N44" s="225">
        <f t="shared" si="25"/>
        <v>0.30358999999999997</v>
      </c>
      <c r="O44" s="225">
        <f t="shared" si="26"/>
        <v>0.30358999999999997</v>
      </c>
      <c r="P44" s="191">
        <f t="shared" si="23"/>
        <v>226653.00783999998</v>
      </c>
      <c r="Q44" s="226">
        <f t="shared" si="24"/>
        <v>353711.49463999999</v>
      </c>
      <c r="R44" s="191">
        <f t="shared" si="27"/>
        <v>-127058.48680000001</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f>H44</f>
        <v>1.8360000000000001E-2</v>
      </c>
      <c r="I45" s="224">
        <f>I44</f>
        <v>-1.21E-2</v>
      </c>
      <c r="J45" s="224"/>
      <c r="K45" s="224"/>
      <c r="L45" s="224"/>
      <c r="N45" s="225">
        <f t="shared" si="25"/>
        <v>0.29273999999999994</v>
      </c>
      <c r="O45" s="225">
        <f t="shared" si="26"/>
        <v>0.29273999999999994</v>
      </c>
      <c r="P45" s="191">
        <f t="shared" si="23"/>
        <v>19194.961799999997</v>
      </c>
      <c r="Q45" s="226">
        <f t="shared" si="24"/>
        <v>31504.093319999993</v>
      </c>
      <c r="R45" s="191">
        <f t="shared" si="27"/>
        <v>-12309.131519999995</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f t="shared" ref="H46:I47" si="28">H45</f>
        <v>1.8360000000000001E-2</v>
      </c>
      <c r="I46" s="224">
        <f t="shared" si="28"/>
        <v>-1.21E-2</v>
      </c>
      <c r="J46" s="224"/>
      <c r="K46" s="224"/>
      <c r="L46" s="224"/>
      <c r="N46" s="225">
        <f t="shared" si="25"/>
        <v>0.30008999999999997</v>
      </c>
      <c r="O46" s="225">
        <f t="shared" si="26"/>
        <v>0.30008999999999997</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f t="shared" si="28"/>
        <v>1.8360000000000001E-2</v>
      </c>
      <c r="I47" s="224">
        <f t="shared" si="28"/>
        <v>-1.21E-2</v>
      </c>
      <c r="J47" s="224"/>
      <c r="K47" s="224"/>
      <c r="L47" s="224"/>
      <c r="N47" s="225">
        <f t="shared" si="25"/>
        <v>0.28923999999999994</v>
      </c>
      <c r="O47" s="225">
        <f t="shared" si="26"/>
        <v>0.28923999999999994</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c r="K48" s="224"/>
      <c r="L48" s="224"/>
      <c r="N48" s="225">
        <f t="shared" si="25"/>
        <v>0.23843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c r="K49" s="224"/>
      <c r="L49" s="224"/>
      <c r="N49" s="225">
        <f t="shared" si="25"/>
        <v>-1.98E-3</v>
      </c>
      <c r="O49" s="225">
        <f t="shared" si="26"/>
        <v>-1.98E-3</v>
      </c>
      <c r="P49" s="191">
        <f t="shared" si="23"/>
        <v>-3602.3941799999998</v>
      </c>
      <c r="Q49" s="226">
        <f t="shared" si="24"/>
        <v>-3472.58538</v>
      </c>
      <c r="R49" s="191">
        <f t="shared" si="27"/>
        <v>-129.80879999999979</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727448.52990000008</v>
      </c>
      <c r="Q52" s="227">
        <f>SUM(Q42:Q51)</f>
        <v>1186038.9421999999</v>
      </c>
      <c r="R52" s="227">
        <f>SUM(R42:R51)</f>
        <v>-458590.41230000008</v>
      </c>
      <c r="U52" s="170"/>
      <c r="V52" s="170"/>
      <c r="W52" s="170"/>
      <c r="X52" s="170"/>
      <c r="Y52" s="170"/>
      <c r="Z52" s="170"/>
      <c r="AA52" s="170"/>
      <c r="AB52" s="170"/>
      <c r="AC52" s="170"/>
      <c r="AD52" s="170"/>
      <c r="AE52" s="77"/>
      <c r="AF52" s="77"/>
      <c r="AG52" s="77"/>
    </row>
    <row r="53" spans="1:33" ht="42" customHeight="1" x14ac:dyDescent="0.25">
      <c r="A53" s="222" t="s">
        <v>255</v>
      </c>
      <c r="B53" s="174"/>
      <c r="C53" s="343" t="s">
        <v>256</v>
      </c>
      <c r="D53" s="343" t="s">
        <v>257</v>
      </c>
      <c r="E53" s="343" t="s">
        <v>248</v>
      </c>
      <c r="F53" s="343" t="s">
        <v>258</v>
      </c>
      <c r="G53" s="343" t="s">
        <v>259</v>
      </c>
      <c r="H53" s="343" t="s">
        <v>260</v>
      </c>
      <c r="I53" s="343" t="s">
        <v>366</v>
      </c>
      <c r="J53" s="343" t="s">
        <v>261</v>
      </c>
      <c r="M53" s="170"/>
      <c r="N53" s="170"/>
      <c r="O53" s="170"/>
      <c r="Q53" s="262">
        <f>'05.2020 Base Rate Revenue'!P52</f>
        <v>1186038.9421999999</v>
      </c>
      <c r="R53" s="188">
        <f>J64</f>
        <v>-458590.41230000003</v>
      </c>
      <c r="U53" s="170"/>
      <c r="V53" s="170"/>
      <c r="W53" s="170"/>
      <c r="X53" s="170"/>
      <c r="Y53" s="170"/>
      <c r="Z53" s="170"/>
      <c r="AA53" s="170"/>
      <c r="AB53" s="170"/>
      <c r="AC53" s="170"/>
      <c r="AD53" s="77"/>
      <c r="AE53" s="77"/>
      <c r="AF53" s="77"/>
    </row>
    <row r="54" spans="1:33" x14ac:dyDescent="0.25">
      <c r="A54" s="178" t="s">
        <v>212</v>
      </c>
      <c r="B54" s="170"/>
      <c r="C54" s="186">
        <f>C42*$H4</f>
        <v>-277651.28600000002</v>
      </c>
      <c r="D54" s="186">
        <f t="shared" ref="D54:E54" si="29">D42*$H4</f>
        <v>-4554.96756</v>
      </c>
      <c r="E54" s="186">
        <f t="shared" si="29"/>
        <v>-4459.4088000000002</v>
      </c>
      <c r="F54" s="186">
        <f>F42*$H4</f>
        <v>0</v>
      </c>
      <c r="G54" s="186">
        <f t="shared" ref="G54:I54" si="30">G42*$H4</f>
        <v>-32150.213920000002</v>
      </c>
      <c r="H54" s="186">
        <f t="shared" si="30"/>
        <v>-23252.631600000001</v>
      </c>
      <c r="I54" s="186">
        <f t="shared" si="30"/>
        <v>22732.36724</v>
      </c>
      <c r="J54" s="186">
        <f>SUM(C54:I54)</f>
        <v>-319336.14064000006</v>
      </c>
      <c r="M54" s="170"/>
      <c r="N54" s="191"/>
      <c r="O54" s="170"/>
      <c r="P54" s="170"/>
      <c r="R54" s="191">
        <f>R52-R53</f>
        <v>0</v>
      </c>
      <c r="U54" s="170"/>
      <c r="V54" s="170"/>
      <c r="W54" s="170"/>
      <c r="X54" s="170"/>
      <c r="Y54" s="170"/>
      <c r="Z54" s="170"/>
      <c r="AA54" s="170"/>
      <c r="AB54" s="170"/>
      <c r="AC54" s="170"/>
      <c r="AD54" s="77"/>
      <c r="AE54" s="77"/>
      <c r="AF54" s="77"/>
    </row>
    <row r="55" spans="1:33" x14ac:dyDescent="0.25">
      <c r="A55" s="178" t="s">
        <v>214</v>
      </c>
      <c r="B55" s="170"/>
      <c r="C55" s="186">
        <f t="shared" ref="C55:I63" si="31">C43*$H5</f>
        <v>-345.70300000000003</v>
      </c>
      <c r="D55" s="186">
        <f t="shared" si="31"/>
        <v>-5.671380000000001</v>
      </c>
      <c r="E55" s="186">
        <f t="shared" si="31"/>
        <v>-5.5523999999999996</v>
      </c>
      <c r="F55" s="186">
        <f t="shared" si="31"/>
        <v>640.76017999999999</v>
      </c>
      <c r="G55" s="186">
        <f t="shared" si="31"/>
        <v>-40.030160000000002</v>
      </c>
      <c r="H55" s="186">
        <f t="shared" si="31"/>
        <v>-28.951799999999999</v>
      </c>
      <c r="I55" s="186">
        <f t="shared" si="31"/>
        <v>28.304019999999998</v>
      </c>
      <c r="J55" s="186">
        <f t="shared" ref="J55:J63" si="32">SUM(C55:I55)</f>
        <v>243.15546000000001</v>
      </c>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1"/>
        <v>-105387.52119999999</v>
      </c>
      <c r="D56" s="186">
        <f t="shared" si="31"/>
        <v>-4540.942</v>
      </c>
      <c r="E56" s="186">
        <f t="shared" si="31"/>
        <v>-7704.9531999999999</v>
      </c>
      <c r="F56" s="186">
        <f t="shared" si="31"/>
        <v>0</v>
      </c>
      <c r="G56" s="186">
        <f t="shared" si="31"/>
        <v>-6805.1351999999997</v>
      </c>
      <c r="H56" s="186">
        <f t="shared" si="31"/>
        <v>-7684.0272000000004</v>
      </c>
      <c r="I56" s="186">
        <f t="shared" si="31"/>
        <v>5064.0919999999996</v>
      </c>
      <c r="J56" s="186">
        <f t="shared" si="32"/>
        <v>-127058.48679999998</v>
      </c>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1"/>
        <v>-10588.106879999999</v>
      </c>
      <c r="D57" s="186">
        <f t="shared" si="31"/>
        <v>0</v>
      </c>
      <c r="E57" s="186">
        <f t="shared" si="31"/>
        <v>-774.10367999999994</v>
      </c>
      <c r="F57" s="186">
        <f t="shared" si="31"/>
        <v>0</v>
      </c>
      <c r="G57" s="186">
        <f t="shared" si="31"/>
        <v>-683.70047999999997</v>
      </c>
      <c r="H57" s="186">
        <f t="shared" si="31"/>
        <v>-772.00128000000007</v>
      </c>
      <c r="I57" s="186">
        <f t="shared" si="31"/>
        <v>508.7808</v>
      </c>
      <c r="J57" s="186">
        <f t="shared" si="32"/>
        <v>-12309.131519999999</v>
      </c>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1"/>
        <v>0</v>
      </c>
      <c r="D58" s="186">
        <f t="shared" si="31"/>
        <v>0</v>
      </c>
      <c r="E58" s="186">
        <f t="shared" si="31"/>
        <v>0</v>
      </c>
      <c r="F58" s="186">
        <f t="shared" si="31"/>
        <v>0</v>
      </c>
      <c r="G58" s="186">
        <f t="shared" si="31"/>
        <v>0</v>
      </c>
      <c r="H58" s="186">
        <f t="shared" si="31"/>
        <v>0</v>
      </c>
      <c r="I58" s="186">
        <f t="shared" si="31"/>
        <v>0</v>
      </c>
      <c r="J58" s="186">
        <f t="shared" si="32"/>
        <v>0</v>
      </c>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1"/>
        <v>0</v>
      </c>
      <c r="D59" s="186">
        <f t="shared" si="31"/>
        <v>0</v>
      </c>
      <c r="E59" s="186">
        <f t="shared" si="31"/>
        <v>0</v>
      </c>
      <c r="F59" s="186">
        <f t="shared" si="31"/>
        <v>0</v>
      </c>
      <c r="G59" s="186">
        <f t="shared" si="31"/>
        <v>0</v>
      </c>
      <c r="H59" s="186">
        <f t="shared" si="31"/>
        <v>0</v>
      </c>
      <c r="I59" s="186">
        <f t="shared" si="31"/>
        <v>0</v>
      </c>
      <c r="J59" s="186">
        <f t="shared" si="32"/>
        <v>0</v>
      </c>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1"/>
        <v>0</v>
      </c>
      <c r="D60" s="186">
        <f t="shared" si="31"/>
        <v>0</v>
      </c>
      <c r="E60" s="186">
        <f t="shared" si="31"/>
        <v>0</v>
      </c>
      <c r="F60" s="186">
        <f t="shared" si="31"/>
        <v>0</v>
      </c>
      <c r="G60" s="186">
        <f t="shared" si="31"/>
        <v>0</v>
      </c>
      <c r="H60" s="186">
        <f t="shared" si="31"/>
        <v>0</v>
      </c>
      <c r="I60" s="186">
        <f t="shared" si="31"/>
        <v>0</v>
      </c>
      <c r="J60" s="186">
        <f t="shared" si="32"/>
        <v>0</v>
      </c>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1"/>
        <v>36.7136</v>
      </c>
      <c r="D61" s="186">
        <f t="shared" si="31"/>
        <v>0</v>
      </c>
      <c r="E61" s="186">
        <f t="shared" si="31"/>
        <v>0</v>
      </c>
      <c r="F61" s="186">
        <f t="shared" si="31"/>
        <v>0</v>
      </c>
      <c r="G61" s="186">
        <f t="shared" si="31"/>
        <v>0</v>
      </c>
      <c r="H61" s="186">
        <f t="shared" si="31"/>
        <v>64.904399999999995</v>
      </c>
      <c r="I61" s="186">
        <f t="shared" si="31"/>
        <v>-231.42680000000001</v>
      </c>
      <c r="J61" s="186">
        <f t="shared" si="32"/>
        <v>-129.80880000000002</v>
      </c>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1"/>
        <v>0</v>
      </c>
      <c r="D62" s="186">
        <f t="shared" si="31"/>
        <v>0</v>
      </c>
      <c r="E62" s="186">
        <f t="shared" si="31"/>
        <v>0</v>
      </c>
      <c r="F62" s="186">
        <f t="shared" si="31"/>
        <v>0</v>
      </c>
      <c r="G62" s="186">
        <f t="shared" si="31"/>
        <v>0</v>
      </c>
      <c r="H62" s="186">
        <f t="shared" si="31"/>
        <v>0</v>
      </c>
      <c r="I62" s="186">
        <f t="shared" si="31"/>
        <v>0</v>
      </c>
      <c r="J62" s="186">
        <f t="shared" si="32"/>
        <v>0</v>
      </c>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1"/>
        <v>0</v>
      </c>
      <c r="D63" s="186">
        <f t="shared" si="31"/>
        <v>0</v>
      </c>
      <c r="E63" s="186">
        <f t="shared" si="31"/>
        <v>0</v>
      </c>
      <c r="F63" s="186">
        <f t="shared" si="31"/>
        <v>0</v>
      </c>
      <c r="G63" s="186">
        <f t="shared" si="31"/>
        <v>0</v>
      </c>
      <c r="H63" s="186">
        <f t="shared" si="31"/>
        <v>0</v>
      </c>
      <c r="I63" s="186">
        <f t="shared" si="31"/>
        <v>0</v>
      </c>
      <c r="J63" s="186">
        <f t="shared" si="32"/>
        <v>0</v>
      </c>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-393935.90347999998</v>
      </c>
      <c r="D64" s="194">
        <f t="shared" ref="D64:I64" si="33">SUM(D54:D63)</f>
        <v>-9101.5809399999998</v>
      </c>
      <c r="E64" s="194">
        <f t="shared" si="33"/>
        <v>-12944.01808</v>
      </c>
      <c r="F64" s="194">
        <f t="shared" si="33"/>
        <v>640.76017999999999</v>
      </c>
      <c r="G64" s="194">
        <f t="shared" si="33"/>
        <v>-39679.079760000001</v>
      </c>
      <c r="H64" s="194">
        <f t="shared" si="33"/>
        <v>-31672.707480000001</v>
      </c>
      <c r="I64" s="194">
        <f t="shared" si="33"/>
        <v>28102.117259999999</v>
      </c>
      <c r="J64" s="194">
        <f>SUM(J54:J63)</f>
        <v>-458590.41230000003</v>
      </c>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-277996.989</v>
      </c>
      <c r="D66" s="186">
        <f>D54+D55</f>
        <v>-4560.6389399999998</v>
      </c>
      <c r="E66" s="186">
        <f t="shared" ref="E66:I66" si="34">E54+E55</f>
        <v>-4464.9611999999997</v>
      </c>
      <c r="F66" s="186">
        <f t="shared" si="34"/>
        <v>640.76017999999999</v>
      </c>
      <c r="G66" s="186">
        <f t="shared" si="34"/>
        <v>-32190.24408</v>
      </c>
      <c r="H66" s="186">
        <f t="shared" si="34"/>
        <v>-23281.5834</v>
      </c>
      <c r="I66" s="186">
        <f t="shared" si="34"/>
        <v>22760.671259999999</v>
      </c>
      <c r="J66" s="186">
        <f>J54+J55</f>
        <v>-319092.98518000008</v>
      </c>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-115975.62807999999</v>
      </c>
      <c r="D68" s="219">
        <f t="shared" ref="D68:I68" si="35">SUM(D56:D59)</f>
        <v>-4540.942</v>
      </c>
      <c r="E68" s="219">
        <f t="shared" si="35"/>
        <v>-8479.0568800000001</v>
      </c>
      <c r="F68" s="219">
        <f t="shared" si="35"/>
        <v>0</v>
      </c>
      <c r="G68" s="219">
        <f t="shared" si="35"/>
        <v>-7488.8356800000001</v>
      </c>
      <c r="H68" s="219">
        <f t="shared" si="35"/>
        <v>-8456.0284800000009</v>
      </c>
      <c r="I68" s="219">
        <f t="shared" si="35"/>
        <v>5572.8727999999992</v>
      </c>
      <c r="J68" s="219">
        <f>SUM(J56:J59)</f>
        <v>-139367.61831999998</v>
      </c>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4348</v>
      </c>
      <c r="D74" s="273">
        <v>82397.600000000006</v>
      </c>
      <c r="E74" s="183">
        <v>42522</v>
      </c>
      <c r="F74" s="183">
        <v>77748.2</v>
      </c>
      <c r="G74" s="183">
        <v>24810.42</v>
      </c>
      <c r="H74" s="183">
        <v>2897.74</v>
      </c>
      <c r="I74" s="186">
        <f>SUM(F74:H74)</f>
        <v>105456.36</v>
      </c>
      <c r="J74" s="349" t="s">
        <v>343</v>
      </c>
      <c r="K74" s="170"/>
      <c r="L74" s="170"/>
      <c r="M74" s="170"/>
      <c r="N74" s="170"/>
      <c r="O74" s="170"/>
      <c r="P74" s="170"/>
      <c r="Q74" s="170"/>
      <c r="R74" s="170"/>
      <c r="S74" s="170"/>
      <c r="T74" s="170"/>
      <c r="U74" s="170"/>
      <c r="V74" s="170"/>
      <c r="W74" s="170"/>
      <c r="X74" s="170"/>
      <c r="Y74" s="170"/>
      <c r="Z74" s="170"/>
      <c r="AA74" s="170"/>
      <c r="AB74" s="170"/>
      <c r="AC74" s="170"/>
      <c r="AD74" s="170"/>
      <c r="AE74" s="77"/>
      <c r="AF74" s="77"/>
      <c r="AG74" s="77"/>
    </row>
    <row r="75" spans="1:33" x14ac:dyDescent="0.25">
      <c r="A75" s="178" t="s">
        <v>214</v>
      </c>
      <c r="C75" s="273">
        <v>1</v>
      </c>
      <c r="D75" s="273">
        <v>21.5</v>
      </c>
      <c r="E75" s="183">
        <v>9.5</v>
      </c>
      <c r="F75" s="183">
        <v>18.32</v>
      </c>
      <c r="G75" s="183">
        <v>-3.96</v>
      </c>
      <c r="H75" s="183">
        <v>0.86</v>
      </c>
      <c r="I75" s="186">
        <f t="shared" ref="I75:I79" si="36">SUM(F75:H75)</f>
        <v>15.219999999999999</v>
      </c>
      <c r="J75" s="349" t="s">
        <v>343</v>
      </c>
      <c r="K75" s="170"/>
      <c r="L75" s="170"/>
      <c r="M75" s="170"/>
      <c r="N75" s="170"/>
      <c r="O75" s="170"/>
      <c r="P75" s="170"/>
      <c r="Q75" s="170"/>
      <c r="R75" s="170"/>
      <c r="S75" s="170"/>
      <c r="T75" s="170"/>
      <c r="U75" s="170"/>
      <c r="V75" s="170"/>
      <c r="W75" s="170"/>
      <c r="X75" s="170"/>
      <c r="Y75" s="170"/>
      <c r="Z75" s="170"/>
      <c r="AA75" s="170"/>
      <c r="AB75" s="170"/>
      <c r="AC75" s="170"/>
      <c r="AD75" s="170"/>
      <c r="AE75" s="77"/>
      <c r="AF75" s="77"/>
      <c r="AG75" s="77"/>
    </row>
    <row r="76" spans="1:33" x14ac:dyDescent="0.25">
      <c r="A76" s="178" t="s">
        <v>216</v>
      </c>
      <c r="C76" s="273">
        <v>38</v>
      </c>
      <c r="D76" s="273">
        <v>35573.4</v>
      </c>
      <c r="E76" s="183">
        <v>4108.87</v>
      </c>
      <c r="F76" s="183">
        <v>13156.25</v>
      </c>
      <c r="G76" s="183">
        <v>10799.74</v>
      </c>
      <c r="H76" s="183">
        <v>509.65</v>
      </c>
      <c r="I76" s="186">
        <f t="shared" si="36"/>
        <v>24465.64</v>
      </c>
      <c r="J76" s="349" t="s">
        <v>343</v>
      </c>
    </row>
    <row r="77" spans="1:33" x14ac:dyDescent="0.25">
      <c r="A77" s="178" t="s">
        <v>218</v>
      </c>
      <c r="C77" s="273"/>
      <c r="D77" s="273"/>
      <c r="E77" s="183"/>
      <c r="F77" s="183"/>
      <c r="G77" s="183"/>
      <c r="H77" s="183"/>
      <c r="I77" s="186">
        <f t="shared" si="36"/>
        <v>0</v>
      </c>
    </row>
    <row r="78" spans="1:33" x14ac:dyDescent="0.25">
      <c r="A78" s="178" t="s">
        <v>220</v>
      </c>
      <c r="C78" s="273"/>
      <c r="D78" s="273"/>
      <c r="E78" s="183"/>
      <c r="F78" s="183"/>
      <c r="G78" s="183"/>
      <c r="H78" s="183"/>
      <c r="I78" s="186">
        <f t="shared" si="36"/>
        <v>0</v>
      </c>
    </row>
    <row r="79" spans="1:33" x14ac:dyDescent="0.25">
      <c r="A79" s="178" t="s">
        <v>222</v>
      </c>
      <c r="C79" s="273"/>
      <c r="D79" s="273"/>
      <c r="E79" s="183"/>
      <c r="F79" s="183"/>
      <c r="G79" s="183"/>
      <c r="H79" s="183"/>
      <c r="I79" s="186">
        <f t="shared" si="36"/>
        <v>0</v>
      </c>
    </row>
    <row r="80" spans="1:33" x14ac:dyDescent="0.25">
      <c r="A80" s="178" t="s">
        <v>351</v>
      </c>
      <c r="C80" s="310">
        <f>SUM(C74:C79)</f>
        <v>4387</v>
      </c>
      <c r="D80" s="310">
        <f t="shared" ref="D80:I80" si="37">SUM(D74:D79)</f>
        <v>117992.5</v>
      </c>
      <c r="E80" s="213">
        <f t="shared" si="37"/>
        <v>46640.37</v>
      </c>
      <c r="F80" s="213">
        <f t="shared" si="37"/>
        <v>90922.77</v>
      </c>
      <c r="G80" s="213">
        <f t="shared" si="37"/>
        <v>35606.199999999997</v>
      </c>
      <c r="H80" s="213">
        <f t="shared" si="37"/>
        <v>3408.25</v>
      </c>
      <c r="I80" s="213">
        <f t="shared" si="37"/>
        <v>129937.22</v>
      </c>
    </row>
    <row r="81" spans="1:9" ht="15.75" thickBot="1" x14ac:dyDescent="0.3">
      <c r="A81" s="178"/>
      <c r="C81" s="282" t="s">
        <v>343</v>
      </c>
      <c r="D81" s="282" t="s">
        <v>343</v>
      </c>
      <c r="E81" s="282" t="s">
        <v>343</v>
      </c>
      <c r="F81" s="282" t="s">
        <v>343</v>
      </c>
      <c r="G81" s="282" t="s">
        <v>343</v>
      </c>
      <c r="H81" s="282" t="s">
        <v>343</v>
      </c>
      <c r="I81" s="282" t="s">
        <v>343</v>
      </c>
    </row>
    <row r="82" spans="1:9" x14ac:dyDescent="0.25">
      <c r="A82" s="178" t="s">
        <v>352</v>
      </c>
      <c r="C82" s="311">
        <f t="shared" ref="C82:I82" si="38">C74+C75</f>
        <v>4349</v>
      </c>
      <c r="D82" s="312">
        <f t="shared" si="38"/>
        <v>82419.100000000006</v>
      </c>
      <c r="E82" s="312">
        <f t="shared" si="38"/>
        <v>42531.5</v>
      </c>
      <c r="F82" s="313">
        <f t="shared" si="38"/>
        <v>77766.52</v>
      </c>
      <c r="G82" s="186">
        <f t="shared" si="38"/>
        <v>24806.46</v>
      </c>
      <c r="H82" s="186">
        <f t="shared" si="38"/>
        <v>2898.6</v>
      </c>
      <c r="I82" s="186">
        <f t="shared" si="38"/>
        <v>105471.58</v>
      </c>
    </row>
    <row r="83" spans="1:9" x14ac:dyDescent="0.25">
      <c r="C83" s="325" t="s">
        <v>343</v>
      </c>
      <c r="D83" s="326" t="s">
        <v>343</v>
      </c>
      <c r="E83" s="326" t="s">
        <v>343</v>
      </c>
      <c r="F83" s="327" t="s">
        <v>343</v>
      </c>
      <c r="G83" s="186"/>
      <c r="H83" s="186"/>
      <c r="I83" s="186"/>
    </row>
    <row r="84" spans="1:9" ht="15.75" thickBot="1" x14ac:dyDescent="0.3">
      <c r="A84" s="178" t="s">
        <v>353</v>
      </c>
      <c r="C84" s="314">
        <f t="shared" ref="C84:H84" si="39">SUM(C76:C79)</f>
        <v>38</v>
      </c>
      <c r="D84" s="315">
        <f t="shared" si="39"/>
        <v>35573.4</v>
      </c>
      <c r="E84" s="316">
        <f t="shared" si="39"/>
        <v>4108.87</v>
      </c>
      <c r="F84" s="317">
        <f t="shared" si="39"/>
        <v>13156.25</v>
      </c>
      <c r="G84" s="186">
        <f t="shared" si="39"/>
        <v>10799.74</v>
      </c>
      <c r="H84" s="186">
        <f t="shared" si="39"/>
        <v>509.65</v>
      </c>
      <c r="I84" s="186">
        <f>SUM(I76:I79)</f>
        <v>24465.64</v>
      </c>
    </row>
    <row r="85" spans="1:9" x14ac:dyDescent="0.25">
      <c r="C85" s="282" t="s">
        <v>343</v>
      </c>
      <c r="D85" s="282" t="s">
        <v>343</v>
      </c>
      <c r="E85" s="282" t="s">
        <v>343</v>
      </c>
      <c r="F85" s="282" t="s">
        <v>343</v>
      </c>
    </row>
  </sheetData>
  <mergeCells count="7">
    <mergeCell ref="R40:R41"/>
    <mergeCell ref="A70:I70"/>
    <mergeCell ref="A1:I1"/>
    <mergeCell ref="O40:O41"/>
    <mergeCell ref="P40:P41"/>
    <mergeCell ref="Q40:Q41"/>
    <mergeCell ref="N40:N41"/>
  </mergeCells>
  <printOptions horizontalCentered="1"/>
  <pageMargins left="0.45" right="0.45" top="0.5" bottom="0.5" header="0.3" footer="0.3"/>
  <pageSetup scale="80" orientation="landscape" useFirstPageNumber="1" r:id="rId1"/>
  <headerFooter scaleWithDoc="0">
    <oddFooter>&amp;L&amp;F / &amp;A&amp;RPage &amp;P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85"/>
  <sheetViews>
    <sheetView workbookViewId="0">
      <selection sqref="A1:I1"/>
    </sheetView>
  </sheetViews>
  <sheetFormatPr defaultRowHeight="15" x14ac:dyDescent="0.25"/>
  <cols>
    <col min="1" max="1" width="19" customWidth="1"/>
    <col min="2" max="2" width="5.85546875" customWidth="1"/>
    <col min="3" max="3" width="19.140625" customWidth="1"/>
    <col min="4" max="5" width="16.42578125" customWidth="1"/>
    <col min="6" max="6" width="16.140625" customWidth="1"/>
    <col min="7" max="7" width="15.5703125" customWidth="1"/>
    <col min="8" max="8" width="15.42578125" customWidth="1"/>
    <col min="9" max="9" width="19.28515625" customWidth="1"/>
    <col min="10" max="10" width="16"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66</v>
      </c>
      <c r="AB1" s="170"/>
      <c r="AC1" s="171" t="s">
        <v>203</v>
      </c>
      <c r="AD1" s="172" t="s">
        <v>344</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28" t="str">
        <f>AA1&amp;" Billed Schedule 175 Revenue"</f>
        <v>May Billed Schedule 175 Revenue</v>
      </c>
      <c r="O2" s="328" t="str">
        <f>AA1&amp;" Billed Therms"</f>
        <v>May Billed Therms</v>
      </c>
      <c r="P2" s="328" t="str">
        <f>AA1&amp;" Unbilled Therms"</f>
        <v>May Unbilled Therms</v>
      </c>
      <c r="Q2" s="328" t="s">
        <v>308</v>
      </c>
      <c r="R2" s="328" t="s">
        <v>209</v>
      </c>
      <c r="S2" s="328" t="str">
        <f>AD1&amp;" Unbilled Therms reversal"</f>
        <v>April Unbilled Therms reversal</v>
      </c>
      <c r="T2" s="328" t="s">
        <v>308</v>
      </c>
      <c r="U2" s="328" t="str">
        <f>AD1&amp;" Schedule 175 Unbilled Reversal"</f>
        <v>April Schedule 175 Unbilled Reversal</v>
      </c>
      <c r="V2" s="170"/>
      <c r="W2" s="328" t="str">
        <f>"Total "&amp;AA1&amp;" Schedule 175 Revenue"</f>
        <v>Total May Schedule 175 Revenue</v>
      </c>
      <c r="X2" s="170"/>
      <c r="Y2" s="328" t="str">
        <f>"Calendar "&amp;AA1&amp;" Usage"</f>
        <v>Calendar May Usage</v>
      </c>
      <c r="Z2" s="328" t="str">
        <f>Q2</f>
        <v>11/1/2019 rate</v>
      </c>
      <c r="AA2" s="328" t="s">
        <v>210</v>
      </c>
      <c r="AB2" s="328" t="s">
        <v>211</v>
      </c>
      <c r="AC2" s="328" t="str">
        <f>"implied "&amp;AD1&amp;" unbilled/Cancel-Rebill True-up therms"</f>
        <v>implied April unbilled/Cancel-Rebill True-up therms</v>
      </c>
      <c r="AD2" s="170"/>
      <c r="AE2" s="77"/>
      <c r="AF2" s="77"/>
      <c r="AG2" s="77"/>
    </row>
    <row r="3" spans="1:33" x14ac:dyDescent="0.25">
      <c r="A3" s="177"/>
      <c r="B3" s="177"/>
      <c r="C3" s="177"/>
      <c r="D3" s="170"/>
      <c r="E3" s="170"/>
      <c r="F3" s="170"/>
      <c r="G3" s="170"/>
      <c r="H3" s="170"/>
      <c r="I3" s="170"/>
      <c r="J3" s="170"/>
      <c r="K3" s="170"/>
      <c r="L3" s="170"/>
      <c r="M3" s="170"/>
      <c r="N3" s="328"/>
      <c r="O3" s="328"/>
      <c r="P3" s="328"/>
      <c r="Q3" s="328"/>
      <c r="R3" s="328"/>
      <c r="S3" s="328"/>
      <c r="T3" s="328"/>
      <c r="U3" s="328"/>
      <c r="V3" s="170"/>
      <c r="W3" s="328"/>
      <c r="X3" s="170"/>
      <c r="Y3" s="328"/>
      <c r="Z3" s="328"/>
      <c r="AA3" s="328"/>
      <c r="AB3" s="328"/>
      <c r="AC3" s="328"/>
      <c r="AD3" s="170"/>
      <c r="AE3" s="77"/>
      <c r="AF3" s="77"/>
      <c r="AG3" s="77"/>
    </row>
    <row r="4" spans="1:33" x14ac:dyDescent="0.25">
      <c r="A4" s="178" t="s">
        <v>212</v>
      </c>
      <c r="B4" s="177"/>
      <c r="C4" s="179">
        <v>167016</v>
      </c>
      <c r="D4" s="177"/>
      <c r="E4" s="180">
        <v>6482283.0455</v>
      </c>
      <c r="F4" s="180">
        <v>-3988293</v>
      </c>
      <c r="G4" s="180">
        <f>2679849-G5</f>
        <v>2676351</v>
      </c>
      <c r="H4" s="181">
        <f>F4+G4</f>
        <v>-1311942</v>
      </c>
      <c r="I4" s="182">
        <f t="shared" ref="I4:I13" si="0">SUM(E4:G4)</f>
        <v>5170341.0455</v>
      </c>
      <c r="J4" s="170"/>
      <c r="K4" s="170"/>
      <c r="L4" s="170" t="s">
        <v>213</v>
      </c>
      <c r="M4" s="170"/>
      <c r="N4" s="183">
        <v>27187.54</v>
      </c>
      <c r="O4" s="184">
        <f>E4</f>
        <v>6482283.0455</v>
      </c>
      <c r="P4" s="184">
        <f t="shared" ref="P4:P9" si="1">G4</f>
        <v>2676351</v>
      </c>
      <c r="Q4" s="185">
        <v>4.1999999999999997E-3</v>
      </c>
      <c r="R4" s="186">
        <f>P4*Q4</f>
        <v>11240.674199999999</v>
      </c>
      <c r="S4" s="184">
        <f t="shared" ref="S4:S9" si="2">F4</f>
        <v>-3988293</v>
      </c>
      <c r="T4" s="185">
        <v>4.1999999999999997E-3</v>
      </c>
      <c r="U4" s="187">
        <f>S4*T4</f>
        <v>-16750.830599999998</v>
      </c>
      <c r="V4" s="170"/>
      <c r="W4" s="188">
        <f>N4+R4+U4</f>
        <v>21677.383600000005</v>
      </c>
      <c r="X4" s="170"/>
      <c r="Y4" s="189">
        <f>O4+P4+S4</f>
        <v>5170341.0454999991</v>
      </c>
      <c r="Z4" s="190">
        <f>Q4</f>
        <v>4.1999999999999997E-3</v>
      </c>
      <c r="AA4" s="191">
        <f>Y4*Z4</f>
        <v>21715.432391099996</v>
      </c>
      <c r="AB4" s="188">
        <f>W4-AA4</f>
        <v>-38.048791099990922</v>
      </c>
      <c r="AC4" s="189">
        <f>AB4/T4</f>
        <v>-9059.2359761883145</v>
      </c>
      <c r="AD4" s="192">
        <f t="shared" ref="AD4:AD11" si="3">AB4/W4</f>
        <v>-1.755229865470984E-3</v>
      </c>
      <c r="AE4" s="77"/>
      <c r="AF4" s="77"/>
      <c r="AG4" s="77"/>
    </row>
    <row r="5" spans="1:33" x14ac:dyDescent="0.25">
      <c r="A5" s="178" t="s">
        <v>214</v>
      </c>
      <c r="B5" s="177"/>
      <c r="C5" s="179">
        <v>210</v>
      </c>
      <c r="D5" s="177"/>
      <c r="E5" s="180">
        <v>8462.2251300000007</v>
      </c>
      <c r="F5" s="180">
        <v>-5009</v>
      </c>
      <c r="G5" s="180">
        <v>3498</v>
      </c>
      <c r="H5" s="181">
        <f t="shared" ref="H5:H13" si="4">F5+G5</f>
        <v>-1511</v>
      </c>
      <c r="I5" s="182">
        <f t="shared" si="0"/>
        <v>6951.2251300000007</v>
      </c>
      <c r="J5" s="170"/>
      <c r="K5" s="170"/>
      <c r="L5" s="170" t="s">
        <v>215</v>
      </c>
      <c r="M5" s="170"/>
      <c r="N5" s="183">
        <v>35.5</v>
      </c>
      <c r="O5" s="184">
        <f t="shared" ref="O5:O7" si="5">E5</f>
        <v>8462.2251300000007</v>
      </c>
      <c r="P5" s="184">
        <f t="shared" si="1"/>
        <v>3498</v>
      </c>
      <c r="Q5" s="185">
        <v>4.1999999999999997E-3</v>
      </c>
      <c r="R5" s="186">
        <f t="shared" ref="R5:R10" si="6">P5*Q5</f>
        <v>14.691599999999999</v>
      </c>
      <c r="S5" s="184">
        <f t="shared" si="2"/>
        <v>-5009</v>
      </c>
      <c r="T5" s="185">
        <v>4.1999999999999997E-3</v>
      </c>
      <c r="U5" s="187">
        <f t="shared" ref="U5:U10" si="7">S5*T5</f>
        <v>-21.037799999999997</v>
      </c>
      <c r="V5" s="170"/>
      <c r="W5" s="188">
        <f t="shared" ref="W5:W10" si="8">N5+R5+U5</f>
        <v>29.153800000000004</v>
      </c>
      <c r="X5" s="170"/>
      <c r="Y5" s="189">
        <f t="shared" ref="Y5:Y10" si="9">O5+P5+S5</f>
        <v>6951.2251300000007</v>
      </c>
      <c r="Z5" s="190">
        <f t="shared" ref="Z5:Z10" si="10">Q5</f>
        <v>4.1999999999999997E-3</v>
      </c>
      <c r="AA5" s="191">
        <f t="shared" ref="AA5:AA10" si="11">Y5*Z5</f>
        <v>29.195145546000003</v>
      </c>
      <c r="AB5" s="188">
        <f t="shared" ref="AB5:AB10" si="12">W5-AA5</f>
        <v>-4.1345545999998734E-2</v>
      </c>
      <c r="AC5" s="189">
        <f t="shared" ref="AC5:AC10" si="13">AB5/T5</f>
        <v>-9.8441776190473185</v>
      </c>
      <c r="AD5" s="192">
        <f t="shared" si="3"/>
        <v>-1.4181872002963158E-3</v>
      </c>
      <c r="AE5" s="77"/>
      <c r="AF5" s="77"/>
      <c r="AG5" s="77"/>
    </row>
    <row r="6" spans="1:33" x14ac:dyDescent="0.25">
      <c r="A6" s="178" t="s">
        <v>216</v>
      </c>
      <c r="B6" s="177"/>
      <c r="C6" s="179">
        <v>3119</v>
      </c>
      <c r="D6" s="177"/>
      <c r="E6" s="180">
        <v>2979835.4926700001</v>
      </c>
      <c r="F6" s="180">
        <v>-1482629</v>
      </c>
      <c r="G6" s="180">
        <v>1165096</v>
      </c>
      <c r="H6" s="181">
        <f t="shared" si="4"/>
        <v>-317533</v>
      </c>
      <c r="I6" s="182">
        <f>SUM(E6:G6)</f>
        <v>2662302.4926700001</v>
      </c>
      <c r="J6" s="170"/>
      <c r="K6" s="170"/>
      <c r="L6" s="170" t="s">
        <v>217</v>
      </c>
      <c r="M6" s="170"/>
      <c r="N6" s="183">
        <v>54858.9</v>
      </c>
      <c r="O6" s="184">
        <f t="shared" si="5"/>
        <v>2979835.4926700001</v>
      </c>
      <c r="P6" s="184">
        <f t="shared" si="1"/>
        <v>1165096</v>
      </c>
      <c r="Q6" s="193">
        <v>1.8409999999999999E-2</v>
      </c>
      <c r="R6" s="186">
        <f t="shared" si="6"/>
        <v>21449.417359999999</v>
      </c>
      <c r="S6" s="184">
        <f t="shared" si="2"/>
        <v>-1482629</v>
      </c>
      <c r="T6" s="185">
        <v>1.8409999999999999E-2</v>
      </c>
      <c r="U6" s="187">
        <f t="shared" si="7"/>
        <v>-27295.19989</v>
      </c>
      <c r="V6" s="170"/>
      <c r="W6" s="188">
        <f t="shared" si="8"/>
        <v>49013.117469999997</v>
      </c>
      <c r="X6" s="170"/>
      <c r="Y6" s="189">
        <f t="shared" si="9"/>
        <v>2662302.4926700001</v>
      </c>
      <c r="Z6" s="177">
        <f t="shared" si="10"/>
        <v>1.8409999999999999E-2</v>
      </c>
      <c r="AA6" s="191">
        <f t="shared" si="11"/>
        <v>49012.988890054701</v>
      </c>
      <c r="AB6" s="188">
        <f t="shared" si="12"/>
        <v>0.12857994529622374</v>
      </c>
      <c r="AC6" s="189">
        <f t="shared" si="13"/>
        <v>6.9842447200556084</v>
      </c>
      <c r="AD6" s="192">
        <f t="shared" si="3"/>
        <v>2.6233782287960991E-6</v>
      </c>
      <c r="AE6" s="77"/>
      <c r="AF6" s="77"/>
      <c r="AG6" s="77"/>
    </row>
    <row r="7" spans="1:33" x14ac:dyDescent="0.25">
      <c r="A7" s="178" t="s">
        <v>218</v>
      </c>
      <c r="B7" s="177"/>
      <c r="C7" s="179">
        <v>4</v>
      </c>
      <c r="D7" s="177"/>
      <c r="E7" s="180">
        <v>260371.43400000001</v>
      </c>
      <c r="F7" s="180">
        <v>-15452</v>
      </c>
      <c r="G7" s="180">
        <v>107618</v>
      </c>
      <c r="H7" s="181">
        <f t="shared" si="4"/>
        <v>92166</v>
      </c>
      <c r="I7" s="182">
        <f>SUM(E7:G7)</f>
        <v>352537.43400000001</v>
      </c>
      <c r="J7" s="170"/>
      <c r="K7" s="170"/>
      <c r="L7" s="170" t="s">
        <v>219</v>
      </c>
      <c r="M7" s="170"/>
      <c r="N7" s="183">
        <v>4793.4399999999996</v>
      </c>
      <c r="O7" s="184">
        <f t="shared" si="5"/>
        <v>260371.43400000001</v>
      </c>
      <c r="P7" s="184">
        <f t="shared" si="1"/>
        <v>107618</v>
      </c>
      <c r="Q7" s="185">
        <v>1.8409999999999999E-2</v>
      </c>
      <c r="R7" s="186">
        <f t="shared" si="6"/>
        <v>1981.24738</v>
      </c>
      <c r="S7" s="184">
        <f t="shared" si="2"/>
        <v>-15452</v>
      </c>
      <c r="T7" s="185">
        <v>1.8409999999999999E-2</v>
      </c>
      <c r="U7" s="187">
        <f t="shared" si="7"/>
        <v>-284.47131999999999</v>
      </c>
      <c r="V7" s="170"/>
      <c r="W7" s="188">
        <f t="shared" si="8"/>
        <v>6490.2160599999997</v>
      </c>
      <c r="X7" s="170"/>
      <c r="Y7" s="189">
        <f t="shared" si="9"/>
        <v>352537.43400000001</v>
      </c>
      <c r="Z7" s="190">
        <f t="shared" si="10"/>
        <v>1.8409999999999999E-2</v>
      </c>
      <c r="AA7" s="191">
        <f t="shared" si="11"/>
        <v>6490.2141599400002</v>
      </c>
      <c r="AB7" s="188">
        <f t="shared" si="12"/>
        <v>1.900059999570658E-3</v>
      </c>
      <c r="AC7" s="189"/>
      <c r="AD7" s="192"/>
      <c r="AE7" s="77"/>
      <c r="AF7" s="77"/>
      <c r="AG7" s="77"/>
    </row>
    <row r="8" spans="1:33" x14ac:dyDescent="0.25">
      <c r="A8" s="178" t="s">
        <v>220</v>
      </c>
      <c r="B8" s="177"/>
      <c r="C8" s="179">
        <v>0</v>
      </c>
      <c r="D8" s="259"/>
      <c r="E8" s="180">
        <v>0</v>
      </c>
      <c r="F8" s="180">
        <v>-9438</v>
      </c>
      <c r="G8" s="180">
        <v>0</v>
      </c>
      <c r="H8" s="181">
        <f t="shared" si="4"/>
        <v>-9438</v>
      </c>
      <c r="I8" s="182">
        <f t="shared" si="0"/>
        <v>-9438</v>
      </c>
      <c r="J8" s="170"/>
      <c r="K8" s="170"/>
      <c r="L8" s="170" t="s">
        <v>221</v>
      </c>
      <c r="M8" s="170"/>
      <c r="N8" s="183">
        <v>0</v>
      </c>
      <c r="O8" s="184">
        <f>E8</f>
        <v>0</v>
      </c>
      <c r="P8" s="184">
        <f t="shared" si="1"/>
        <v>0</v>
      </c>
      <c r="Q8" s="193">
        <v>1.8409999999999999E-2</v>
      </c>
      <c r="R8" s="186">
        <f t="shared" si="6"/>
        <v>0</v>
      </c>
      <c r="S8" s="184">
        <f t="shared" si="2"/>
        <v>-9438</v>
      </c>
      <c r="T8" s="185">
        <v>1.8409999999999999E-2</v>
      </c>
      <c r="U8" s="187">
        <f t="shared" si="7"/>
        <v>-173.75358</v>
      </c>
      <c r="V8" s="170"/>
      <c r="W8" s="188">
        <f>N8+R8+U8</f>
        <v>-173.75358</v>
      </c>
      <c r="X8" s="170"/>
      <c r="Y8" s="189">
        <f t="shared" si="9"/>
        <v>-9438</v>
      </c>
      <c r="Z8" s="177">
        <f t="shared" si="10"/>
        <v>1.8409999999999999E-2</v>
      </c>
      <c r="AA8" s="191">
        <f t="shared" si="11"/>
        <v>-173.75358</v>
      </c>
      <c r="AB8" s="188">
        <f t="shared" si="12"/>
        <v>0</v>
      </c>
      <c r="AC8" s="189">
        <f t="shared" si="13"/>
        <v>0</v>
      </c>
      <c r="AD8" s="192">
        <f>AB8/W8</f>
        <v>0</v>
      </c>
      <c r="AE8" s="77"/>
      <c r="AF8" s="77"/>
      <c r="AG8" s="77"/>
    </row>
    <row r="9" spans="1:33" x14ac:dyDescent="0.25">
      <c r="A9" s="178" t="s">
        <v>222</v>
      </c>
      <c r="B9" s="177"/>
      <c r="C9" s="179">
        <v>-1</v>
      </c>
      <c r="D9" s="259"/>
      <c r="E9" s="180">
        <v>0</v>
      </c>
      <c r="F9" s="180">
        <v>-100434</v>
      </c>
      <c r="G9" s="180">
        <v>0</v>
      </c>
      <c r="H9" s="181">
        <f t="shared" si="4"/>
        <v>-100434</v>
      </c>
      <c r="I9" s="182">
        <f t="shared" si="0"/>
        <v>-100434</v>
      </c>
      <c r="J9" s="170"/>
      <c r="K9" s="170"/>
      <c r="L9" s="170" t="s">
        <v>137</v>
      </c>
      <c r="M9" s="170"/>
      <c r="N9" s="183">
        <v>0</v>
      </c>
      <c r="O9" s="184">
        <f>E9</f>
        <v>0</v>
      </c>
      <c r="P9" s="184">
        <f t="shared" si="1"/>
        <v>0</v>
      </c>
      <c r="Q9" s="185">
        <v>1.8409999999999999E-2</v>
      </c>
      <c r="R9" s="186">
        <f t="shared" si="6"/>
        <v>0</v>
      </c>
      <c r="S9" s="184">
        <f t="shared" si="2"/>
        <v>-100434</v>
      </c>
      <c r="T9" s="185">
        <v>1.8409999999999999E-2</v>
      </c>
      <c r="U9" s="187">
        <f t="shared" si="7"/>
        <v>-1848.9899399999999</v>
      </c>
      <c r="V9" s="170"/>
      <c r="W9" s="188">
        <f>N9+R9+U9</f>
        <v>-1848.9899399999999</v>
      </c>
      <c r="X9" s="170"/>
      <c r="Y9" s="189">
        <f t="shared" si="9"/>
        <v>-100434</v>
      </c>
      <c r="Z9" s="190">
        <f t="shared" si="10"/>
        <v>1.8409999999999999E-2</v>
      </c>
      <c r="AA9" s="191">
        <f t="shared" si="11"/>
        <v>-1848.9899399999999</v>
      </c>
      <c r="AB9" s="188">
        <f t="shared" si="12"/>
        <v>0</v>
      </c>
      <c r="AC9" s="189"/>
      <c r="AD9" s="192"/>
      <c r="AE9" s="77"/>
      <c r="AF9" s="77"/>
      <c r="AG9" s="77"/>
    </row>
    <row r="10" spans="1:33" x14ac:dyDescent="0.25">
      <c r="A10" s="178" t="s">
        <v>223</v>
      </c>
      <c r="B10" s="177"/>
      <c r="C10" s="179">
        <v>2</v>
      </c>
      <c r="D10" s="177"/>
      <c r="E10" s="180">
        <v>73987.076000000001</v>
      </c>
      <c r="F10" s="180"/>
      <c r="G10" s="180"/>
      <c r="H10" s="181">
        <f t="shared" si="4"/>
        <v>0</v>
      </c>
      <c r="I10" s="182">
        <f t="shared" si="0"/>
        <v>73987.076000000001</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179">
        <v>37</v>
      </c>
      <c r="D11" s="177"/>
      <c r="E11" s="180">
        <v>2484447</v>
      </c>
      <c r="F11" s="180">
        <v>-2484242</v>
      </c>
      <c r="G11" s="180">
        <v>1753831</v>
      </c>
      <c r="H11" s="181">
        <f t="shared" si="4"/>
        <v>-730411</v>
      </c>
      <c r="I11" s="182">
        <f t="shared" si="0"/>
        <v>1754036</v>
      </c>
      <c r="J11" s="170"/>
      <c r="K11" s="170"/>
      <c r="L11" s="170"/>
      <c r="M11" s="170"/>
      <c r="N11" s="194">
        <f>SUM(N4:N10)</f>
        <v>86875.38</v>
      </c>
      <c r="O11" s="195">
        <f>SUM(O4:O10)</f>
        <v>9730952.1973000001</v>
      </c>
      <c r="P11" s="195">
        <f>SUM(P4:P10)</f>
        <v>3952563</v>
      </c>
      <c r="Q11" s="170"/>
      <c r="R11" s="194">
        <f>SUM(R4:R10)</f>
        <v>34686.03054</v>
      </c>
      <c r="S11" s="195">
        <f>SUM(S4:S10)</f>
        <v>-5601255</v>
      </c>
      <c r="T11" s="196"/>
      <c r="U11" s="194">
        <f>SUM(U4:U10)</f>
        <v>-46374.283129999989</v>
      </c>
      <c r="V11" s="170"/>
      <c r="W11" s="194">
        <f>SUM(W4:W10)</f>
        <v>75187.127410000001</v>
      </c>
      <c r="X11" s="170"/>
      <c r="Y11" s="197">
        <f>SUM(Y4:Y10)</f>
        <v>8082260.1973000001</v>
      </c>
      <c r="Z11" s="170"/>
      <c r="AA11" s="197">
        <f>SUM(AA4:AA10)</f>
        <v>75225.087066640699</v>
      </c>
      <c r="AB11" s="194">
        <f>SUM(AB4:AB10)</f>
        <v>-37.95965664069513</v>
      </c>
      <c r="AC11" s="197">
        <f>SUM(AC4:AC10)</f>
        <v>-9062.0959090873057</v>
      </c>
      <c r="AD11" s="192">
        <f t="shared" si="3"/>
        <v>-5.0486909060508194E-4</v>
      </c>
      <c r="AE11" s="77"/>
      <c r="AF11" s="77"/>
      <c r="AG11" s="77"/>
    </row>
    <row r="12" spans="1:33" x14ac:dyDescent="0.25">
      <c r="A12" s="178" t="s">
        <v>226</v>
      </c>
      <c r="B12" s="177"/>
      <c r="C12" s="179">
        <v>3</v>
      </c>
      <c r="D12" s="177"/>
      <c r="E12" s="180">
        <v>617352</v>
      </c>
      <c r="F12" s="180"/>
      <c r="G12" s="180"/>
      <c r="H12" s="181">
        <f t="shared" si="4"/>
        <v>0</v>
      </c>
      <c r="I12" s="182">
        <f t="shared" si="0"/>
        <v>617352</v>
      </c>
      <c r="J12" s="170"/>
      <c r="K12" s="170"/>
      <c r="L12" s="170"/>
      <c r="M12" s="170"/>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179">
        <v>5</v>
      </c>
      <c r="D13" s="199"/>
      <c r="E13" s="180">
        <v>3712009</v>
      </c>
      <c r="F13" s="180">
        <v>-3711560</v>
      </c>
      <c r="G13" s="180">
        <v>3380943</v>
      </c>
      <c r="H13" s="181">
        <f t="shared" si="4"/>
        <v>-330617</v>
      </c>
      <c r="I13" s="182">
        <f t="shared" si="0"/>
        <v>3381392</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170395</v>
      </c>
      <c r="D14" s="170"/>
      <c r="E14" s="201">
        <f>SUM(E4:E13)</f>
        <v>16618747.2733</v>
      </c>
      <c r="F14" s="201">
        <f>SUM(F4:F13)</f>
        <v>-11797057</v>
      </c>
      <c r="G14" s="201">
        <f>SUM(G4:G13)</f>
        <v>9087337</v>
      </c>
      <c r="H14" s="201">
        <f>SUM(H4:H13)</f>
        <v>-2709720</v>
      </c>
      <c r="I14" s="201">
        <f t="shared" ref="I14" si="14">SUM(I4:I13)</f>
        <v>13909027.2733</v>
      </c>
      <c r="J14" s="170"/>
      <c r="K14" s="170"/>
      <c r="L14" s="170"/>
      <c r="M14" s="170"/>
      <c r="N14" s="170"/>
      <c r="O14" s="170"/>
      <c r="P14" s="170"/>
      <c r="Q14" s="170"/>
      <c r="R14" s="170"/>
      <c r="S14" s="170" t="s">
        <v>181</v>
      </c>
      <c r="T14" s="170" t="s">
        <v>232</v>
      </c>
      <c r="U14" s="170"/>
      <c r="V14" s="282" t="s">
        <v>343</v>
      </c>
      <c r="W14" s="202">
        <f>ROUND((W4+W5)*W13,2)</f>
        <v>20748.09</v>
      </c>
      <c r="X14" s="170"/>
      <c r="Y14" s="170" t="s">
        <v>28</v>
      </c>
      <c r="Z14" s="181">
        <f>O4+O5+P4+P5+S4+S5</f>
        <v>5177292.2706300002</v>
      </c>
      <c r="AA14" s="190">
        <v>4.0099999999999997E-3</v>
      </c>
      <c r="AB14" s="188">
        <f>Z14*AA14</f>
        <v>20760.942005226298</v>
      </c>
      <c r="AC14" s="188">
        <f>W14-AB14</f>
        <v>-12.852005226297479</v>
      </c>
      <c r="AD14" s="192">
        <f>AC14/W14</f>
        <v>-6.1943076332797279E-4</v>
      </c>
      <c r="AE14" s="77"/>
      <c r="AF14" s="77"/>
      <c r="AG14" s="77"/>
    </row>
    <row r="15" spans="1:33" ht="15.75" thickBot="1" x14ac:dyDescent="0.3">
      <c r="A15" s="282" t="s">
        <v>343</v>
      </c>
      <c r="B15" s="177"/>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t="s">
        <v>343</v>
      </c>
      <c r="W15" s="202">
        <f>ROUND(SUM(W6:W10)*W13,2)</f>
        <v>51119.15</v>
      </c>
      <c r="X15" s="170"/>
      <c r="Y15" s="170" t="s">
        <v>234</v>
      </c>
      <c r="Z15" s="181">
        <f>SUM(O6:P10,S6:S10)</f>
        <v>2904967.92667</v>
      </c>
      <c r="AA15" s="190">
        <v>1.7600000000000001E-2</v>
      </c>
      <c r="AB15" s="188">
        <f>(Z15)*AA15</f>
        <v>51127.435509392002</v>
      </c>
      <c r="AC15" s="188">
        <f>W15-AB15</f>
        <v>-8.2855093920006766</v>
      </c>
      <c r="AD15" s="192">
        <f>AC15/W15</f>
        <v>-1.6208229972526297E-4</v>
      </c>
      <c r="AE15" s="77"/>
      <c r="AF15" s="77"/>
      <c r="AG15" s="77"/>
    </row>
    <row r="16" spans="1:33" x14ac:dyDescent="0.25">
      <c r="A16" s="177" t="s">
        <v>28</v>
      </c>
      <c r="B16" s="282" t="s">
        <v>343</v>
      </c>
      <c r="C16" s="203">
        <f>C4+C5</f>
        <v>167226</v>
      </c>
      <c r="D16" s="170"/>
      <c r="E16" s="204">
        <f>E4+E5</f>
        <v>6490745.2706300002</v>
      </c>
      <c r="F16" s="204">
        <f t="shared" ref="F16:H16" si="15">F4+F5</f>
        <v>-3993302</v>
      </c>
      <c r="G16" s="204">
        <f t="shared" si="15"/>
        <v>2679849</v>
      </c>
      <c r="H16" s="204">
        <f t="shared" si="15"/>
        <v>-1313453</v>
      </c>
      <c r="I16" s="203">
        <f>I4+I5</f>
        <v>5177292.2706300002</v>
      </c>
      <c r="J16" s="282" t="s">
        <v>343</v>
      </c>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-11688.252589999989</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t="s">
        <v>343</v>
      </c>
      <c r="C18" s="207">
        <f>SUM(C6:C9)</f>
        <v>3122</v>
      </c>
      <c r="D18" s="170"/>
      <c r="E18" s="208">
        <f>SUM(E6:E9)</f>
        <v>3240206.92667</v>
      </c>
      <c r="F18" s="208">
        <f t="shared" ref="F18:H18" si="16">SUM(F6:F9)</f>
        <v>-1607953</v>
      </c>
      <c r="G18" s="208">
        <f>SUM(G6:G9)</f>
        <v>1272714</v>
      </c>
      <c r="H18" s="208">
        <f t="shared" si="16"/>
        <v>-335239</v>
      </c>
      <c r="I18" s="207">
        <f>SUM(I6:I9)</f>
        <v>2904967.92667</v>
      </c>
      <c r="J18" s="282" t="s">
        <v>343</v>
      </c>
      <c r="K18" s="170"/>
      <c r="L18" s="170"/>
      <c r="M18" s="170"/>
      <c r="N18" s="170"/>
      <c r="O18" s="170"/>
      <c r="P18" s="170"/>
      <c r="Q18" s="170"/>
      <c r="R18" s="188">
        <f>E64</f>
        <v>-11688.25259</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29"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210">
        <v>1607135</v>
      </c>
      <c r="D22" s="210">
        <v>4350710.55</v>
      </c>
      <c r="E22" s="210">
        <v>-3687740.9050481464</v>
      </c>
      <c r="F22" s="210">
        <f>2714907-F23</f>
        <v>2714100.840339249</v>
      </c>
      <c r="G22" s="211">
        <f>SUM(D22:F22)</f>
        <v>3377070.4852911024</v>
      </c>
      <c r="H22" s="188">
        <f t="shared" ref="H22:H31" si="17">-J54</f>
        <v>394579.67592000007</v>
      </c>
      <c r="I22" s="188">
        <f t="shared" ref="I22:I31" si="18">G22+H22</f>
        <v>3771650.1612111023</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210">
        <v>2004.5</v>
      </c>
      <c r="D23" s="210">
        <v>5511.23</v>
      </c>
      <c r="E23" s="210">
        <v>-1195.0949518536463</v>
      </c>
      <c r="F23" s="210">
        <f>G5*(K23-C23)/E5</f>
        <v>806.15966075107235</v>
      </c>
      <c r="G23" s="211">
        <f>SUM(D23:F23)</f>
        <v>5122.2947088974252</v>
      </c>
      <c r="H23" s="188">
        <f t="shared" si="17"/>
        <v>-277.91822999999994</v>
      </c>
      <c r="I23" s="188">
        <f t="shared" si="18"/>
        <v>4844.3764788974249</v>
      </c>
      <c r="J23" s="170"/>
      <c r="K23" s="210">
        <v>3954.73</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210">
        <v>335683.09</v>
      </c>
      <c r="D24" s="210">
        <v>1077809.6599999999</v>
      </c>
      <c r="E24" s="210">
        <v>-843779</v>
      </c>
      <c r="F24" s="210">
        <v>663068</v>
      </c>
      <c r="G24" s="211">
        <f>SUM(D24:F24)</f>
        <v>897098.65999999992</v>
      </c>
      <c r="H24" s="188">
        <f t="shared" si="17"/>
        <v>96399.843469999993</v>
      </c>
      <c r="I24" s="188">
        <f t="shared" si="18"/>
        <v>993498.50346999988</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210">
        <v>430.23</v>
      </c>
      <c r="D25" s="210">
        <v>49888.32</v>
      </c>
      <c r="E25" s="210">
        <v>-8626</v>
      </c>
      <c r="F25" s="210">
        <v>60079</v>
      </c>
      <c r="G25" s="211">
        <f>SUM(D25:F25)</f>
        <v>101341.32</v>
      </c>
      <c r="H25" s="188">
        <f t="shared" si="17"/>
        <v>-26980.67484</v>
      </c>
      <c r="I25" s="188">
        <f>G25+H25</f>
        <v>74360.645160000015</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210">
        <v>0</v>
      </c>
      <c r="D26" s="210">
        <v>0</v>
      </c>
      <c r="E26" s="210">
        <v>-3612</v>
      </c>
      <c r="F26" s="210">
        <v>0</v>
      </c>
      <c r="G26" s="211">
        <f t="shared" ref="G26:G31" si="19">SUM(D26:F26)</f>
        <v>-3612</v>
      </c>
      <c r="H26" s="188">
        <f t="shared" si="17"/>
        <v>2832.2494200000001</v>
      </c>
      <c r="I26" s="188">
        <f t="shared" si="18"/>
        <v>-779.7505799999999</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210">
        <v>0</v>
      </c>
      <c r="D27" s="210">
        <v>0</v>
      </c>
      <c r="E27" s="210">
        <v>-38435</v>
      </c>
      <c r="F27" s="210">
        <v>0</v>
      </c>
      <c r="G27" s="211">
        <f t="shared" si="19"/>
        <v>-38435</v>
      </c>
      <c r="H27" s="188">
        <f t="shared" si="17"/>
        <v>29049.530159999995</v>
      </c>
      <c r="I27" s="188">
        <f t="shared" si="18"/>
        <v>-9385.4698400000052</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210">
        <v>0</v>
      </c>
      <c r="D28" s="210">
        <v>16792.77</v>
      </c>
      <c r="E28" s="210"/>
      <c r="F28" s="210"/>
      <c r="G28" s="211">
        <f t="shared" si="19"/>
        <v>16792.77</v>
      </c>
      <c r="H28" s="188">
        <f t="shared" si="17"/>
        <v>0</v>
      </c>
      <c r="I28" s="188">
        <f t="shared" si="18"/>
        <v>16792.77</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210">
        <v>23125</v>
      </c>
      <c r="D29" s="210">
        <v>245401.33</v>
      </c>
      <c r="E29" s="210">
        <v>-221222</v>
      </c>
      <c r="F29" s="210">
        <v>156179</v>
      </c>
      <c r="G29" s="211">
        <f t="shared" si="19"/>
        <v>180358.33</v>
      </c>
      <c r="H29" s="188">
        <f t="shared" si="17"/>
        <v>-1446.2137800000003</v>
      </c>
      <c r="I29" s="188">
        <f t="shared" si="18"/>
        <v>178912.11622</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210">
        <v>0</v>
      </c>
      <c r="D30" s="210">
        <v>12908.83</v>
      </c>
      <c r="E30" s="210"/>
      <c r="F30" s="210"/>
      <c r="G30" s="211">
        <f t="shared" si="19"/>
        <v>12908.83</v>
      </c>
      <c r="H30" s="188">
        <f t="shared" si="17"/>
        <v>0</v>
      </c>
      <c r="I30" s="188">
        <f t="shared" si="18"/>
        <v>12908.83</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210">
        <v>1000</v>
      </c>
      <c r="D31" s="210">
        <v>91547.29</v>
      </c>
      <c r="E31" s="210">
        <v>-77609</v>
      </c>
      <c r="F31" s="210">
        <v>70696</v>
      </c>
      <c r="G31" s="211">
        <f t="shared" si="19"/>
        <v>84634.29</v>
      </c>
      <c r="H31" s="188">
        <f t="shared" si="17"/>
        <v>0</v>
      </c>
      <c r="I31" s="188">
        <f t="shared" si="18"/>
        <v>84634.29</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210">
        <v>2942437.3200000003</v>
      </c>
      <c r="E32" s="210"/>
      <c r="F32" s="210"/>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210">
        <v>316246.15000000002</v>
      </c>
      <c r="E33" s="210"/>
      <c r="F33" s="210"/>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1969377.82</v>
      </c>
      <c r="D34" s="213">
        <f>SUM(D22:D33)</f>
        <v>9109253.4500000011</v>
      </c>
      <c r="E34" s="213">
        <f>SUM(E22:E33)</f>
        <v>-4882219</v>
      </c>
      <c r="F34" s="213">
        <f>SUM(F22:F33)</f>
        <v>3664929</v>
      </c>
      <c r="G34" s="213">
        <f t="shared" ref="G34:I34" si="20">SUM(G22:G33)</f>
        <v>4633279.9799999995</v>
      </c>
      <c r="H34" s="213">
        <f t="shared" si="20"/>
        <v>494156.49212000007</v>
      </c>
      <c r="I34" s="213">
        <f t="shared" si="20"/>
        <v>5127436.4721199991</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t="s">
        <v>343</v>
      </c>
      <c r="C36" s="215">
        <f>C22+C23</f>
        <v>1609139.5</v>
      </c>
      <c r="D36" s="186">
        <f>D22+D23</f>
        <v>4356221.78</v>
      </c>
      <c r="E36" s="186">
        <f t="shared" ref="E36:H36" si="21">E22+E23</f>
        <v>-3688936</v>
      </c>
      <c r="F36" s="186">
        <f t="shared" si="21"/>
        <v>2714907</v>
      </c>
      <c r="G36" s="186">
        <f t="shared" si="21"/>
        <v>3382192.78</v>
      </c>
      <c r="H36" s="186">
        <f t="shared" si="21"/>
        <v>394301.75769000006</v>
      </c>
      <c r="I36" s="215">
        <f>I22+I23</f>
        <v>3776494.5376899997</v>
      </c>
      <c r="J36" s="282" t="s">
        <v>343</v>
      </c>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t="s">
        <v>343</v>
      </c>
      <c r="C38" s="218">
        <f>SUM(C24:C27)</f>
        <v>336113.32</v>
      </c>
      <c r="D38" s="219">
        <f>SUM(D24:D27)</f>
        <v>1127697.98</v>
      </c>
      <c r="E38" s="219">
        <f t="shared" ref="E38:F38" si="22">SUM(E24:E27)</f>
        <v>-894452</v>
      </c>
      <c r="F38" s="219">
        <f t="shared" si="22"/>
        <v>723147</v>
      </c>
      <c r="G38" s="219">
        <f>SUM(G24:G27)</f>
        <v>956392.98</v>
      </c>
      <c r="H38" s="219">
        <f>SUM(H24:H27)</f>
        <v>101300.94821</v>
      </c>
      <c r="I38" s="218">
        <f>SUM(I24:I27)</f>
        <v>1057693.92821</v>
      </c>
      <c r="J38" s="282" t="s">
        <v>343</v>
      </c>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c r="B40" s="170"/>
      <c r="C40" s="221">
        <v>43770</v>
      </c>
      <c r="D40" s="221">
        <v>43770</v>
      </c>
      <c r="E40" s="221">
        <v>43770</v>
      </c>
      <c r="F40" s="221">
        <v>43739</v>
      </c>
      <c r="G40" s="221">
        <v>43344</v>
      </c>
      <c r="H40" s="221">
        <v>43922</v>
      </c>
      <c r="I40" s="324" t="s">
        <v>375</v>
      </c>
      <c r="J40" s="324"/>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23" t="s">
        <v>364</v>
      </c>
      <c r="J41" s="330"/>
      <c r="K41" s="330"/>
      <c r="L41" s="330"/>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2.1899999999999999E-2</v>
      </c>
      <c r="I42" s="224">
        <v>-2.1409999999999998E-2</v>
      </c>
      <c r="J42" s="224"/>
      <c r="K42" s="224"/>
      <c r="L42" s="224"/>
      <c r="N42" s="225">
        <f>SUM(C42:I42)</f>
        <v>0.30076000000000003</v>
      </c>
      <c r="O42" s="225">
        <f>SUM(C42:I42)</f>
        <v>0.30076000000000003</v>
      </c>
      <c r="P42" s="191">
        <f t="shared" ref="P42:P51" si="23">N42*G4</f>
        <v>804939.32676000008</v>
      </c>
      <c r="Q42" s="226">
        <f t="shared" ref="Q42:Q51" si="24">-F4*O42</f>
        <v>1199519.0026800002</v>
      </c>
      <c r="R42" s="191">
        <f>P42-Q42</f>
        <v>-394579.67592000007</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f>H42</f>
        <v>2.1899999999999999E-2</v>
      </c>
      <c r="I43" s="224">
        <f>I42</f>
        <v>-2.1409999999999998E-2</v>
      </c>
      <c r="J43" s="224"/>
      <c r="K43" s="224"/>
      <c r="L43" s="224"/>
      <c r="N43" s="225">
        <f t="shared" ref="N43:N51" si="25">SUM(C43:I43)</f>
        <v>-0.18392999999999998</v>
      </c>
      <c r="O43" s="225">
        <f t="shared" ref="O43:O51" si="26">SUM(C43:I43)</f>
        <v>-0.18392999999999998</v>
      </c>
      <c r="P43" s="191">
        <f t="shared" si="23"/>
        <v>-643.38713999999993</v>
      </c>
      <c r="Q43" s="226">
        <f t="shared" si="24"/>
        <v>-921.30536999999993</v>
      </c>
      <c r="R43" s="191">
        <f t="shared" ref="R43:R51" si="27">P43-Q43</f>
        <v>277.91822999999999</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1.8360000000000001E-2</v>
      </c>
      <c r="I44" s="224">
        <v>-1.21E-2</v>
      </c>
      <c r="J44" s="224"/>
      <c r="K44" s="224"/>
      <c r="L44" s="224"/>
      <c r="N44" s="225">
        <f t="shared" si="25"/>
        <v>0.30358999999999997</v>
      </c>
      <c r="O44" s="225">
        <f t="shared" si="26"/>
        <v>0.30358999999999997</v>
      </c>
      <c r="P44" s="191">
        <f t="shared" si="23"/>
        <v>353711.49463999999</v>
      </c>
      <c r="Q44" s="226">
        <f t="shared" si="24"/>
        <v>450111.33810999995</v>
      </c>
      <c r="R44" s="191">
        <f t="shared" si="27"/>
        <v>-96399.843469999963</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f>H44</f>
        <v>1.8360000000000001E-2</v>
      </c>
      <c r="I45" s="224">
        <f>I44</f>
        <v>-1.21E-2</v>
      </c>
      <c r="J45" s="224"/>
      <c r="K45" s="224"/>
      <c r="L45" s="224"/>
      <c r="N45" s="225">
        <f t="shared" si="25"/>
        <v>0.29273999999999994</v>
      </c>
      <c r="O45" s="225">
        <f t="shared" si="26"/>
        <v>0.29273999999999994</v>
      </c>
      <c r="P45" s="191">
        <f t="shared" si="23"/>
        <v>31504.093319999993</v>
      </c>
      <c r="Q45" s="226">
        <f t="shared" si="24"/>
        <v>4523.4184799999994</v>
      </c>
      <c r="R45" s="191">
        <f t="shared" si="27"/>
        <v>26980.674839999992</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f t="shared" ref="H46" si="28">H45</f>
        <v>1.8360000000000001E-2</v>
      </c>
      <c r="I46" s="224">
        <f t="shared" ref="I46:I47" si="29">I45</f>
        <v>-1.21E-2</v>
      </c>
      <c r="J46" s="224"/>
      <c r="K46" s="224"/>
      <c r="L46" s="224"/>
      <c r="N46" s="225">
        <f t="shared" si="25"/>
        <v>0.30008999999999997</v>
      </c>
      <c r="O46" s="225">
        <f t="shared" si="26"/>
        <v>0.30008999999999997</v>
      </c>
      <c r="P46" s="191">
        <f t="shared" si="23"/>
        <v>0</v>
      </c>
      <c r="Q46" s="226">
        <f t="shared" si="24"/>
        <v>2832.2494199999996</v>
      </c>
      <c r="R46" s="191">
        <f t="shared" si="27"/>
        <v>-2832.2494199999996</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f t="shared" ref="H47" si="30">H46</f>
        <v>1.8360000000000001E-2</v>
      </c>
      <c r="I47" s="224">
        <f t="shared" si="29"/>
        <v>-1.21E-2</v>
      </c>
      <c r="J47" s="224"/>
      <c r="K47" s="224"/>
      <c r="L47" s="224"/>
      <c r="N47" s="225">
        <f t="shared" si="25"/>
        <v>0.28923999999999994</v>
      </c>
      <c r="O47" s="225">
        <f t="shared" si="26"/>
        <v>0.28923999999999994</v>
      </c>
      <c r="P47" s="191">
        <f t="shared" si="23"/>
        <v>0</v>
      </c>
      <c r="Q47" s="226">
        <f t="shared" si="24"/>
        <v>29049.530159999995</v>
      </c>
      <c r="R47" s="191">
        <f t="shared" si="27"/>
        <v>-29049.530159999995</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1.6109999999999999E-2</v>
      </c>
      <c r="I48" s="224">
        <v>-7.92E-3</v>
      </c>
      <c r="J48" s="224"/>
      <c r="K48" s="224"/>
      <c r="L48" s="224"/>
      <c r="N48" s="225">
        <f t="shared" si="25"/>
        <v>0.23843</v>
      </c>
      <c r="O48" s="225">
        <f t="shared" si="26"/>
        <v>0.23843</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9.8999999999999999E-4</v>
      </c>
      <c r="I49" s="224">
        <v>-3.5300000000000002E-3</v>
      </c>
      <c r="J49" s="224"/>
      <c r="K49" s="224"/>
      <c r="L49" s="224"/>
      <c r="N49" s="225">
        <f t="shared" si="25"/>
        <v>-1.98E-3</v>
      </c>
      <c r="O49" s="225">
        <f t="shared" si="26"/>
        <v>-1.98E-3</v>
      </c>
      <c r="P49" s="191">
        <f t="shared" si="23"/>
        <v>-3472.58538</v>
      </c>
      <c r="Q49" s="226">
        <f t="shared" si="24"/>
        <v>-4918.7991599999996</v>
      </c>
      <c r="R49" s="191">
        <f t="shared" si="27"/>
        <v>1446.2137799999996</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1186038.9421999999</v>
      </c>
      <c r="Q52" s="227">
        <f>SUM(Q42:Q51)</f>
        <v>1680195.4343200002</v>
      </c>
      <c r="R52" s="227">
        <f>SUM(R42:R51)</f>
        <v>-494156.49212000007</v>
      </c>
      <c r="U52" s="170"/>
      <c r="V52" s="170"/>
      <c r="W52" s="170"/>
      <c r="X52" s="170"/>
      <c r="Y52" s="170"/>
      <c r="Z52" s="170"/>
      <c r="AA52" s="170"/>
      <c r="AB52" s="170"/>
      <c r="AC52" s="170"/>
      <c r="AD52" s="170"/>
      <c r="AE52" s="77"/>
      <c r="AF52" s="77"/>
      <c r="AG52" s="77"/>
    </row>
    <row r="53" spans="1:33" ht="42" customHeight="1" x14ac:dyDescent="0.25">
      <c r="A53" s="222" t="s">
        <v>255</v>
      </c>
      <c r="B53" s="174"/>
      <c r="C53" s="329" t="s">
        <v>256</v>
      </c>
      <c r="D53" s="329" t="s">
        <v>257</v>
      </c>
      <c r="E53" s="329" t="s">
        <v>248</v>
      </c>
      <c r="F53" s="329" t="s">
        <v>258</v>
      </c>
      <c r="G53" s="329" t="s">
        <v>259</v>
      </c>
      <c r="H53" s="329" t="s">
        <v>260</v>
      </c>
      <c r="I53" s="329" t="s">
        <v>366</v>
      </c>
      <c r="J53" s="329" t="s">
        <v>261</v>
      </c>
      <c r="M53" s="170"/>
      <c r="N53" s="170"/>
      <c r="O53" s="170"/>
      <c r="Q53" s="262">
        <f>'04.2020 Base Rate Revenue'!P52</f>
        <v>1680195.4343200002</v>
      </c>
      <c r="R53" s="188">
        <f>J64</f>
        <v>-494156.49212000007</v>
      </c>
      <c r="U53" s="170"/>
      <c r="V53" s="170"/>
      <c r="W53" s="170"/>
      <c r="X53" s="170"/>
      <c r="Y53" s="170"/>
      <c r="Z53" s="170"/>
      <c r="AA53" s="170"/>
      <c r="AB53" s="170"/>
      <c r="AC53" s="170"/>
      <c r="AD53" s="77"/>
      <c r="AE53" s="77"/>
      <c r="AF53" s="77"/>
    </row>
    <row r="54" spans="1:33" x14ac:dyDescent="0.25">
      <c r="A54" s="178" t="s">
        <v>212</v>
      </c>
      <c r="B54" s="170"/>
      <c r="C54" s="186">
        <f>C42*$H4</f>
        <v>-343072.83300000004</v>
      </c>
      <c r="D54" s="186">
        <f t="shared" ref="D54:E54" si="31">D42*$H4</f>
        <v>-5628.2311800000007</v>
      </c>
      <c r="E54" s="186">
        <f t="shared" si="31"/>
        <v>-5510.1563999999998</v>
      </c>
      <c r="F54" s="186">
        <f>F42*$H4</f>
        <v>0</v>
      </c>
      <c r="G54" s="186">
        <f t="shared" ref="G54:I54" si="32">G42*$H4</f>
        <v>-39725.603759999998</v>
      </c>
      <c r="H54" s="186">
        <f t="shared" si="32"/>
        <v>-28731.5298</v>
      </c>
      <c r="I54" s="186">
        <f t="shared" si="32"/>
        <v>28088.678219999998</v>
      </c>
      <c r="J54" s="186">
        <f>SUM(C54:I54)</f>
        <v>-394579.67592000007</v>
      </c>
      <c r="M54" s="170"/>
      <c r="N54" s="191"/>
      <c r="O54" s="170"/>
      <c r="P54" s="170"/>
      <c r="R54" s="191">
        <f>R52-R53</f>
        <v>0</v>
      </c>
      <c r="U54" s="170"/>
      <c r="V54" s="170"/>
      <c r="W54" s="170"/>
      <c r="X54" s="170"/>
      <c r="Y54" s="170"/>
      <c r="Z54" s="170"/>
      <c r="AA54" s="170"/>
      <c r="AB54" s="170"/>
      <c r="AC54" s="170"/>
      <c r="AD54" s="77"/>
      <c r="AE54" s="77"/>
      <c r="AF54" s="77"/>
    </row>
    <row r="55" spans="1:33" x14ac:dyDescent="0.25">
      <c r="A55" s="178" t="s">
        <v>214</v>
      </c>
      <c r="B55" s="170"/>
      <c r="C55" s="186">
        <f t="shared" ref="C55:I63" si="33">C43*$H5</f>
        <v>-395.12650000000002</v>
      </c>
      <c r="D55" s="186">
        <f t="shared" si="33"/>
        <v>-6.482190000000001</v>
      </c>
      <c r="E55" s="186">
        <f t="shared" si="33"/>
        <v>-6.3461999999999996</v>
      </c>
      <c r="F55" s="186">
        <f t="shared" si="33"/>
        <v>732.36658999999997</v>
      </c>
      <c r="G55" s="186">
        <f t="shared" si="33"/>
        <v>-45.753080000000004</v>
      </c>
      <c r="H55" s="186">
        <f t="shared" si="33"/>
        <v>-33.090899999999998</v>
      </c>
      <c r="I55" s="186">
        <f t="shared" si="33"/>
        <v>32.35051</v>
      </c>
      <c r="J55" s="186">
        <f t="shared" ref="J55:J63" si="34">SUM(C55:I55)</f>
        <v>277.91822999999994</v>
      </c>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3"/>
        <v>-79957.984729999996</v>
      </c>
      <c r="D56" s="186">
        <f t="shared" si="33"/>
        <v>-3445.2330500000003</v>
      </c>
      <c r="E56" s="186">
        <f t="shared" si="33"/>
        <v>-5845.7825299999995</v>
      </c>
      <c r="F56" s="186">
        <f t="shared" si="33"/>
        <v>0</v>
      </c>
      <c r="G56" s="186">
        <f t="shared" si="33"/>
        <v>-5163.0865800000001</v>
      </c>
      <c r="H56" s="186">
        <f t="shared" si="33"/>
        <v>-5829.9058800000003</v>
      </c>
      <c r="I56" s="186">
        <f t="shared" si="33"/>
        <v>3842.1493</v>
      </c>
      <c r="J56" s="186">
        <f t="shared" si="34"/>
        <v>-96399.843469999993</v>
      </c>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3"/>
        <v>23208.320459999999</v>
      </c>
      <c r="D57" s="186">
        <f t="shared" si="33"/>
        <v>0</v>
      </c>
      <c r="E57" s="186">
        <f t="shared" si="33"/>
        <v>1696.7760599999999</v>
      </c>
      <c r="F57" s="186">
        <f t="shared" si="33"/>
        <v>0</v>
      </c>
      <c r="G57" s="186">
        <f t="shared" si="33"/>
        <v>1498.61916</v>
      </c>
      <c r="H57" s="186">
        <f t="shared" si="33"/>
        <v>1692.16776</v>
      </c>
      <c r="I57" s="186">
        <f t="shared" si="33"/>
        <v>-1115.2085999999999</v>
      </c>
      <c r="J57" s="186">
        <f t="shared" si="34"/>
        <v>26980.67484</v>
      </c>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3"/>
        <v>-2376.5827799999997</v>
      </c>
      <c r="D58" s="186">
        <f t="shared" si="33"/>
        <v>-102.4023</v>
      </c>
      <c r="E58" s="186">
        <f t="shared" si="33"/>
        <v>-173.75358</v>
      </c>
      <c r="F58" s="186">
        <f t="shared" si="33"/>
        <v>0</v>
      </c>
      <c r="G58" s="186">
        <f t="shared" si="33"/>
        <v>-120.42888000000001</v>
      </c>
      <c r="H58" s="186">
        <f t="shared" si="33"/>
        <v>-173.28168000000002</v>
      </c>
      <c r="I58" s="186">
        <f t="shared" si="33"/>
        <v>114.1998</v>
      </c>
      <c r="J58" s="186">
        <f t="shared" si="34"/>
        <v>-2832.2494200000001</v>
      </c>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3"/>
        <v>-25290.285539999997</v>
      </c>
      <c r="D59" s="186">
        <f t="shared" si="33"/>
        <v>0</v>
      </c>
      <c r="E59" s="186">
        <f t="shared" si="33"/>
        <v>-1848.9899399999999</v>
      </c>
      <c r="F59" s="186">
        <f t="shared" si="33"/>
        <v>0</v>
      </c>
      <c r="G59" s="186">
        <f t="shared" si="33"/>
        <v>-1281.53784</v>
      </c>
      <c r="H59" s="186">
        <f t="shared" si="33"/>
        <v>-1843.9682400000002</v>
      </c>
      <c r="I59" s="186">
        <f t="shared" si="33"/>
        <v>1215.2513999999999</v>
      </c>
      <c r="J59" s="186">
        <f t="shared" si="34"/>
        <v>-29049.530159999995</v>
      </c>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3"/>
        <v>0</v>
      </c>
      <c r="D60" s="186">
        <f t="shared" si="33"/>
        <v>0</v>
      </c>
      <c r="E60" s="186">
        <f t="shared" si="33"/>
        <v>0</v>
      </c>
      <c r="F60" s="186">
        <f t="shared" si="33"/>
        <v>0</v>
      </c>
      <c r="G60" s="186">
        <f t="shared" si="33"/>
        <v>0</v>
      </c>
      <c r="H60" s="186">
        <f t="shared" si="33"/>
        <v>0</v>
      </c>
      <c r="I60" s="186">
        <f t="shared" si="33"/>
        <v>0</v>
      </c>
      <c r="J60" s="186">
        <f t="shared" si="34"/>
        <v>0</v>
      </c>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3"/>
        <v>-409.03015999999997</v>
      </c>
      <c r="D61" s="186">
        <f t="shared" si="33"/>
        <v>0</v>
      </c>
      <c r="E61" s="186">
        <f t="shared" si="33"/>
        <v>0</v>
      </c>
      <c r="F61" s="186">
        <f t="shared" si="33"/>
        <v>0</v>
      </c>
      <c r="G61" s="186">
        <f t="shared" si="33"/>
        <v>0</v>
      </c>
      <c r="H61" s="186">
        <f t="shared" si="33"/>
        <v>-723.10689000000002</v>
      </c>
      <c r="I61" s="186">
        <f t="shared" si="33"/>
        <v>2578.3508300000003</v>
      </c>
      <c r="J61" s="186">
        <f t="shared" si="34"/>
        <v>1446.2137800000003</v>
      </c>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3"/>
        <v>0</v>
      </c>
      <c r="D62" s="186">
        <f t="shared" si="33"/>
        <v>0</v>
      </c>
      <c r="E62" s="186">
        <f t="shared" si="33"/>
        <v>0</v>
      </c>
      <c r="F62" s="186">
        <f t="shared" si="33"/>
        <v>0</v>
      </c>
      <c r="G62" s="186">
        <f t="shared" si="33"/>
        <v>0</v>
      </c>
      <c r="H62" s="186">
        <f t="shared" si="33"/>
        <v>0</v>
      </c>
      <c r="I62" s="186">
        <f t="shared" si="33"/>
        <v>0</v>
      </c>
      <c r="J62" s="186">
        <f t="shared" si="34"/>
        <v>0</v>
      </c>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3"/>
        <v>0</v>
      </c>
      <c r="D63" s="186">
        <f t="shared" si="33"/>
        <v>0</v>
      </c>
      <c r="E63" s="186">
        <f t="shared" si="33"/>
        <v>0</v>
      </c>
      <c r="F63" s="186">
        <f t="shared" si="33"/>
        <v>0</v>
      </c>
      <c r="G63" s="186">
        <f t="shared" si="33"/>
        <v>0</v>
      </c>
      <c r="H63" s="186">
        <f t="shared" si="33"/>
        <v>0</v>
      </c>
      <c r="I63" s="186">
        <f t="shared" si="33"/>
        <v>0</v>
      </c>
      <c r="J63" s="186">
        <f t="shared" si="34"/>
        <v>0</v>
      </c>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-428293.52225000004</v>
      </c>
      <c r="D64" s="194">
        <f t="shared" ref="D64:I64" si="35">SUM(D54:D63)</f>
        <v>-9182.34872</v>
      </c>
      <c r="E64" s="194">
        <f t="shared" si="35"/>
        <v>-11688.25259</v>
      </c>
      <c r="F64" s="194">
        <f t="shared" si="35"/>
        <v>732.36658999999997</v>
      </c>
      <c r="G64" s="194">
        <f t="shared" si="35"/>
        <v>-44837.790979999998</v>
      </c>
      <c r="H64" s="194">
        <f t="shared" si="35"/>
        <v>-35642.715630000006</v>
      </c>
      <c r="I64" s="194">
        <f t="shared" si="35"/>
        <v>34755.771459999996</v>
      </c>
      <c r="J64" s="194">
        <f>SUM(J54:J63)</f>
        <v>-494156.49212000007</v>
      </c>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-343467.95950000006</v>
      </c>
      <c r="D66" s="186">
        <f>D54+D55</f>
        <v>-5634.7133700000004</v>
      </c>
      <c r="E66" s="186">
        <f t="shared" ref="E66:I66" si="36">E54+E55</f>
        <v>-5516.5025999999998</v>
      </c>
      <c r="F66" s="186">
        <f t="shared" si="36"/>
        <v>732.36658999999997</v>
      </c>
      <c r="G66" s="186">
        <f t="shared" si="36"/>
        <v>-39771.35684</v>
      </c>
      <c r="H66" s="186">
        <f t="shared" si="36"/>
        <v>-28764.620699999999</v>
      </c>
      <c r="I66" s="186">
        <f t="shared" si="36"/>
        <v>28121.028729999998</v>
      </c>
      <c r="J66" s="186">
        <f>J54+J55</f>
        <v>-394301.75769000006</v>
      </c>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-84416.532589999988</v>
      </c>
      <c r="D68" s="219">
        <f t="shared" ref="D68:I68" si="37">SUM(D56:D59)</f>
        <v>-3547.6353500000005</v>
      </c>
      <c r="E68" s="219">
        <f t="shared" si="37"/>
        <v>-6171.7499899999984</v>
      </c>
      <c r="F68" s="219">
        <f t="shared" si="37"/>
        <v>0</v>
      </c>
      <c r="G68" s="219">
        <f t="shared" si="37"/>
        <v>-5066.4341399999994</v>
      </c>
      <c r="H68" s="219">
        <f t="shared" si="37"/>
        <v>-6154.9880400000002</v>
      </c>
      <c r="I68" s="219">
        <f t="shared" si="37"/>
        <v>4056.3918999999996</v>
      </c>
      <c r="J68" s="219">
        <f>SUM(J56:J59)</f>
        <v>-101300.94821</v>
      </c>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4232</v>
      </c>
      <c r="D74" s="273">
        <v>120897.37422</v>
      </c>
      <c r="E74" s="183">
        <v>41044.160000000003</v>
      </c>
      <c r="F74" s="183">
        <v>92596.98</v>
      </c>
      <c r="G74" s="183">
        <v>36410.199999999997</v>
      </c>
      <c r="H74" s="183">
        <v>3695.62</v>
      </c>
      <c r="I74" s="186">
        <f>SUM(F74:H74)</f>
        <v>132702.79999999999</v>
      </c>
      <c r="J74" s="282" t="s">
        <v>343</v>
      </c>
      <c r="K74" s="170"/>
      <c r="L74" s="170"/>
      <c r="M74" s="170"/>
      <c r="N74" s="170"/>
      <c r="O74" s="170"/>
      <c r="P74" s="170"/>
      <c r="Q74" s="170"/>
      <c r="R74" s="170"/>
      <c r="S74" s="170"/>
      <c r="T74" s="170"/>
      <c r="U74" s="170"/>
      <c r="V74" s="170"/>
      <c r="W74" s="170"/>
      <c r="X74" s="170"/>
      <c r="Y74" s="170"/>
      <c r="Z74" s="170"/>
      <c r="AA74" s="170"/>
      <c r="AB74" s="170"/>
      <c r="AC74" s="170"/>
      <c r="AD74" s="170"/>
      <c r="AE74" s="77"/>
      <c r="AF74" s="77"/>
      <c r="AG74" s="77"/>
    </row>
    <row r="75" spans="1:33" x14ac:dyDescent="0.25">
      <c r="A75" s="178" t="s">
        <v>214</v>
      </c>
      <c r="C75" s="273">
        <v>1</v>
      </c>
      <c r="D75" s="273">
        <v>38.142000000000003</v>
      </c>
      <c r="E75" s="183">
        <v>9.5</v>
      </c>
      <c r="F75" s="183">
        <v>25.16</v>
      </c>
      <c r="G75" s="183">
        <v>-7.03</v>
      </c>
      <c r="H75" s="183">
        <v>1.0900000000000001</v>
      </c>
      <c r="I75" s="186">
        <f t="shared" ref="I75:I79" si="38">SUM(F75:H75)</f>
        <v>19.22</v>
      </c>
      <c r="J75" s="282" t="s">
        <v>343</v>
      </c>
      <c r="K75" s="170"/>
      <c r="L75" s="170"/>
      <c r="M75" s="170"/>
      <c r="N75" s="170"/>
      <c r="O75" s="170"/>
      <c r="P75" s="170"/>
      <c r="Q75" s="170"/>
      <c r="R75" s="170"/>
      <c r="S75" s="170"/>
      <c r="T75" s="170"/>
      <c r="U75" s="170"/>
      <c r="V75" s="170"/>
      <c r="W75" s="170"/>
      <c r="X75" s="170"/>
      <c r="Y75" s="170"/>
      <c r="Z75" s="170"/>
      <c r="AA75" s="170"/>
      <c r="AB75" s="170"/>
      <c r="AC75" s="170"/>
      <c r="AD75" s="170"/>
      <c r="AE75" s="77"/>
      <c r="AF75" s="77"/>
      <c r="AG75" s="77"/>
    </row>
    <row r="76" spans="1:33" x14ac:dyDescent="0.25">
      <c r="A76" s="178" t="s">
        <v>216</v>
      </c>
      <c r="C76" s="273">
        <v>38</v>
      </c>
      <c r="D76" s="273">
        <v>55253.154240000003</v>
      </c>
      <c r="E76" s="183">
        <v>3927.7</v>
      </c>
      <c r="F76" s="183">
        <v>18347.89</v>
      </c>
      <c r="G76" s="183">
        <v>16784.400000000001</v>
      </c>
      <c r="H76" s="183">
        <v>859.06</v>
      </c>
      <c r="I76" s="186">
        <f t="shared" si="38"/>
        <v>35991.35</v>
      </c>
      <c r="J76" s="282" t="s">
        <v>343</v>
      </c>
    </row>
    <row r="77" spans="1:33" x14ac:dyDescent="0.25">
      <c r="A77" s="178" t="s">
        <v>218</v>
      </c>
      <c r="C77" s="273"/>
      <c r="D77" s="273"/>
      <c r="E77" s="183"/>
      <c r="F77" s="183"/>
      <c r="G77" s="183"/>
      <c r="H77" s="183"/>
      <c r="I77" s="186">
        <f t="shared" si="38"/>
        <v>0</v>
      </c>
    </row>
    <row r="78" spans="1:33" x14ac:dyDescent="0.25">
      <c r="A78" s="178" t="s">
        <v>220</v>
      </c>
      <c r="C78" s="273"/>
      <c r="D78" s="273"/>
      <c r="E78" s="183"/>
      <c r="F78" s="183"/>
      <c r="G78" s="183"/>
      <c r="H78" s="183"/>
      <c r="I78" s="186">
        <f t="shared" si="38"/>
        <v>0</v>
      </c>
    </row>
    <row r="79" spans="1:33" x14ac:dyDescent="0.25">
      <c r="A79" s="178" t="s">
        <v>222</v>
      </c>
      <c r="C79" s="273"/>
      <c r="D79" s="273"/>
      <c r="E79" s="183"/>
      <c r="F79" s="183"/>
      <c r="G79" s="183"/>
      <c r="H79" s="183"/>
      <c r="I79" s="186">
        <f t="shared" si="38"/>
        <v>0</v>
      </c>
    </row>
    <row r="80" spans="1:33" x14ac:dyDescent="0.25">
      <c r="A80" s="178" t="s">
        <v>351</v>
      </c>
      <c r="C80" s="310">
        <f>SUM(C74:C79)</f>
        <v>4271</v>
      </c>
      <c r="D80" s="310">
        <f t="shared" ref="D80:I80" si="39">SUM(D74:D79)</f>
        <v>176188.67045999999</v>
      </c>
      <c r="E80" s="213">
        <f t="shared" si="39"/>
        <v>44981.36</v>
      </c>
      <c r="F80" s="213">
        <f t="shared" si="39"/>
        <v>110970.03</v>
      </c>
      <c r="G80" s="213">
        <f t="shared" si="39"/>
        <v>53187.57</v>
      </c>
      <c r="H80" s="213">
        <f t="shared" si="39"/>
        <v>4555.7700000000004</v>
      </c>
      <c r="I80" s="213">
        <f t="shared" si="39"/>
        <v>168713.37</v>
      </c>
    </row>
    <row r="81" spans="1:9" ht="15.75" thickBot="1" x14ac:dyDescent="0.3">
      <c r="A81" s="178"/>
      <c r="C81" s="282" t="s">
        <v>343</v>
      </c>
      <c r="D81" s="282" t="s">
        <v>343</v>
      </c>
      <c r="E81" s="282" t="s">
        <v>343</v>
      </c>
      <c r="F81" s="282" t="s">
        <v>343</v>
      </c>
      <c r="G81" s="282" t="s">
        <v>343</v>
      </c>
      <c r="H81" s="282" t="s">
        <v>343</v>
      </c>
      <c r="I81" s="282" t="s">
        <v>343</v>
      </c>
    </row>
    <row r="82" spans="1:9" x14ac:dyDescent="0.25">
      <c r="A82" s="178" t="s">
        <v>352</v>
      </c>
      <c r="C82" s="311">
        <f t="shared" ref="C82:I82" si="40">C74+C75</f>
        <v>4233</v>
      </c>
      <c r="D82" s="312">
        <f t="shared" si="40"/>
        <v>120935.51622</v>
      </c>
      <c r="E82" s="312">
        <f t="shared" si="40"/>
        <v>41053.660000000003</v>
      </c>
      <c r="F82" s="313">
        <f t="shared" si="40"/>
        <v>92622.14</v>
      </c>
      <c r="G82" s="186">
        <f t="shared" si="40"/>
        <v>36403.17</v>
      </c>
      <c r="H82" s="186">
        <f t="shared" si="40"/>
        <v>3696.71</v>
      </c>
      <c r="I82" s="186">
        <f t="shared" si="40"/>
        <v>132722.01999999999</v>
      </c>
    </row>
    <row r="83" spans="1:9" x14ac:dyDescent="0.25">
      <c r="C83" s="325" t="s">
        <v>343</v>
      </c>
      <c r="D83" s="326" t="s">
        <v>343</v>
      </c>
      <c r="E83" s="326" t="s">
        <v>343</v>
      </c>
      <c r="F83" s="327" t="s">
        <v>343</v>
      </c>
      <c r="G83" s="186"/>
      <c r="H83" s="186"/>
      <c r="I83" s="186"/>
    </row>
    <row r="84" spans="1:9" ht="15.75" thickBot="1" x14ac:dyDescent="0.3">
      <c r="A84" s="178" t="s">
        <v>353</v>
      </c>
      <c r="C84" s="314">
        <f t="shared" ref="C84:H84" si="41">SUM(C76:C79)</f>
        <v>38</v>
      </c>
      <c r="D84" s="315">
        <f t="shared" si="41"/>
        <v>55253.154240000003</v>
      </c>
      <c r="E84" s="316">
        <f t="shared" si="41"/>
        <v>3927.7</v>
      </c>
      <c r="F84" s="317">
        <f t="shared" si="41"/>
        <v>18347.89</v>
      </c>
      <c r="G84" s="186">
        <f t="shared" si="41"/>
        <v>16784.400000000001</v>
      </c>
      <c r="H84" s="186">
        <f t="shared" si="41"/>
        <v>859.06</v>
      </c>
      <c r="I84" s="186">
        <f>SUM(I76:I79)</f>
        <v>35991.35</v>
      </c>
    </row>
    <row r="85" spans="1:9" x14ac:dyDescent="0.25">
      <c r="C85" s="282" t="s">
        <v>343</v>
      </c>
      <c r="D85" s="282" t="s">
        <v>343</v>
      </c>
      <c r="E85" s="282" t="s">
        <v>343</v>
      </c>
      <c r="F85" s="282" t="s">
        <v>343</v>
      </c>
    </row>
  </sheetData>
  <mergeCells count="7">
    <mergeCell ref="R40:R41"/>
    <mergeCell ref="A70:I70"/>
    <mergeCell ref="A1:I1"/>
    <mergeCell ref="O40:O41"/>
    <mergeCell ref="P40:P41"/>
    <mergeCell ref="Q40:Q41"/>
    <mergeCell ref="N40:N41"/>
  </mergeCells>
  <printOptions horizontalCentered="1"/>
  <pageMargins left="0.45" right="0.45" top="0.5" bottom="0.5" header="0.3" footer="0.3"/>
  <pageSetup scale="80" orientation="landscape" useFirstPageNumber="1" r:id="rId1"/>
  <headerFooter scaleWithDoc="0">
    <oddFooter>&amp;L&amp;F / &amp;A&amp;RPage &amp;P</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85"/>
  <sheetViews>
    <sheetView workbookViewId="0">
      <selection sqref="A1:I1"/>
    </sheetView>
  </sheetViews>
  <sheetFormatPr defaultRowHeight="15" x14ac:dyDescent="0.25"/>
  <cols>
    <col min="1" max="1" width="19" customWidth="1"/>
    <col min="2" max="2" width="5.85546875" customWidth="1"/>
    <col min="3" max="3" width="19.140625" customWidth="1"/>
    <col min="4" max="5" width="16.42578125" customWidth="1"/>
    <col min="6" max="6" width="16.140625" customWidth="1"/>
    <col min="7" max="7" width="15.5703125" customWidth="1"/>
    <col min="8" max="8" width="15.42578125" customWidth="1"/>
    <col min="9" max="9" width="19.28515625" customWidth="1"/>
    <col min="10" max="10" width="16"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344</v>
      </c>
      <c r="AB1" s="170"/>
      <c r="AC1" s="171" t="s">
        <v>203</v>
      </c>
      <c r="AD1" s="172" t="s">
        <v>342</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288" t="str">
        <f>AA1&amp;" Billed Schedule 175 Revenue"</f>
        <v>April Billed Schedule 175 Revenue</v>
      </c>
      <c r="O2" s="288" t="str">
        <f>AA1&amp;" Billed Therms"</f>
        <v>April Billed Therms</v>
      </c>
      <c r="P2" s="288" t="str">
        <f>AA1&amp;" Unbilled Therms"</f>
        <v>April Unbilled Therms</v>
      </c>
      <c r="Q2" s="288" t="s">
        <v>308</v>
      </c>
      <c r="R2" s="288" t="s">
        <v>209</v>
      </c>
      <c r="S2" s="288" t="str">
        <f>AD1&amp;" Unbilled Therms reversal"</f>
        <v>March Unbilled Therms reversal</v>
      </c>
      <c r="T2" s="288" t="s">
        <v>308</v>
      </c>
      <c r="U2" s="288" t="str">
        <f>AD1&amp;" Schedule 175 Unbilled Reversal"</f>
        <v>March Schedule 175 Unbilled Reversal</v>
      </c>
      <c r="V2" s="170"/>
      <c r="W2" s="288" t="str">
        <f>"Total "&amp;AA1&amp;" Schedule 175 Revenue"</f>
        <v>Total April Schedule 175 Revenue</v>
      </c>
      <c r="X2" s="170"/>
      <c r="Y2" s="288" t="str">
        <f>"Calendar "&amp;AA1&amp;" Usage"</f>
        <v>Calendar April Usage</v>
      </c>
      <c r="Z2" s="288" t="str">
        <f>Q2</f>
        <v>11/1/2019 rate</v>
      </c>
      <c r="AA2" s="288" t="s">
        <v>210</v>
      </c>
      <c r="AB2" s="288" t="s">
        <v>211</v>
      </c>
      <c r="AC2" s="288" t="str">
        <f>"implied "&amp;AD1&amp;" unbilled/Cancel-Rebill True-up therms"</f>
        <v>implied March unbilled/Cancel-Rebill True-up therms</v>
      </c>
      <c r="AD2" s="170"/>
      <c r="AE2" s="77"/>
      <c r="AF2" s="77"/>
      <c r="AG2" s="77"/>
    </row>
    <row r="3" spans="1:33" x14ac:dyDescent="0.25">
      <c r="A3" s="177"/>
      <c r="B3" s="177"/>
      <c r="C3" s="177"/>
      <c r="D3" s="170"/>
      <c r="E3" s="170"/>
      <c r="F3" s="170"/>
      <c r="G3" s="170"/>
      <c r="H3" s="170"/>
      <c r="I3" s="170"/>
      <c r="J3" s="170"/>
      <c r="K3" s="170"/>
      <c r="L3" s="170"/>
      <c r="M3" s="170"/>
      <c r="N3" s="288"/>
      <c r="O3" s="288"/>
      <c r="P3" s="288"/>
      <c r="Q3" s="288"/>
      <c r="R3" s="288"/>
      <c r="S3" s="288"/>
      <c r="T3" s="288"/>
      <c r="U3" s="288"/>
      <c r="V3" s="170"/>
      <c r="W3" s="288"/>
      <c r="X3" s="170"/>
      <c r="Y3" s="288"/>
      <c r="Z3" s="288"/>
      <c r="AA3" s="288"/>
      <c r="AB3" s="288"/>
      <c r="AC3" s="288"/>
      <c r="AD3" s="170"/>
      <c r="AE3" s="77"/>
      <c r="AF3" s="77"/>
      <c r="AG3" s="77"/>
    </row>
    <row r="4" spans="1:33" x14ac:dyDescent="0.25">
      <c r="A4" s="178" t="s">
        <v>212</v>
      </c>
      <c r="B4" s="177"/>
      <c r="C4" s="179">
        <v>167668</v>
      </c>
      <c r="D4" s="177"/>
      <c r="E4" s="180">
        <v>12799357.35479</v>
      </c>
      <c r="F4" s="180">
        <v>-8118329</v>
      </c>
      <c r="G4" s="180">
        <f>3993302-G5</f>
        <v>3988293</v>
      </c>
      <c r="H4" s="181">
        <f>F4+G4</f>
        <v>-4130036</v>
      </c>
      <c r="I4" s="182">
        <f t="shared" ref="I4:I13" si="0">SUM(E4:G4)</f>
        <v>8669321.3547900002</v>
      </c>
      <c r="J4" s="170"/>
      <c r="K4" s="170"/>
      <c r="L4" s="170" t="s">
        <v>213</v>
      </c>
      <c r="M4" s="170"/>
      <c r="N4" s="183">
        <v>53758.97</v>
      </c>
      <c r="O4" s="184">
        <f>E4</f>
        <v>12799357.35479</v>
      </c>
      <c r="P4" s="184">
        <f t="shared" ref="P4:P9" si="1">G4</f>
        <v>3988293</v>
      </c>
      <c r="Q4" s="185">
        <v>4.1999999999999997E-3</v>
      </c>
      <c r="R4" s="186">
        <f>P4*Q4</f>
        <v>16750.830599999998</v>
      </c>
      <c r="S4" s="184">
        <f t="shared" ref="S4:S9" si="2">F4</f>
        <v>-8118329</v>
      </c>
      <c r="T4" s="185">
        <v>4.1999999999999997E-3</v>
      </c>
      <c r="U4" s="187">
        <f>S4*T4</f>
        <v>-34096.981800000001</v>
      </c>
      <c r="V4" s="170"/>
      <c r="W4" s="188">
        <f>N4+R4+U4</f>
        <v>36412.818800000001</v>
      </c>
      <c r="X4" s="170"/>
      <c r="Y4" s="189">
        <f>O4+P4+S4</f>
        <v>8669321.3547900021</v>
      </c>
      <c r="Z4" s="190">
        <f>Q4</f>
        <v>4.1999999999999997E-3</v>
      </c>
      <c r="AA4" s="191">
        <f>Y4*Z4</f>
        <v>36411.149690118007</v>
      </c>
      <c r="AB4" s="188">
        <f>W4-AA4</f>
        <v>1.6691098819937906</v>
      </c>
      <c r="AC4" s="189">
        <f>AB4/T4</f>
        <v>397.40711476042634</v>
      </c>
      <c r="AD4" s="192">
        <f t="shared" ref="AD4:AD11" si="3">AB4/W4</f>
        <v>4.5838524371362057E-5</v>
      </c>
      <c r="AE4" s="77"/>
      <c r="AF4" s="77"/>
      <c r="AG4" s="77"/>
    </row>
    <row r="5" spans="1:33" x14ac:dyDescent="0.25">
      <c r="A5" s="178" t="s">
        <v>214</v>
      </c>
      <c r="B5" s="177"/>
      <c r="C5" s="179">
        <v>208</v>
      </c>
      <c r="D5" s="177"/>
      <c r="E5" s="180">
        <v>16051.08159</v>
      </c>
      <c r="F5" s="180">
        <v>-9866</v>
      </c>
      <c r="G5" s="180">
        <v>5009</v>
      </c>
      <c r="H5" s="181">
        <f t="shared" ref="H5:H13" si="4">F5+G5</f>
        <v>-4857</v>
      </c>
      <c r="I5" s="182">
        <f t="shared" si="0"/>
        <v>11194.08159</v>
      </c>
      <c r="J5" s="170"/>
      <c r="K5" s="170"/>
      <c r="L5" s="170" t="s">
        <v>215</v>
      </c>
      <c r="M5" s="170"/>
      <c r="N5" s="183">
        <v>67.41</v>
      </c>
      <c r="O5" s="184">
        <f t="shared" ref="O5:O7" si="5">E5</f>
        <v>16051.08159</v>
      </c>
      <c r="P5" s="184">
        <f t="shared" si="1"/>
        <v>5009</v>
      </c>
      <c r="Q5" s="185">
        <v>4.1999999999999997E-3</v>
      </c>
      <c r="R5" s="186">
        <f t="shared" ref="R5:R10" si="6">P5*Q5</f>
        <v>21.037799999999997</v>
      </c>
      <c r="S5" s="184">
        <f t="shared" si="2"/>
        <v>-9866</v>
      </c>
      <c r="T5" s="185">
        <v>4.1999999999999997E-3</v>
      </c>
      <c r="U5" s="187">
        <f t="shared" ref="U5:U10" si="7">S5*T5</f>
        <v>-41.437199999999997</v>
      </c>
      <c r="V5" s="170"/>
      <c r="W5" s="188">
        <f t="shared" ref="W5:W10" si="8">N5+R5+U5</f>
        <v>47.010600000000004</v>
      </c>
      <c r="X5" s="170"/>
      <c r="Y5" s="189">
        <f t="shared" ref="Y5:Y10" si="9">O5+P5+S5</f>
        <v>11194.081590000002</v>
      </c>
      <c r="Z5" s="190">
        <f t="shared" ref="Z5:Z10" si="10">Q5</f>
        <v>4.1999999999999997E-3</v>
      </c>
      <c r="AA5" s="191">
        <f t="shared" ref="AA5:AA10" si="11">Y5*Z5</f>
        <v>47.015142678000004</v>
      </c>
      <c r="AB5" s="188">
        <f t="shared" ref="AB5:AB10" si="12">W5-AA5</f>
        <v>-4.5426779999999667E-3</v>
      </c>
      <c r="AC5" s="189">
        <f t="shared" ref="AC5:AC10" si="13">AB5/T5</f>
        <v>-1.0815899999999921</v>
      </c>
      <c r="AD5" s="192">
        <f t="shared" si="3"/>
        <v>-9.6630930045563473E-5</v>
      </c>
      <c r="AE5" s="77"/>
      <c r="AF5" s="77"/>
      <c r="AG5" s="77"/>
    </row>
    <row r="6" spans="1:33" x14ac:dyDescent="0.25">
      <c r="A6" s="178" t="s">
        <v>216</v>
      </c>
      <c r="B6" s="177"/>
      <c r="C6" s="179">
        <v>3150</v>
      </c>
      <c r="D6" s="177"/>
      <c r="E6" s="180">
        <v>4966731.5520299999</v>
      </c>
      <c r="F6" s="180">
        <v>-3059673</v>
      </c>
      <c r="G6" s="180">
        <v>1482629</v>
      </c>
      <c r="H6" s="181">
        <f t="shared" si="4"/>
        <v>-1577044</v>
      </c>
      <c r="I6" s="182">
        <f>SUM(E6:G6)</f>
        <v>3389687.5520299999</v>
      </c>
      <c r="J6" s="170"/>
      <c r="K6" s="170"/>
      <c r="L6" s="170" t="s">
        <v>217</v>
      </c>
      <c r="M6" s="170"/>
      <c r="N6" s="183">
        <v>91437.69</v>
      </c>
      <c r="O6" s="184">
        <f t="shared" si="5"/>
        <v>4966731.5520299999</v>
      </c>
      <c r="P6" s="184">
        <f t="shared" si="1"/>
        <v>1482629</v>
      </c>
      <c r="Q6" s="193">
        <v>1.8409999999999999E-2</v>
      </c>
      <c r="R6" s="186">
        <f t="shared" si="6"/>
        <v>27295.19989</v>
      </c>
      <c r="S6" s="184">
        <f t="shared" si="2"/>
        <v>-3059673</v>
      </c>
      <c r="T6" s="185">
        <v>1.8409999999999999E-2</v>
      </c>
      <c r="U6" s="187">
        <f t="shared" si="7"/>
        <v>-56328.57993</v>
      </c>
      <c r="V6" s="170"/>
      <c r="W6" s="188">
        <f t="shared" si="8"/>
        <v>62404.309960000006</v>
      </c>
      <c r="X6" s="170"/>
      <c r="Y6" s="189">
        <f t="shared" si="9"/>
        <v>3389687.5520299999</v>
      </c>
      <c r="Z6" s="177">
        <f t="shared" si="10"/>
        <v>1.8409999999999999E-2</v>
      </c>
      <c r="AA6" s="191">
        <f t="shared" si="11"/>
        <v>62404.147832872295</v>
      </c>
      <c r="AB6" s="188">
        <f t="shared" si="12"/>
        <v>0.16212712771084625</v>
      </c>
      <c r="AC6" s="189">
        <f t="shared" si="13"/>
        <v>8.8064708153637294</v>
      </c>
      <c r="AD6" s="192">
        <f t="shared" si="3"/>
        <v>2.5980117048769019E-6</v>
      </c>
      <c r="AE6" s="77"/>
      <c r="AF6" s="77"/>
      <c r="AG6" s="77"/>
    </row>
    <row r="7" spans="1:33" x14ac:dyDescent="0.25">
      <c r="A7" s="178" t="s">
        <v>218</v>
      </c>
      <c r="B7" s="177"/>
      <c r="C7" s="179">
        <v>2</v>
      </c>
      <c r="D7" s="177"/>
      <c r="E7" s="180">
        <v>49519.199000000001</v>
      </c>
      <c r="F7" s="180">
        <v>-7379</v>
      </c>
      <c r="G7" s="180">
        <v>15452</v>
      </c>
      <c r="H7" s="181">
        <f t="shared" si="4"/>
        <v>8073</v>
      </c>
      <c r="I7" s="182">
        <f>SUM(E7:G7)</f>
        <v>57592.199000000001</v>
      </c>
      <c r="J7" s="170"/>
      <c r="K7" s="170"/>
      <c r="L7" s="170" t="s">
        <v>219</v>
      </c>
      <c r="M7" s="170"/>
      <c r="N7" s="183">
        <v>911.65</v>
      </c>
      <c r="O7" s="184">
        <f t="shared" si="5"/>
        <v>49519.199000000001</v>
      </c>
      <c r="P7" s="184">
        <f t="shared" si="1"/>
        <v>15452</v>
      </c>
      <c r="Q7" s="185">
        <v>1.8409999999999999E-2</v>
      </c>
      <c r="R7" s="186">
        <f t="shared" si="6"/>
        <v>284.47131999999999</v>
      </c>
      <c r="S7" s="184">
        <f t="shared" si="2"/>
        <v>-7379</v>
      </c>
      <c r="T7" s="185">
        <v>1.8409999999999999E-2</v>
      </c>
      <c r="U7" s="187">
        <f t="shared" si="7"/>
        <v>-135.84738999999999</v>
      </c>
      <c r="V7" s="170"/>
      <c r="W7" s="188">
        <f t="shared" si="8"/>
        <v>1060.2739300000001</v>
      </c>
      <c r="X7" s="170"/>
      <c r="Y7" s="189">
        <f t="shared" si="9"/>
        <v>57592.199000000001</v>
      </c>
      <c r="Z7" s="190">
        <f t="shared" si="10"/>
        <v>1.8409999999999999E-2</v>
      </c>
      <c r="AA7" s="191">
        <f t="shared" si="11"/>
        <v>1060.2723835899999</v>
      </c>
      <c r="AB7" s="188">
        <f t="shared" si="12"/>
        <v>1.5464100001736369E-3</v>
      </c>
      <c r="AC7" s="189"/>
      <c r="AD7" s="192"/>
      <c r="AE7" s="77"/>
      <c r="AF7" s="77"/>
      <c r="AG7" s="77"/>
    </row>
    <row r="8" spans="1:33" x14ac:dyDescent="0.25">
      <c r="A8" s="178" t="s">
        <v>220</v>
      </c>
      <c r="B8" s="177"/>
      <c r="C8" s="179">
        <v>0</v>
      </c>
      <c r="D8" s="259"/>
      <c r="E8" s="180">
        <v>30245.876</v>
      </c>
      <c r="F8" s="180">
        <v>-67890</v>
      </c>
      <c r="G8" s="180">
        <v>9438</v>
      </c>
      <c r="H8" s="181">
        <f t="shared" si="4"/>
        <v>-58452</v>
      </c>
      <c r="I8" s="182">
        <f t="shared" si="0"/>
        <v>-28206.123999999996</v>
      </c>
      <c r="J8" s="170"/>
      <c r="K8" s="170"/>
      <c r="L8" s="170" t="s">
        <v>221</v>
      </c>
      <c r="M8" s="170"/>
      <c r="N8" s="183">
        <v>556.83000000000004</v>
      </c>
      <c r="O8" s="184">
        <f>E8</f>
        <v>30245.876</v>
      </c>
      <c r="P8" s="184">
        <f t="shared" si="1"/>
        <v>9438</v>
      </c>
      <c r="Q8" s="193">
        <v>1.8409999999999999E-2</v>
      </c>
      <c r="R8" s="186">
        <f t="shared" si="6"/>
        <v>173.75358</v>
      </c>
      <c r="S8" s="184">
        <f t="shared" si="2"/>
        <v>-67890</v>
      </c>
      <c r="T8" s="185">
        <v>1.8409999999999999E-2</v>
      </c>
      <c r="U8" s="187">
        <f t="shared" si="7"/>
        <v>-1249.8549</v>
      </c>
      <c r="V8" s="170"/>
      <c r="W8" s="188">
        <f>N8+R8+U8</f>
        <v>-519.27132000000006</v>
      </c>
      <c r="X8" s="170"/>
      <c r="Y8" s="189">
        <f t="shared" si="9"/>
        <v>-28206.123999999996</v>
      </c>
      <c r="Z8" s="177">
        <f t="shared" si="10"/>
        <v>1.8409999999999999E-2</v>
      </c>
      <c r="AA8" s="191">
        <f t="shared" si="11"/>
        <v>-519.27474283999993</v>
      </c>
      <c r="AB8" s="188">
        <f t="shared" si="12"/>
        <v>3.4228399998710302E-3</v>
      </c>
      <c r="AC8" s="189">
        <f t="shared" si="13"/>
        <v>0.18592286799951277</v>
      </c>
      <c r="AD8" s="192">
        <f>AB8/W8</f>
        <v>-6.5916215050564117E-6</v>
      </c>
      <c r="AE8" s="77"/>
      <c r="AF8" s="77"/>
      <c r="AG8" s="77"/>
    </row>
    <row r="9" spans="1:33" x14ac:dyDescent="0.25">
      <c r="A9" s="178" t="s">
        <v>222</v>
      </c>
      <c r="B9" s="177"/>
      <c r="C9" s="179">
        <v>1</v>
      </c>
      <c r="D9" s="259"/>
      <c r="E9" s="180">
        <v>321866.18199999997</v>
      </c>
      <c r="F9" s="180">
        <v>-206992</v>
      </c>
      <c r="G9" s="180">
        <v>100434</v>
      </c>
      <c r="H9" s="181">
        <f t="shared" si="4"/>
        <v>-106558</v>
      </c>
      <c r="I9" s="182">
        <f t="shared" si="0"/>
        <v>215308.18199999997</v>
      </c>
      <c r="J9" s="170"/>
      <c r="K9" s="170"/>
      <c r="L9" s="170" t="s">
        <v>137</v>
      </c>
      <c r="M9" s="170"/>
      <c r="N9" s="183">
        <v>5925.56</v>
      </c>
      <c r="O9" s="184">
        <f>E9</f>
        <v>321866.18199999997</v>
      </c>
      <c r="P9" s="184">
        <f t="shared" si="1"/>
        <v>100434</v>
      </c>
      <c r="Q9" s="185">
        <v>1.8409999999999999E-2</v>
      </c>
      <c r="R9" s="186">
        <f t="shared" si="6"/>
        <v>1848.9899399999999</v>
      </c>
      <c r="S9" s="184">
        <f t="shared" si="2"/>
        <v>-206992</v>
      </c>
      <c r="T9" s="185">
        <v>1.8409999999999999E-2</v>
      </c>
      <c r="U9" s="187">
        <f t="shared" si="7"/>
        <v>-3810.7227199999998</v>
      </c>
      <c r="V9" s="170"/>
      <c r="W9" s="188">
        <f>N9+R9+U9</f>
        <v>3963.827220000001</v>
      </c>
      <c r="X9" s="170"/>
      <c r="Y9" s="189">
        <f t="shared" si="9"/>
        <v>215308.18199999997</v>
      </c>
      <c r="Z9" s="190">
        <f t="shared" si="10"/>
        <v>1.8409999999999999E-2</v>
      </c>
      <c r="AA9" s="191">
        <f t="shared" si="11"/>
        <v>3963.8236306199992</v>
      </c>
      <c r="AB9" s="188">
        <f t="shared" si="12"/>
        <v>3.5893800018129696E-3</v>
      </c>
      <c r="AC9" s="189"/>
      <c r="AD9" s="192"/>
      <c r="AE9" s="77"/>
      <c r="AF9" s="77"/>
      <c r="AG9" s="77"/>
    </row>
    <row r="10" spans="1:33" x14ac:dyDescent="0.25">
      <c r="A10" s="178" t="s">
        <v>223</v>
      </c>
      <c r="B10" s="177"/>
      <c r="C10" s="179">
        <v>2</v>
      </c>
      <c r="D10" s="177"/>
      <c r="E10" s="180">
        <v>99235.654999999999</v>
      </c>
      <c r="F10" s="180"/>
      <c r="G10" s="180"/>
      <c r="H10" s="181">
        <f t="shared" si="4"/>
        <v>0</v>
      </c>
      <c r="I10" s="182">
        <f t="shared" si="0"/>
        <v>99235.654999999999</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179">
        <v>37</v>
      </c>
      <c r="D11" s="177"/>
      <c r="E11" s="180">
        <v>3174975</v>
      </c>
      <c r="F11" s="180">
        <v>-3146987</v>
      </c>
      <c r="G11" s="180">
        <v>2484242</v>
      </c>
      <c r="H11" s="181">
        <f t="shared" si="4"/>
        <v>-662745</v>
      </c>
      <c r="I11" s="182">
        <f t="shared" si="0"/>
        <v>2512230</v>
      </c>
      <c r="J11" s="170"/>
      <c r="K11" s="170"/>
      <c r="L11" s="170"/>
      <c r="M11" s="170"/>
      <c r="N11" s="194">
        <f>SUM(N4:N10)</f>
        <v>152658.10999999999</v>
      </c>
      <c r="O11" s="195">
        <f>SUM(O4:O10)</f>
        <v>18183771.245409999</v>
      </c>
      <c r="P11" s="195">
        <f>SUM(P4:P10)</f>
        <v>5601255</v>
      </c>
      <c r="Q11" s="170"/>
      <c r="R11" s="194">
        <f>SUM(R4:R10)</f>
        <v>46374.283129999989</v>
      </c>
      <c r="S11" s="195">
        <f>SUM(S4:S10)</f>
        <v>-11470129</v>
      </c>
      <c r="T11" s="196"/>
      <c r="U11" s="194">
        <f>SUM(U4:U10)</f>
        <v>-95663.423940000008</v>
      </c>
      <c r="V11" s="170"/>
      <c r="W11" s="194">
        <f>SUM(W4:W10)</f>
        <v>103368.96919</v>
      </c>
      <c r="X11" s="170"/>
      <c r="Y11" s="197">
        <f>SUM(Y4:Y10)</f>
        <v>12314897.245410003</v>
      </c>
      <c r="Z11" s="170"/>
      <c r="AA11" s="197">
        <f>SUM(AA4:AA10)</f>
        <v>103367.13393703829</v>
      </c>
      <c r="AB11" s="194">
        <f>SUM(AB4:AB10)</f>
        <v>1.8352529617064945</v>
      </c>
      <c r="AC11" s="197">
        <f>SUM(AC4:AC10)</f>
        <v>405.31791844378961</v>
      </c>
      <c r="AD11" s="192">
        <f t="shared" si="3"/>
        <v>1.7754389698258096E-5</v>
      </c>
      <c r="AE11" s="77"/>
      <c r="AF11" s="77"/>
      <c r="AG11" s="77"/>
    </row>
    <row r="12" spans="1:33" x14ac:dyDescent="0.25">
      <c r="A12" s="178" t="s">
        <v>226</v>
      </c>
      <c r="B12" s="177"/>
      <c r="C12" s="179">
        <v>3</v>
      </c>
      <c r="D12" s="177"/>
      <c r="E12" s="180">
        <v>474375</v>
      </c>
      <c r="F12" s="180"/>
      <c r="G12" s="180"/>
      <c r="H12" s="181">
        <f t="shared" si="4"/>
        <v>0</v>
      </c>
      <c r="I12" s="182">
        <f t="shared" si="0"/>
        <v>474375</v>
      </c>
      <c r="J12" s="170"/>
      <c r="K12" s="170"/>
      <c r="L12" s="170"/>
      <c r="M12" s="170"/>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179">
        <v>5</v>
      </c>
      <c r="D13" s="199"/>
      <c r="E13" s="180">
        <v>4272088</v>
      </c>
      <c r="F13" s="180">
        <v>-4271998</v>
      </c>
      <c r="G13" s="180">
        <v>3711560</v>
      </c>
      <c r="H13" s="181">
        <f t="shared" si="4"/>
        <v>-560438</v>
      </c>
      <c r="I13" s="182">
        <f t="shared" si="0"/>
        <v>3711650</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171076</v>
      </c>
      <c r="D14" s="170"/>
      <c r="E14" s="201">
        <f>SUM(E4:E13)</f>
        <v>26204444.90041</v>
      </c>
      <c r="F14" s="201">
        <f>SUM(F4:F13)</f>
        <v>-18889114</v>
      </c>
      <c r="G14" s="201">
        <f>SUM(G4:G13)</f>
        <v>11797057</v>
      </c>
      <c r="H14" s="201">
        <f>SUM(H4:H13)</f>
        <v>-7092057</v>
      </c>
      <c r="I14" s="201">
        <f t="shared" ref="I14" si="14">SUM(I4:I13)</f>
        <v>19112387.900409997</v>
      </c>
      <c r="J14" s="170"/>
      <c r="K14" s="170"/>
      <c r="L14" s="170"/>
      <c r="M14" s="170"/>
      <c r="N14" s="170"/>
      <c r="O14" s="170"/>
      <c r="P14" s="170"/>
      <c r="Q14" s="170"/>
      <c r="R14" s="170"/>
      <c r="S14" s="170" t="s">
        <v>181</v>
      </c>
      <c r="T14" s="170" t="s">
        <v>232</v>
      </c>
      <c r="U14" s="170"/>
      <c r="V14" s="282" t="s">
        <v>343</v>
      </c>
      <c r="W14" s="202">
        <f>(W4+W5)*W13</f>
        <v>34849.945632843002</v>
      </c>
      <c r="X14" s="170"/>
      <c r="Y14" s="170" t="s">
        <v>28</v>
      </c>
      <c r="Z14" s="181">
        <f>O4+O5+P4+P5+S4+S5</f>
        <v>8680515.4363799989</v>
      </c>
      <c r="AA14" s="190">
        <v>4.0099999999999997E-3</v>
      </c>
      <c r="AB14" s="188">
        <f>Z14*AA14</f>
        <v>34808.866899883789</v>
      </c>
      <c r="AC14" s="188">
        <f>W14-AB14</f>
        <v>41.078732959213085</v>
      </c>
      <c r="AD14" s="192">
        <f>AC14/W14</f>
        <v>1.1787316224820736E-3</v>
      </c>
      <c r="AE14" s="77"/>
      <c r="AF14" s="77"/>
      <c r="AG14" s="77"/>
    </row>
    <row r="15" spans="1:33" ht="15.75" thickBot="1" x14ac:dyDescent="0.3">
      <c r="A15" s="282" t="s">
        <v>343</v>
      </c>
      <c r="B15" s="177"/>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t="s">
        <v>343</v>
      </c>
      <c r="W15" s="202">
        <f>SUM(W6:W10)*W13</f>
        <v>63954.76672257256</v>
      </c>
      <c r="X15" s="170"/>
      <c r="Y15" s="170" t="s">
        <v>234</v>
      </c>
      <c r="Z15" s="181">
        <f>SUM(O6:P10,S6:S10)</f>
        <v>3634381.8090300001</v>
      </c>
      <c r="AA15" s="190">
        <v>1.7600000000000001E-2</v>
      </c>
      <c r="AB15" s="188">
        <f>(Z15)*AA15</f>
        <v>63965.119838928003</v>
      </c>
      <c r="AC15" s="188">
        <f>W15-AB15</f>
        <v>-10.35311635544349</v>
      </c>
      <c r="AD15" s="192">
        <f>AC15/W15</f>
        <v>-1.6188185628686534E-4</v>
      </c>
      <c r="AE15" s="77"/>
      <c r="AF15" s="77"/>
      <c r="AG15" s="77"/>
    </row>
    <row r="16" spans="1:33" x14ac:dyDescent="0.25">
      <c r="A16" s="177" t="s">
        <v>28</v>
      </c>
      <c r="B16" s="282" t="s">
        <v>343</v>
      </c>
      <c r="C16" s="203">
        <f>C4+C5</f>
        <v>167876</v>
      </c>
      <c r="D16" s="170"/>
      <c r="E16" s="204">
        <f>E4+E5</f>
        <v>12815408.436380001</v>
      </c>
      <c r="F16" s="204">
        <f t="shared" ref="F16:H16" si="15">F4+F5</f>
        <v>-8128195</v>
      </c>
      <c r="G16" s="204">
        <f t="shared" si="15"/>
        <v>3993302</v>
      </c>
      <c r="H16" s="204">
        <f t="shared" si="15"/>
        <v>-4134893</v>
      </c>
      <c r="I16" s="203">
        <f>I4+I5</f>
        <v>8680515.4363800008</v>
      </c>
      <c r="J16" s="282" t="s">
        <v>343</v>
      </c>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-49289.140810000019</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t="s">
        <v>343</v>
      </c>
      <c r="C18" s="207">
        <f>SUM(C6:C9)</f>
        <v>3153</v>
      </c>
      <c r="D18" s="170"/>
      <c r="E18" s="208">
        <f>SUM(E6:E9)</f>
        <v>5368362.8090300001</v>
      </c>
      <c r="F18" s="208">
        <f t="shared" ref="F18:H18" si="16">SUM(F6:F9)</f>
        <v>-3341934</v>
      </c>
      <c r="G18" s="208">
        <f>SUM(G6:G9)</f>
        <v>1607953</v>
      </c>
      <c r="H18" s="208">
        <f t="shared" si="16"/>
        <v>-1733981</v>
      </c>
      <c r="I18" s="207">
        <f>SUM(I6:I9)</f>
        <v>3634381.8090300001</v>
      </c>
      <c r="J18" s="282" t="s">
        <v>343</v>
      </c>
      <c r="K18" s="170"/>
      <c r="L18" s="170"/>
      <c r="M18" s="170"/>
      <c r="N18" s="170"/>
      <c r="O18" s="170"/>
      <c r="P18" s="170"/>
      <c r="Q18" s="170"/>
      <c r="R18" s="188">
        <f>E64</f>
        <v>-49289.140809999997</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289"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210">
        <v>1611371</v>
      </c>
      <c r="D22" s="210">
        <v>6954249.3099999996</v>
      </c>
      <c r="E22" s="210">
        <v>-6804368.8567486098</v>
      </c>
      <c r="F22" s="210">
        <f>3688936-F23</f>
        <v>3687740.9050481464</v>
      </c>
      <c r="G22" s="211">
        <f>SUM(D22:F22)</f>
        <v>3837621.3582995362</v>
      </c>
      <c r="H22" s="188">
        <f t="shared" ref="H22:H31" si="17">-J54</f>
        <v>1408088.2721199999</v>
      </c>
      <c r="I22" s="188">
        <f t="shared" ref="I22:I31" si="18">G22+H22</f>
        <v>5245709.6304195356</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210">
        <v>1976</v>
      </c>
      <c r="D23" s="210">
        <v>8574.27</v>
      </c>
      <c r="E23" s="210">
        <v>-2388.1432513892501</v>
      </c>
      <c r="F23" s="210">
        <f>G5*(K23-C23)/E5</f>
        <v>1195.0949518536463</v>
      </c>
      <c r="G23" s="211">
        <f>SUM(D23:F23)</f>
        <v>7381.2217004643962</v>
      </c>
      <c r="H23" s="188">
        <f t="shared" si="17"/>
        <v>-691.68696999999975</v>
      </c>
      <c r="I23" s="188">
        <f t="shared" si="18"/>
        <v>6689.5347304643965</v>
      </c>
      <c r="J23" s="170"/>
      <c r="K23" s="210">
        <v>5805.62</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210">
        <v>321870.8</v>
      </c>
      <c r="D24" s="210">
        <v>1596142.88</v>
      </c>
      <c r="E24" s="210">
        <v>-1741290</v>
      </c>
      <c r="F24" s="210">
        <v>843779</v>
      </c>
      <c r="G24" s="211">
        <f>SUM(D24:F24)</f>
        <v>698631.87999999989</v>
      </c>
      <c r="H24" s="188">
        <f t="shared" si="17"/>
        <v>513287.89939999994</v>
      </c>
      <c r="I24" s="188">
        <f t="shared" si="18"/>
        <v>1211919.7793999999</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210">
        <v>213.53</v>
      </c>
      <c r="D25" s="210">
        <v>11783.61</v>
      </c>
      <c r="E25" s="210">
        <v>-4119</v>
      </c>
      <c r="F25" s="210">
        <v>8626</v>
      </c>
      <c r="G25" s="211">
        <f>SUM(D25:F25)</f>
        <v>16290.61</v>
      </c>
      <c r="H25" s="188">
        <f t="shared" si="17"/>
        <v>-2280.0548999999996</v>
      </c>
      <c r="I25" s="188">
        <f>G25+H25</f>
        <v>14010.555100000001</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210">
        <v>296.55</v>
      </c>
      <c r="D26" s="210">
        <v>6425.6</v>
      </c>
      <c r="E26" s="210">
        <v>-25981</v>
      </c>
      <c r="F26" s="210">
        <v>3612</v>
      </c>
      <c r="G26" s="211">
        <f t="shared" ref="G26:G31" si="19">SUM(D26:F26)</f>
        <v>-15943.400000000001</v>
      </c>
      <c r="H26" s="188">
        <f t="shared" si="17"/>
        <v>18203.467079999999</v>
      </c>
      <c r="I26" s="188">
        <f t="shared" si="18"/>
        <v>2260.0670799999971</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210">
        <v>512.92999999999995</v>
      </c>
      <c r="D27" s="210">
        <v>51599.18</v>
      </c>
      <c r="E27" s="210">
        <v>-79214</v>
      </c>
      <c r="F27" s="210">
        <v>38435</v>
      </c>
      <c r="G27" s="211">
        <f t="shared" si="19"/>
        <v>10820.18</v>
      </c>
      <c r="H27" s="188">
        <f t="shared" si="17"/>
        <v>32841.077839999998</v>
      </c>
      <c r="I27" s="188">
        <f t="shared" si="18"/>
        <v>43661.257839999998</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210">
        <v>0</v>
      </c>
      <c r="D28" s="210">
        <v>20867.03</v>
      </c>
      <c r="E28" s="210"/>
      <c r="F28" s="210"/>
      <c r="G28" s="211">
        <f t="shared" si="19"/>
        <v>20867.03</v>
      </c>
      <c r="H28" s="188">
        <f t="shared" si="17"/>
        <v>0</v>
      </c>
      <c r="I28" s="188">
        <f t="shared" si="18"/>
        <v>20867.03</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210">
        <v>20350</v>
      </c>
      <c r="D29" s="210">
        <v>277643.37</v>
      </c>
      <c r="E29" s="210">
        <v>-280239</v>
      </c>
      <c r="F29" s="210">
        <v>221222</v>
      </c>
      <c r="G29" s="211">
        <f t="shared" si="19"/>
        <v>218626.37</v>
      </c>
      <c r="H29" s="188">
        <f t="shared" si="17"/>
        <v>9198.7014800000015</v>
      </c>
      <c r="I29" s="188">
        <f t="shared" si="18"/>
        <v>227825.07147999998</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210">
        <v>0</v>
      </c>
      <c r="D30" s="210">
        <v>9919.18</v>
      </c>
      <c r="E30" s="210"/>
      <c r="F30" s="210"/>
      <c r="G30" s="211">
        <f t="shared" si="19"/>
        <v>9919.18</v>
      </c>
      <c r="H30" s="188">
        <f t="shared" si="17"/>
        <v>0</v>
      </c>
      <c r="I30" s="188">
        <f t="shared" si="18"/>
        <v>9919.18</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210">
        <v>1000</v>
      </c>
      <c r="D31" s="210">
        <v>103097.19</v>
      </c>
      <c r="E31" s="210">
        <v>-89327</v>
      </c>
      <c r="F31" s="210">
        <v>77609</v>
      </c>
      <c r="G31" s="211">
        <f t="shared" si="19"/>
        <v>91379.19</v>
      </c>
      <c r="H31" s="188">
        <f t="shared" si="17"/>
        <v>0</v>
      </c>
      <c r="I31" s="188">
        <f t="shared" si="18"/>
        <v>91379.19</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210">
        <v>5688069.5700000003</v>
      </c>
      <c r="E32" s="210"/>
      <c r="F32" s="210"/>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210">
        <v>550979.17000000004</v>
      </c>
      <c r="E33" s="210"/>
      <c r="F33" s="210"/>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1957590.81</v>
      </c>
      <c r="D34" s="213">
        <f>SUM(D22:D33)</f>
        <v>15279350.359999996</v>
      </c>
      <c r="E34" s="213">
        <f>SUM(E22:E33)</f>
        <v>-9026927</v>
      </c>
      <c r="F34" s="213">
        <f>SUM(F22:F33)</f>
        <v>4882219</v>
      </c>
      <c r="G34" s="213">
        <f t="shared" ref="G34:I34" si="20">SUM(G22:G33)</f>
        <v>4895593.620000001</v>
      </c>
      <c r="H34" s="213">
        <f t="shared" si="20"/>
        <v>1978647.6760499999</v>
      </c>
      <c r="I34" s="213">
        <f t="shared" si="20"/>
        <v>6874241.2960500019</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t="s">
        <v>343</v>
      </c>
      <c r="C36" s="215">
        <f>C22+C23</f>
        <v>1613347</v>
      </c>
      <c r="D36" s="186">
        <f>D22+D23</f>
        <v>6962823.5799999991</v>
      </c>
      <c r="E36" s="186">
        <f t="shared" ref="E36:H36" si="21">E22+E23</f>
        <v>-6806756.9999999991</v>
      </c>
      <c r="F36" s="186">
        <f t="shared" si="21"/>
        <v>3688936</v>
      </c>
      <c r="G36" s="186">
        <f t="shared" si="21"/>
        <v>3845002.5800000005</v>
      </c>
      <c r="H36" s="186">
        <f t="shared" si="21"/>
        <v>1407396.5851499999</v>
      </c>
      <c r="I36" s="215">
        <f>I22+I23</f>
        <v>5252399.1651499998</v>
      </c>
      <c r="J36" s="282" t="s">
        <v>343</v>
      </c>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t="s">
        <v>343</v>
      </c>
      <c r="C38" s="218">
        <f>SUM(C24:C27)</f>
        <v>322893.81</v>
      </c>
      <c r="D38" s="219">
        <f>SUM(D24:D27)</f>
        <v>1665951.27</v>
      </c>
      <c r="E38" s="219">
        <f t="shared" ref="E38:F38" si="22">SUM(E24:E27)</f>
        <v>-1850604</v>
      </c>
      <c r="F38" s="219">
        <f t="shared" si="22"/>
        <v>894452</v>
      </c>
      <c r="G38" s="219">
        <f>SUM(G24:G27)</f>
        <v>709799.2699999999</v>
      </c>
      <c r="H38" s="219">
        <f>SUM(H24:H27)</f>
        <v>562052.38942000002</v>
      </c>
      <c r="I38" s="218">
        <f>SUM(I24:I27)</f>
        <v>1271851.6594199999</v>
      </c>
      <c r="J38" s="282" t="s">
        <v>343</v>
      </c>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c r="B40" s="170"/>
      <c r="C40" s="221">
        <v>43770</v>
      </c>
      <c r="D40" s="221">
        <v>43770</v>
      </c>
      <c r="E40" s="221">
        <v>43770</v>
      </c>
      <c r="F40" s="221">
        <v>43739</v>
      </c>
      <c r="G40" s="221">
        <v>43344</v>
      </c>
      <c r="H40" s="221">
        <v>43739</v>
      </c>
      <c r="I40" s="324" t="s">
        <v>363</v>
      </c>
      <c r="J40" s="324" t="s">
        <v>365</v>
      </c>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23" t="s">
        <v>364</v>
      </c>
      <c r="J41" s="290" t="s">
        <v>251</v>
      </c>
      <c r="K41" s="290"/>
      <c r="L41" s="290"/>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2.0930000000000001E-2</v>
      </c>
      <c r="I42" s="224">
        <v>-2.1409999999999998E-2</v>
      </c>
      <c r="J42" s="224">
        <v>2.1899999999999999E-2</v>
      </c>
      <c r="K42" s="224"/>
      <c r="L42" s="224"/>
      <c r="N42" s="225">
        <f>SUM(C42:I42)-H42+J42</f>
        <v>0.30076000000000003</v>
      </c>
      <c r="O42" s="225">
        <f>SUM(C42:H42)</f>
        <v>0.32120000000000004</v>
      </c>
      <c r="P42" s="191">
        <f t="shared" ref="P42:P51" si="23">N42*G4</f>
        <v>1199519.0026800002</v>
      </c>
      <c r="Q42" s="226">
        <f t="shared" ref="Q42:Q51" si="24">-F4*O42</f>
        <v>2607607.2748000002</v>
      </c>
      <c r="R42" s="191">
        <f>P42-Q42</f>
        <v>-1408088.2721200001</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v>2.0930000000000001E-2</v>
      </c>
      <c r="I43" s="224">
        <f>I42</f>
        <v>-2.1409999999999998E-2</v>
      </c>
      <c r="J43" s="224">
        <f>J42</f>
        <v>2.1899999999999999E-2</v>
      </c>
      <c r="K43" s="224"/>
      <c r="L43" s="224"/>
      <c r="N43" s="225">
        <f t="shared" ref="N43:N51" si="25">SUM(C43:I43)-H43+J43</f>
        <v>-0.18393000000000001</v>
      </c>
      <c r="O43" s="225">
        <f t="shared" ref="O43:O51" si="26">SUM(C43:H43)</f>
        <v>-0.16349</v>
      </c>
      <c r="P43" s="191">
        <f t="shared" si="23"/>
        <v>-921.30537000000004</v>
      </c>
      <c r="Q43" s="226">
        <f t="shared" si="24"/>
        <v>-1612.99234</v>
      </c>
      <c r="R43" s="191">
        <f t="shared" ref="R43:R51" si="27">P43-Q43</f>
        <v>691.68696999999997</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1.754E-2</v>
      </c>
      <c r="I44" s="224">
        <v>-1.21E-2</v>
      </c>
      <c r="J44" s="224">
        <v>1.8360000000000001E-2</v>
      </c>
      <c r="K44" s="224"/>
      <c r="L44" s="224"/>
      <c r="N44" s="225">
        <f t="shared" si="25"/>
        <v>0.30358999999999997</v>
      </c>
      <c r="O44" s="225">
        <f t="shared" si="26"/>
        <v>0.31486999999999998</v>
      </c>
      <c r="P44" s="191">
        <f t="shared" si="23"/>
        <v>450111.33810999995</v>
      </c>
      <c r="Q44" s="226">
        <f t="shared" si="24"/>
        <v>963399.23751000001</v>
      </c>
      <c r="R44" s="191">
        <f t="shared" si="27"/>
        <v>-513287.89940000005</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v>1.754E-2</v>
      </c>
      <c r="I45" s="224">
        <f>I44</f>
        <v>-1.21E-2</v>
      </c>
      <c r="J45" s="224">
        <f>J44</f>
        <v>1.8360000000000001E-2</v>
      </c>
      <c r="K45" s="224"/>
      <c r="L45" s="224"/>
      <c r="N45" s="225">
        <f t="shared" si="25"/>
        <v>0.29273999999999994</v>
      </c>
      <c r="O45" s="225">
        <f t="shared" si="26"/>
        <v>0.30401999999999996</v>
      </c>
      <c r="P45" s="191">
        <f t="shared" si="23"/>
        <v>4523.4184799999994</v>
      </c>
      <c r="Q45" s="226">
        <f t="shared" si="24"/>
        <v>2243.3635799999997</v>
      </c>
      <c r="R45" s="191">
        <f t="shared" si="27"/>
        <v>2280.0548999999996</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v>1.602E-2</v>
      </c>
      <c r="I46" s="224">
        <f t="shared" ref="I46:J47" si="28">I45</f>
        <v>-1.21E-2</v>
      </c>
      <c r="J46" s="224">
        <f t="shared" si="28"/>
        <v>1.8360000000000001E-2</v>
      </c>
      <c r="K46" s="224"/>
      <c r="L46" s="224"/>
      <c r="N46" s="225">
        <f t="shared" si="25"/>
        <v>0.30008999999999997</v>
      </c>
      <c r="O46" s="225">
        <f t="shared" si="26"/>
        <v>0.30984999999999996</v>
      </c>
      <c r="P46" s="191">
        <f t="shared" si="23"/>
        <v>2832.2494199999996</v>
      </c>
      <c r="Q46" s="226">
        <f t="shared" si="24"/>
        <v>21035.716499999999</v>
      </c>
      <c r="R46" s="191">
        <f t="shared" si="27"/>
        <v>-18203.467079999999</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v>1.602E-2</v>
      </c>
      <c r="I47" s="224">
        <f t="shared" si="28"/>
        <v>-1.21E-2</v>
      </c>
      <c r="J47" s="224">
        <f t="shared" si="28"/>
        <v>1.8360000000000001E-2</v>
      </c>
      <c r="K47" s="224"/>
      <c r="L47" s="224"/>
      <c r="N47" s="225">
        <f t="shared" si="25"/>
        <v>0.28923999999999994</v>
      </c>
      <c r="O47" s="225">
        <f t="shared" si="26"/>
        <v>0.29899999999999993</v>
      </c>
      <c r="P47" s="191">
        <f t="shared" si="23"/>
        <v>29049.530159999995</v>
      </c>
      <c r="Q47" s="226">
        <f t="shared" si="24"/>
        <v>61890.607999999986</v>
      </c>
      <c r="R47" s="191">
        <f t="shared" si="27"/>
        <v>-32841.077839999991</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1.5389999999999999E-2</v>
      </c>
      <c r="I48" s="224">
        <v>-7.92E-3</v>
      </c>
      <c r="J48" s="224">
        <v>1.6109999999999999E-2</v>
      </c>
      <c r="K48" s="224"/>
      <c r="L48" s="224"/>
      <c r="N48" s="225">
        <f t="shared" si="25"/>
        <v>0.23842999999999998</v>
      </c>
      <c r="O48" s="225">
        <f t="shared" si="26"/>
        <v>0.24562999999999999</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8.0000000000000004E-4</v>
      </c>
      <c r="I49" s="224">
        <v>-3.5300000000000002E-3</v>
      </c>
      <c r="J49" s="224">
        <v>9.8999999999999999E-4</v>
      </c>
      <c r="K49" s="224"/>
      <c r="L49" s="224"/>
      <c r="N49" s="225">
        <f t="shared" si="25"/>
        <v>-1.98E-3</v>
      </c>
      <c r="O49" s="225">
        <f t="shared" si="26"/>
        <v>1.3600000000000001E-3</v>
      </c>
      <c r="P49" s="191">
        <f t="shared" si="23"/>
        <v>-4918.7991599999996</v>
      </c>
      <c r="Q49" s="226">
        <f t="shared" si="24"/>
        <v>4279.9023200000001</v>
      </c>
      <c r="R49" s="191">
        <f t="shared" si="27"/>
        <v>-9198.7014799999997</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J50" s="224">
        <v>0</v>
      </c>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J51" s="224">
        <v>0</v>
      </c>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1680195.4343200002</v>
      </c>
      <c r="Q52" s="227">
        <f>SUM(Q42:Q51)</f>
        <v>3658843.1103700004</v>
      </c>
      <c r="R52" s="227">
        <f>SUM(R42:R51)</f>
        <v>-1978647.6760500001</v>
      </c>
      <c r="U52" s="170"/>
      <c r="V52" s="170"/>
      <c r="W52" s="170"/>
      <c r="X52" s="170"/>
      <c r="Y52" s="170"/>
      <c r="Z52" s="170"/>
      <c r="AA52" s="170"/>
      <c r="AB52" s="170"/>
      <c r="AC52" s="170"/>
      <c r="AD52" s="170"/>
      <c r="AE52" s="77"/>
      <c r="AF52" s="77"/>
      <c r="AG52" s="77"/>
    </row>
    <row r="53" spans="1:33" ht="42" customHeight="1" x14ac:dyDescent="0.25">
      <c r="A53" s="222" t="s">
        <v>255</v>
      </c>
      <c r="B53" s="174"/>
      <c r="C53" s="289" t="s">
        <v>256</v>
      </c>
      <c r="D53" s="289" t="s">
        <v>257</v>
      </c>
      <c r="E53" s="289" t="s">
        <v>248</v>
      </c>
      <c r="F53" s="289" t="s">
        <v>258</v>
      </c>
      <c r="G53" s="289" t="s">
        <v>259</v>
      </c>
      <c r="H53" s="289" t="s">
        <v>260</v>
      </c>
      <c r="I53" s="292" t="s">
        <v>366</v>
      </c>
      <c r="J53" s="289" t="s">
        <v>261</v>
      </c>
      <c r="M53" s="170"/>
      <c r="N53" s="170"/>
      <c r="O53" s="170"/>
      <c r="Q53" s="262">
        <f>'03.2020 Base Rate Revenue'!P52</f>
        <v>3658843.1103700004</v>
      </c>
      <c r="R53" s="188">
        <f>J64</f>
        <v>-1978647.6760499999</v>
      </c>
      <c r="U53" s="170"/>
      <c r="V53" s="170"/>
      <c r="W53" s="170"/>
      <c r="X53" s="170"/>
      <c r="Y53" s="170"/>
      <c r="Z53" s="170"/>
      <c r="AA53" s="170"/>
      <c r="AB53" s="170"/>
      <c r="AC53" s="170"/>
      <c r="AD53" s="77"/>
      <c r="AE53" s="77"/>
      <c r="AF53" s="77"/>
    </row>
    <row r="54" spans="1:33" x14ac:dyDescent="0.25">
      <c r="A54" s="178" t="s">
        <v>212</v>
      </c>
      <c r="B54" s="170"/>
      <c r="C54" s="186">
        <f>C42*$H4</f>
        <v>-1080004.4140000001</v>
      </c>
      <c r="D54" s="186">
        <f t="shared" ref="D54:E54" si="29">D42*$H4</f>
        <v>-17717.854440000003</v>
      </c>
      <c r="E54" s="186">
        <f t="shared" si="29"/>
        <v>-17346.1512</v>
      </c>
      <c r="F54" s="186">
        <f>F42*$H4</f>
        <v>0</v>
      </c>
      <c r="G54" s="186">
        <f t="shared" ref="G54" si="30">G42*$H4</f>
        <v>-125057.49008</v>
      </c>
      <c r="H54" s="186">
        <f>H42*F4+J42*G4</f>
        <v>-82573.009269999995</v>
      </c>
      <c r="I54" s="186">
        <f>I42*G4</f>
        <v>-85389.353129999989</v>
      </c>
      <c r="J54" s="186">
        <f>SUM(C54:I54)</f>
        <v>-1408088.2721199999</v>
      </c>
      <c r="M54" s="170"/>
      <c r="N54" s="191"/>
      <c r="O54" s="170"/>
      <c r="P54" s="170"/>
      <c r="R54" s="191">
        <f>R52-R53</f>
        <v>0</v>
      </c>
      <c r="U54" s="170"/>
      <c r="V54" s="170"/>
      <c r="W54" s="170"/>
      <c r="X54" s="170"/>
      <c r="Y54" s="170"/>
      <c r="Z54" s="170"/>
      <c r="AA54" s="170"/>
      <c r="AB54" s="170"/>
      <c r="AC54" s="170"/>
      <c r="AD54" s="77"/>
      <c r="AE54" s="77"/>
      <c r="AF54" s="77"/>
    </row>
    <row r="55" spans="1:33" x14ac:dyDescent="0.25">
      <c r="A55" s="178" t="s">
        <v>214</v>
      </c>
      <c r="B55" s="170"/>
      <c r="C55" s="186">
        <f t="shared" ref="C55:G63" si="31">C43*$H5</f>
        <v>-1270.1055000000001</v>
      </c>
      <c r="D55" s="186">
        <f t="shared" si="31"/>
        <v>-20.836530000000003</v>
      </c>
      <c r="E55" s="186">
        <f t="shared" si="31"/>
        <v>-20.3994</v>
      </c>
      <c r="F55" s="186">
        <f t="shared" si="31"/>
        <v>2354.13933</v>
      </c>
      <c r="G55" s="186">
        <f t="shared" si="31"/>
        <v>-147.06996000000001</v>
      </c>
      <c r="H55" s="186">
        <f t="shared" ref="H55:H63" si="32">H43*F5+J43*G5</f>
        <v>-96.79828000000002</v>
      </c>
      <c r="I55" s="186">
        <f t="shared" ref="I55:I63" si="33">I43*G5</f>
        <v>-107.24269</v>
      </c>
      <c r="J55" s="186">
        <f t="shared" ref="J55:J63" si="34">SUM(C55:I55)</f>
        <v>691.68696999999975</v>
      </c>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1"/>
        <v>-397115.44963999995</v>
      </c>
      <c r="D56" s="186">
        <f t="shared" si="31"/>
        <v>-17110.9274</v>
      </c>
      <c r="E56" s="186">
        <f t="shared" si="31"/>
        <v>-29033.38004</v>
      </c>
      <c r="F56" s="186">
        <f t="shared" si="31"/>
        <v>0</v>
      </c>
      <c r="G56" s="186">
        <f t="shared" si="31"/>
        <v>-25642.73544</v>
      </c>
      <c r="H56" s="186">
        <f t="shared" si="32"/>
        <v>-26445.595979999998</v>
      </c>
      <c r="I56" s="186">
        <f t="shared" si="33"/>
        <v>-17939.8109</v>
      </c>
      <c r="J56" s="186">
        <f t="shared" si="34"/>
        <v>-513287.89939999994</v>
      </c>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1"/>
        <v>2032.8621299999998</v>
      </c>
      <c r="D57" s="186">
        <f t="shared" si="31"/>
        <v>0</v>
      </c>
      <c r="E57" s="186">
        <f t="shared" si="31"/>
        <v>148.62393</v>
      </c>
      <c r="F57" s="186">
        <f t="shared" si="31"/>
        <v>0</v>
      </c>
      <c r="G57" s="186">
        <f t="shared" si="31"/>
        <v>131.26697999999999</v>
      </c>
      <c r="H57" s="186">
        <f t="shared" si="32"/>
        <v>154.27106000000003</v>
      </c>
      <c r="I57" s="186">
        <f t="shared" si="33"/>
        <v>-186.9692</v>
      </c>
      <c r="J57" s="186">
        <f t="shared" si="34"/>
        <v>2280.0548999999996</v>
      </c>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1"/>
        <v>-14718.798119999999</v>
      </c>
      <c r="D58" s="186">
        <f t="shared" si="31"/>
        <v>-634.20420000000001</v>
      </c>
      <c r="E58" s="186">
        <f t="shared" si="31"/>
        <v>-1076.10132</v>
      </c>
      <c r="F58" s="186">
        <f t="shared" si="31"/>
        <v>0</v>
      </c>
      <c r="G58" s="186">
        <f t="shared" si="31"/>
        <v>-745.84752000000003</v>
      </c>
      <c r="H58" s="186">
        <f t="shared" si="32"/>
        <v>-914.31611999999996</v>
      </c>
      <c r="I58" s="186">
        <f t="shared" si="33"/>
        <v>-114.1998</v>
      </c>
      <c r="J58" s="186">
        <f t="shared" si="34"/>
        <v>-18203.467079999999</v>
      </c>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1"/>
        <v>-26832.369979999999</v>
      </c>
      <c r="D59" s="186">
        <f t="shared" si="31"/>
        <v>0</v>
      </c>
      <c r="E59" s="186">
        <f t="shared" si="31"/>
        <v>-1961.7327799999998</v>
      </c>
      <c r="F59" s="186">
        <f t="shared" si="31"/>
        <v>0</v>
      </c>
      <c r="G59" s="186">
        <f t="shared" si="31"/>
        <v>-1359.6800800000001</v>
      </c>
      <c r="H59" s="186">
        <f t="shared" si="32"/>
        <v>-1472.0436</v>
      </c>
      <c r="I59" s="186">
        <f t="shared" si="33"/>
        <v>-1215.2513999999999</v>
      </c>
      <c r="J59" s="186">
        <f t="shared" si="34"/>
        <v>-32841.077839999998</v>
      </c>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1"/>
        <v>0</v>
      </c>
      <c r="D60" s="186">
        <f t="shared" si="31"/>
        <v>0</v>
      </c>
      <c r="E60" s="186">
        <f t="shared" si="31"/>
        <v>0</v>
      </c>
      <c r="F60" s="186">
        <f t="shared" si="31"/>
        <v>0</v>
      </c>
      <c r="G60" s="186">
        <f t="shared" si="31"/>
        <v>0</v>
      </c>
      <c r="H60" s="186">
        <f t="shared" si="32"/>
        <v>0</v>
      </c>
      <c r="I60" s="186">
        <f t="shared" si="33"/>
        <v>0</v>
      </c>
      <c r="J60" s="186">
        <f t="shared" si="34"/>
        <v>0</v>
      </c>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1"/>
        <v>-371.13719999999995</v>
      </c>
      <c r="D61" s="186">
        <f t="shared" si="31"/>
        <v>0</v>
      </c>
      <c r="E61" s="186">
        <f t="shared" si="31"/>
        <v>0</v>
      </c>
      <c r="F61" s="186">
        <f t="shared" si="31"/>
        <v>0</v>
      </c>
      <c r="G61" s="186">
        <f t="shared" si="31"/>
        <v>0</v>
      </c>
      <c r="H61" s="186">
        <f t="shared" si="32"/>
        <v>-58.190020000000459</v>
      </c>
      <c r="I61" s="186">
        <f t="shared" si="33"/>
        <v>-8769.3742600000005</v>
      </c>
      <c r="J61" s="186">
        <f t="shared" si="34"/>
        <v>-9198.7014800000015</v>
      </c>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1"/>
        <v>0</v>
      </c>
      <c r="D62" s="186">
        <f t="shared" si="31"/>
        <v>0</v>
      </c>
      <c r="E62" s="186">
        <f t="shared" si="31"/>
        <v>0</v>
      </c>
      <c r="F62" s="186">
        <f t="shared" si="31"/>
        <v>0</v>
      </c>
      <c r="G62" s="186">
        <f t="shared" si="31"/>
        <v>0</v>
      </c>
      <c r="H62" s="186">
        <f t="shared" si="32"/>
        <v>0</v>
      </c>
      <c r="I62" s="186">
        <f t="shared" si="33"/>
        <v>0</v>
      </c>
      <c r="J62" s="186">
        <f t="shared" si="34"/>
        <v>0</v>
      </c>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1"/>
        <v>0</v>
      </c>
      <c r="D63" s="186">
        <f t="shared" si="31"/>
        <v>0</v>
      </c>
      <c r="E63" s="186">
        <f t="shared" si="31"/>
        <v>0</v>
      </c>
      <c r="F63" s="186">
        <f t="shared" si="31"/>
        <v>0</v>
      </c>
      <c r="G63" s="186">
        <f t="shared" si="31"/>
        <v>0</v>
      </c>
      <c r="H63" s="186">
        <f t="shared" si="32"/>
        <v>0</v>
      </c>
      <c r="I63" s="186">
        <f t="shared" si="33"/>
        <v>0</v>
      </c>
      <c r="J63" s="186">
        <f t="shared" si="34"/>
        <v>0</v>
      </c>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-1518279.41231</v>
      </c>
      <c r="D64" s="194">
        <f t="shared" ref="D64:H64" si="35">SUM(D54:D63)</f>
        <v>-35483.822570000004</v>
      </c>
      <c r="E64" s="194">
        <f t="shared" si="35"/>
        <v>-49289.140809999997</v>
      </c>
      <c r="F64" s="194">
        <f t="shared" si="35"/>
        <v>2354.13933</v>
      </c>
      <c r="G64" s="194">
        <f t="shared" si="35"/>
        <v>-152821.55610000002</v>
      </c>
      <c r="H64" s="194">
        <f t="shared" si="35"/>
        <v>-111405.68221</v>
      </c>
      <c r="I64" s="194">
        <f t="shared" ref="I64" si="36">SUM(I54:I63)</f>
        <v>-113722.20137999998</v>
      </c>
      <c r="J64" s="194">
        <f>SUM(J54:J63)</f>
        <v>-1978647.6760499999</v>
      </c>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-1081274.5195000002</v>
      </c>
      <c r="D66" s="186">
        <f>D54+D55</f>
        <v>-17738.690970000003</v>
      </c>
      <c r="E66" s="186">
        <f t="shared" ref="E66:H66" si="37">E54+E55</f>
        <v>-17366.550599999999</v>
      </c>
      <c r="F66" s="186">
        <f t="shared" si="37"/>
        <v>2354.13933</v>
      </c>
      <c r="G66" s="186">
        <f t="shared" si="37"/>
        <v>-125204.56004</v>
      </c>
      <c r="H66" s="186">
        <f t="shared" si="37"/>
        <v>-82669.807549999998</v>
      </c>
      <c r="I66" s="186">
        <f t="shared" ref="I66" si="38">I54+I55</f>
        <v>-85496.595819999988</v>
      </c>
      <c r="J66" s="186">
        <f>J54+J55</f>
        <v>-1407396.5851499999</v>
      </c>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-436633.75560999993</v>
      </c>
      <c r="D68" s="219">
        <f t="shared" ref="D68:H68" si="39">SUM(D56:D59)</f>
        <v>-17745.131600000001</v>
      </c>
      <c r="E68" s="219">
        <f t="shared" si="39"/>
        <v>-31922.590209999998</v>
      </c>
      <c r="F68" s="219">
        <f t="shared" si="39"/>
        <v>0</v>
      </c>
      <c r="G68" s="219">
        <f t="shared" si="39"/>
        <v>-27616.996059999998</v>
      </c>
      <c r="H68" s="219">
        <f t="shared" si="39"/>
        <v>-28677.684639999999</v>
      </c>
      <c r="I68" s="219">
        <f t="shared" ref="I68" si="40">SUM(I56:I59)</f>
        <v>-19456.231299999999</v>
      </c>
      <c r="J68" s="219">
        <f>SUM(J56:J59)</f>
        <v>-562052.38942000002</v>
      </c>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4207</v>
      </c>
      <c r="D74" s="273">
        <v>268613</v>
      </c>
      <c r="E74" s="183">
        <v>40622</v>
      </c>
      <c r="F74" s="183">
        <v>153267.75</v>
      </c>
      <c r="G74" s="183">
        <v>84010.01</v>
      </c>
      <c r="H74" s="183">
        <v>6746.08</v>
      </c>
      <c r="I74" s="186">
        <f>SUM(F74:H74)</f>
        <v>244023.84</v>
      </c>
      <c r="J74" s="282" t="s">
        <v>343</v>
      </c>
      <c r="K74" s="170"/>
      <c r="L74" s="170"/>
      <c r="M74" s="170"/>
      <c r="N74" s="170"/>
      <c r="O74" s="170"/>
      <c r="P74" s="170"/>
      <c r="Q74" s="170"/>
      <c r="R74" s="170"/>
      <c r="S74" s="170"/>
      <c r="T74" s="170"/>
      <c r="U74" s="170"/>
      <c r="V74" s="170"/>
      <c r="W74" s="170"/>
      <c r="X74" s="170"/>
      <c r="Y74" s="170"/>
      <c r="Z74" s="170"/>
      <c r="AA74" s="170"/>
      <c r="AB74" s="170"/>
      <c r="AC74" s="170"/>
      <c r="AD74" s="170"/>
      <c r="AE74" s="77"/>
      <c r="AF74" s="77"/>
      <c r="AG74" s="77"/>
    </row>
    <row r="75" spans="1:33" x14ac:dyDescent="0.25">
      <c r="A75" s="178" t="s">
        <v>214</v>
      </c>
      <c r="C75" s="273">
        <v>1</v>
      </c>
      <c r="D75" s="273">
        <v>64</v>
      </c>
      <c r="E75" s="183">
        <v>9.5</v>
      </c>
      <c r="F75" s="183">
        <v>33.17</v>
      </c>
      <c r="G75" s="183">
        <v>-10.53</v>
      </c>
      <c r="H75" s="183">
        <v>1.36</v>
      </c>
      <c r="I75" s="186">
        <f t="shared" ref="I75:I79" si="41">SUM(F75:H75)</f>
        <v>24</v>
      </c>
      <c r="J75" s="282" t="s">
        <v>343</v>
      </c>
      <c r="K75" s="170"/>
      <c r="L75" s="170"/>
      <c r="M75" s="170"/>
      <c r="N75" s="170"/>
      <c r="O75" s="170"/>
      <c r="P75" s="170"/>
      <c r="Q75" s="170"/>
      <c r="R75" s="170"/>
      <c r="S75" s="170"/>
      <c r="T75" s="170"/>
      <c r="U75" s="170"/>
      <c r="V75" s="170"/>
      <c r="W75" s="170"/>
      <c r="X75" s="170"/>
      <c r="Y75" s="170"/>
      <c r="Z75" s="170"/>
      <c r="AA75" s="170"/>
      <c r="AB75" s="170"/>
      <c r="AC75" s="170"/>
      <c r="AD75" s="170"/>
      <c r="AE75" s="77"/>
      <c r="AF75" s="77"/>
      <c r="AG75" s="77"/>
    </row>
    <row r="76" spans="1:33" x14ac:dyDescent="0.25">
      <c r="A76" s="178" t="s">
        <v>216</v>
      </c>
      <c r="C76" s="273">
        <v>39</v>
      </c>
      <c r="D76" s="273">
        <v>98819</v>
      </c>
      <c r="E76" s="183">
        <v>3881.28</v>
      </c>
      <c r="F76" s="183">
        <v>29585.65</v>
      </c>
      <c r="G76" s="183">
        <v>30674.6</v>
      </c>
      <c r="H76" s="183">
        <v>1724.52</v>
      </c>
      <c r="I76" s="186">
        <f t="shared" si="41"/>
        <v>61984.77</v>
      </c>
    </row>
    <row r="77" spans="1:33" x14ac:dyDescent="0.25">
      <c r="A77" s="178" t="s">
        <v>218</v>
      </c>
      <c r="C77" s="273">
        <v>0</v>
      </c>
      <c r="D77" s="273">
        <v>0</v>
      </c>
      <c r="E77" s="183">
        <v>0</v>
      </c>
      <c r="F77" s="183">
        <v>0</v>
      </c>
      <c r="G77" s="183">
        <v>0</v>
      </c>
      <c r="H77" s="183">
        <v>0</v>
      </c>
      <c r="I77" s="186">
        <f t="shared" si="41"/>
        <v>0</v>
      </c>
    </row>
    <row r="78" spans="1:33" x14ac:dyDescent="0.25">
      <c r="A78" s="178" t="s">
        <v>220</v>
      </c>
      <c r="C78" s="273">
        <v>2</v>
      </c>
      <c r="D78" s="273">
        <v>9721</v>
      </c>
      <c r="E78" s="183">
        <v>208.38</v>
      </c>
      <c r="F78" s="183">
        <v>2563</v>
      </c>
      <c r="G78" s="183">
        <v>3011.91</v>
      </c>
      <c r="H78" s="183">
        <v>209.65</v>
      </c>
      <c r="I78" s="186">
        <f t="shared" si="41"/>
        <v>5784.5599999999995</v>
      </c>
    </row>
    <row r="79" spans="1:33" x14ac:dyDescent="0.25">
      <c r="A79" s="178" t="s">
        <v>222</v>
      </c>
      <c r="C79" s="273">
        <v>0</v>
      </c>
      <c r="D79" s="273">
        <v>0</v>
      </c>
      <c r="E79" s="183">
        <v>0</v>
      </c>
      <c r="F79" s="183">
        <v>0</v>
      </c>
      <c r="G79" s="183">
        <v>0</v>
      </c>
      <c r="H79" s="183">
        <v>0</v>
      </c>
      <c r="I79" s="186">
        <f t="shared" si="41"/>
        <v>0</v>
      </c>
    </row>
    <row r="80" spans="1:33" x14ac:dyDescent="0.25">
      <c r="A80" s="178" t="s">
        <v>351</v>
      </c>
      <c r="C80" s="310">
        <f>SUM(C74:C79)</f>
        <v>4249</v>
      </c>
      <c r="D80" s="310">
        <f t="shared" ref="D80:I80" si="42">SUM(D74:D79)</f>
        <v>377217</v>
      </c>
      <c r="E80" s="213">
        <f t="shared" si="42"/>
        <v>44721.159999999996</v>
      </c>
      <c r="F80" s="213">
        <f t="shared" si="42"/>
        <v>185449.57</v>
      </c>
      <c r="G80" s="213">
        <f t="shared" si="42"/>
        <v>117685.98999999999</v>
      </c>
      <c r="H80" s="213">
        <f t="shared" si="42"/>
        <v>8681.6099999999988</v>
      </c>
      <c r="I80" s="213">
        <f t="shared" si="42"/>
        <v>311817.17</v>
      </c>
    </row>
    <row r="81" spans="1:9" ht="15.75" thickBot="1" x14ac:dyDescent="0.3">
      <c r="A81" s="178"/>
      <c r="C81" s="282" t="s">
        <v>343</v>
      </c>
      <c r="D81" s="282" t="s">
        <v>343</v>
      </c>
      <c r="E81" s="282" t="s">
        <v>343</v>
      </c>
      <c r="F81" s="282" t="s">
        <v>343</v>
      </c>
      <c r="G81" s="282" t="s">
        <v>343</v>
      </c>
      <c r="H81" s="282" t="s">
        <v>343</v>
      </c>
      <c r="I81" s="282" t="s">
        <v>343</v>
      </c>
    </row>
    <row r="82" spans="1:9" x14ac:dyDescent="0.25">
      <c r="A82" s="178" t="s">
        <v>352</v>
      </c>
      <c r="C82" s="311">
        <f t="shared" ref="C82:I82" si="43">C74+C75</f>
        <v>4208</v>
      </c>
      <c r="D82" s="312">
        <f t="shared" si="43"/>
        <v>268677</v>
      </c>
      <c r="E82" s="312">
        <f t="shared" si="43"/>
        <v>40631.5</v>
      </c>
      <c r="F82" s="313">
        <f t="shared" si="43"/>
        <v>153300.92000000001</v>
      </c>
      <c r="G82" s="186">
        <f t="shared" si="43"/>
        <v>83999.48</v>
      </c>
      <c r="H82" s="186">
        <f t="shared" si="43"/>
        <v>6747.44</v>
      </c>
      <c r="I82" s="186">
        <f t="shared" si="43"/>
        <v>244047.84</v>
      </c>
    </row>
    <row r="83" spans="1:9" x14ac:dyDescent="0.25">
      <c r="C83" s="325" t="s">
        <v>343</v>
      </c>
      <c r="D83" s="326" t="s">
        <v>343</v>
      </c>
      <c r="E83" s="326" t="s">
        <v>343</v>
      </c>
      <c r="F83" s="327" t="s">
        <v>343</v>
      </c>
      <c r="G83" s="186"/>
      <c r="H83" s="186"/>
      <c r="I83" s="186"/>
    </row>
    <row r="84" spans="1:9" ht="15.75" thickBot="1" x14ac:dyDescent="0.3">
      <c r="A84" s="178" t="s">
        <v>353</v>
      </c>
      <c r="C84" s="314">
        <f t="shared" ref="C84:H84" si="44">SUM(C76:C79)</f>
        <v>41</v>
      </c>
      <c r="D84" s="315">
        <f t="shared" si="44"/>
        <v>108540</v>
      </c>
      <c r="E84" s="316">
        <f t="shared" si="44"/>
        <v>4089.6600000000003</v>
      </c>
      <c r="F84" s="317">
        <f t="shared" si="44"/>
        <v>32148.65</v>
      </c>
      <c r="G84" s="186">
        <f t="shared" si="44"/>
        <v>33686.509999999995</v>
      </c>
      <c r="H84" s="186">
        <f t="shared" si="44"/>
        <v>1934.17</v>
      </c>
      <c r="I84" s="186">
        <f>SUM(I76:I79)</f>
        <v>67769.33</v>
      </c>
    </row>
    <row r="85" spans="1:9" x14ac:dyDescent="0.25">
      <c r="C85" s="282" t="s">
        <v>343</v>
      </c>
      <c r="D85" s="282" t="s">
        <v>343</v>
      </c>
      <c r="E85" s="282" t="s">
        <v>343</v>
      </c>
      <c r="F85" s="282" t="s">
        <v>343</v>
      </c>
    </row>
  </sheetData>
  <mergeCells count="7">
    <mergeCell ref="A70:I70"/>
    <mergeCell ref="R40:R41"/>
    <mergeCell ref="A1:I1"/>
    <mergeCell ref="O40:O41"/>
    <mergeCell ref="P40:P41"/>
    <mergeCell ref="Q40:Q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73"/>
  <sheetViews>
    <sheetView workbookViewId="0">
      <selection sqref="A1:I1"/>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4.42578125" customWidth="1"/>
    <col min="8" max="8" width="14.7109375" customWidth="1"/>
    <col min="9" max="9" width="17.140625" customWidth="1"/>
    <col min="10" max="10" width="2.855468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342</v>
      </c>
      <c r="AB1" s="170"/>
      <c r="AC1" s="171" t="s">
        <v>203</v>
      </c>
      <c r="AD1" s="172" t="s">
        <v>335</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279" t="str">
        <f>AA1&amp;" Billed Schedule 175 Revenue"</f>
        <v>March Billed Schedule 175 Revenue</v>
      </c>
      <c r="O2" s="279" t="str">
        <f>AA1&amp;" Billed Therms"</f>
        <v>March Billed Therms</v>
      </c>
      <c r="P2" s="279" t="str">
        <f>AA1&amp;" Unbilled Therms"</f>
        <v>March Unbilled Therms</v>
      </c>
      <c r="Q2" s="279" t="s">
        <v>308</v>
      </c>
      <c r="R2" s="279" t="s">
        <v>209</v>
      </c>
      <c r="S2" s="279" t="str">
        <f>AD1&amp;" Unbilled Therms reversal"</f>
        <v>February Unbilled Therms reversal</v>
      </c>
      <c r="T2" s="279" t="s">
        <v>308</v>
      </c>
      <c r="U2" s="279" t="str">
        <f>AD1&amp;" Schedule 175 Unbilled Reversal"</f>
        <v>February Schedule 175 Unbilled Reversal</v>
      </c>
      <c r="V2" s="170"/>
      <c r="W2" s="279" t="str">
        <f>"Total "&amp;AA1&amp;" Schedule 175 Revenue"</f>
        <v>Total March Schedule 175 Revenue</v>
      </c>
      <c r="X2" s="170"/>
      <c r="Y2" s="279" t="str">
        <f>"Calendar "&amp;AA1&amp;" Usage"</f>
        <v>Calendar March Usage</v>
      </c>
      <c r="Z2" s="279" t="str">
        <f>Q2</f>
        <v>11/1/2019 rate</v>
      </c>
      <c r="AA2" s="279" t="s">
        <v>210</v>
      </c>
      <c r="AB2" s="279" t="s">
        <v>211</v>
      </c>
      <c r="AC2" s="279" t="str">
        <f>"implied "&amp;AD1&amp;" unbilled/Cancel-Rebill True-up therms"</f>
        <v>implied February unbilled/Cancel-Rebill True-up therms</v>
      </c>
      <c r="AD2" s="170"/>
      <c r="AE2" s="77"/>
      <c r="AF2" s="77"/>
      <c r="AG2" s="77"/>
    </row>
    <row r="3" spans="1:33" x14ac:dyDescent="0.25">
      <c r="A3" s="177"/>
      <c r="B3" s="177"/>
      <c r="C3" s="177"/>
      <c r="D3" s="170"/>
      <c r="E3" s="170"/>
      <c r="F3" s="170"/>
      <c r="G3" s="170"/>
      <c r="H3" s="170"/>
      <c r="I3" s="170"/>
      <c r="J3" s="170"/>
      <c r="K3" s="170"/>
      <c r="L3" s="170"/>
      <c r="M3" s="170"/>
      <c r="N3" s="279"/>
      <c r="O3" s="279"/>
      <c r="P3" s="279"/>
      <c r="Q3" s="279"/>
      <c r="R3" s="279"/>
      <c r="S3" s="279"/>
      <c r="T3" s="279"/>
      <c r="U3" s="279"/>
      <c r="V3" s="170"/>
      <c r="W3" s="279"/>
      <c r="X3" s="170"/>
      <c r="Y3" s="279"/>
      <c r="Z3" s="279"/>
      <c r="AA3" s="279"/>
      <c r="AB3" s="279"/>
      <c r="AC3" s="279"/>
      <c r="AD3" s="170"/>
      <c r="AE3" s="77"/>
      <c r="AF3" s="77"/>
      <c r="AG3" s="77"/>
    </row>
    <row r="4" spans="1:33" x14ac:dyDescent="0.25">
      <c r="A4" s="178" t="s">
        <v>212</v>
      </c>
      <c r="B4" s="177"/>
      <c r="C4" s="179">
        <v>167534</v>
      </c>
      <c r="D4" s="177"/>
      <c r="E4" s="180">
        <v>17324401.728739999</v>
      </c>
      <c r="F4" s="180">
        <v>-8726141</v>
      </c>
      <c r="G4" s="180">
        <f>8128195-G5</f>
        <v>8118329</v>
      </c>
      <c r="H4" s="181">
        <f>F4+G4</f>
        <v>-607812</v>
      </c>
      <c r="I4" s="182">
        <f t="shared" ref="I4:I13" si="0">SUM(E4:G4)</f>
        <v>16716589.728739999</v>
      </c>
      <c r="J4" s="170"/>
      <c r="K4" s="170"/>
      <c r="L4" s="170" t="s">
        <v>213</v>
      </c>
      <c r="M4" s="170"/>
      <c r="N4" s="183">
        <v>72761.91</v>
      </c>
      <c r="O4" s="184">
        <f>E4</f>
        <v>17324401.728739999</v>
      </c>
      <c r="P4" s="184">
        <f t="shared" ref="P4:P9" si="1">G4</f>
        <v>8118329</v>
      </c>
      <c r="Q4" s="185">
        <v>4.1999999999999997E-3</v>
      </c>
      <c r="R4" s="186">
        <f>P4*Q4</f>
        <v>34096.981800000001</v>
      </c>
      <c r="S4" s="184">
        <f t="shared" ref="S4:S9" si="2">F4</f>
        <v>-8726141</v>
      </c>
      <c r="T4" s="185">
        <v>4.1999999999999997E-3</v>
      </c>
      <c r="U4" s="187">
        <f>S4*T4</f>
        <v>-36649.792199999996</v>
      </c>
      <c r="V4" s="170"/>
      <c r="W4" s="188">
        <f>N4+R4+U4</f>
        <v>70209.099600000016</v>
      </c>
      <c r="X4" s="170"/>
      <c r="Y4" s="189">
        <f>O4+P4+S4</f>
        <v>16716589.728739999</v>
      </c>
      <c r="Z4" s="190">
        <f>Q4</f>
        <v>4.1999999999999997E-3</v>
      </c>
      <c r="AA4" s="191">
        <f>Y4*Z4</f>
        <v>70209.676860707987</v>
      </c>
      <c r="AB4" s="188">
        <f>W4-AA4</f>
        <v>-0.57726070797070861</v>
      </c>
      <c r="AC4" s="189">
        <f>AB4/T4</f>
        <v>-137.44302570731159</v>
      </c>
      <c r="AD4" s="192">
        <f t="shared" ref="AD4:AD11" si="3">AB4/W4</f>
        <v>-8.2220212374110609E-6</v>
      </c>
      <c r="AE4" s="77"/>
      <c r="AF4" s="77"/>
      <c r="AG4" s="77"/>
    </row>
    <row r="5" spans="1:33" x14ac:dyDescent="0.25">
      <c r="A5" s="178" t="s">
        <v>214</v>
      </c>
      <c r="B5" s="177"/>
      <c r="C5" s="179">
        <v>206</v>
      </c>
      <c r="D5" s="177"/>
      <c r="E5" s="180">
        <v>21023.647560000001</v>
      </c>
      <c r="F5" s="180">
        <v>-10395</v>
      </c>
      <c r="G5" s="180">
        <v>9866</v>
      </c>
      <c r="H5" s="181">
        <f t="shared" ref="H5:H13" si="4">F5+G5</f>
        <v>-529</v>
      </c>
      <c r="I5" s="182">
        <f t="shared" si="0"/>
        <v>20494.647560000001</v>
      </c>
      <c r="J5" s="170"/>
      <c r="K5" s="170"/>
      <c r="L5" s="170" t="s">
        <v>215</v>
      </c>
      <c r="M5" s="170"/>
      <c r="N5" s="183">
        <v>88.3</v>
      </c>
      <c r="O5" s="184">
        <f t="shared" ref="O5:O7" si="5">E5</f>
        <v>21023.647560000001</v>
      </c>
      <c r="P5" s="184">
        <f t="shared" si="1"/>
        <v>9866</v>
      </c>
      <c r="Q5" s="185">
        <v>4.1999999999999997E-3</v>
      </c>
      <c r="R5" s="186">
        <f t="shared" ref="R5:R10" si="6">P5*Q5</f>
        <v>41.437199999999997</v>
      </c>
      <c r="S5" s="184">
        <f t="shared" si="2"/>
        <v>-10395</v>
      </c>
      <c r="T5" s="185">
        <v>4.1999999999999997E-3</v>
      </c>
      <c r="U5" s="187">
        <f t="shared" ref="U5:U10" si="7">S5*T5</f>
        <v>-43.658999999999999</v>
      </c>
      <c r="V5" s="170"/>
      <c r="W5" s="188">
        <f t="shared" ref="W5:W10" si="8">N5+R5+U5</f>
        <v>86.07820000000001</v>
      </c>
      <c r="X5" s="170"/>
      <c r="Y5" s="189">
        <f t="shared" ref="Y5:Y10" si="9">O5+P5+S5</f>
        <v>20494.647560000001</v>
      </c>
      <c r="Z5" s="190">
        <f t="shared" ref="Z5:Z10" si="10">Q5</f>
        <v>4.1999999999999997E-3</v>
      </c>
      <c r="AA5" s="191">
        <f t="shared" ref="AA5:AA10" si="11">Y5*Z5</f>
        <v>86.077519752000001</v>
      </c>
      <c r="AB5" s="188">
        <f t="shared" ref="AB5:AB10" si="12">W5-AA5</f>
        <v>6.8024800000898722E-4</v>
      </c>
      <c r="AC5" s="189">
        <f t="shared" ref="AC5:AC10" si="13">AB5/T5</f>
        <v>0.16196380952594935</v>
      </c>
      <c r="AD5" s="192">
        <f t="shared" si="3"/>
        <v>7.9026745448788091E-6</v>
      </c>
      <c r="AE5" s="77"/>
      <c r="AF5" s="77"/>
      <c r="AG5" s="77"/>
    </row>
    <row r="6" spans="1:33" x14ac:dyDescent="0.25">
      <c r="A6" s="178" t="s">
        <v>216</v>
      </c>
      <c r="B6" s="177"/>
      <c r="C6" s="179">
        <v>3139</v>
      </c>
      <c r="D6" s="177"/>
      <c r="E6" s="180">
        <v>6805408.8824899998</v>
      </c>
      <c r="F6" s="180">
        <v>-3277008</v>
      </c>
      <c r="G6" s="180">
        <v>3059673</v>
      </c>
      <c r="H6" s="181">
        <f t="shared" si="4"/>
        <v>-217335</v>
      </c>
      <c r="I6" s="182">
        <f>SUM(E6:G6)</f>
        <v>6588073.8824899998</v>
      </c>
      <c r="J6" s="170"/>
      <c r="K6" s="170"/>
      <c r="L6" s="170" t="s">
        <v>217</v>
      </c>
      <c r="M6" s="170"/>
      <c r="N6" s="183">
        <v>125287.73</v>
      </c>
      <c r="O6" s="184">
        <f t="shared" si="5"/>
        <v>6805408.8824899998</v>
      </c>
      <c r="P6" s="184">
        <f t="shared" si="1"/>
        <v>3059673</v>
      </c>
      <c r="Q6" s="193">
        <v>1.8409999999999999E-2</v>
      </c>
      <c r="R6" s="186">
        <f t="shared" si="6"/>
        <v>56328.57993</v>
      </c>
      <c r="S6" s="184">
        <f t="shared" si="2"/>
        <v>-3277008</v>
      </c>
      <c r="T6" s="185">
        <v>1.8409999999999999E-2</v>
      </c>
      <c r="U6" s="187">
        <f t="shared" si="7"/>
        <v>-60329.717279999997</v>
      </c>
      <c r="V6" s="170"/>
      <c r="W6" s="188">
        <f t="shared" si="8"/>
        <v>121286.59264999999</v>
      </c>
      <c r="X6" s="170"/>
      <c r="Y6" s="189">
        <f t="shared" si="9"/>
        <v>6588073.8824899998</v>
      </c>
      <c r="Z6" s="177">
        <f t="shared" si="10"/>
        <v>1.8409999999999999E-2</v>
      </c>
      <c r="AA6" s="191">
        <f t="shared" si="11"/>
        <v>121286.44017664088</v>
      </c>
      <c r="AB6" s="188">
        <f t="shared" si="12"/>
        <v>0.15247335910680704</v>
      </c>
      <c r="AC6" s="189">
        <f t="shared" si="13"/>
        <v>8.2820944653344402</v>
      </c>
      <c r="AD6" s="192">
        <f t="shared" si="3"/>
        <v>1.2571328435848102E-6</v>
      </c>
      <c r="AE6" s="77"/>
      <c r="AF6" s="77"/>
      <c r="AG6" s="77"/>
    </row>
    <row r="7" spans="1:33" x14ac:dyDescent="0.25">
      <c r="A7" s="178" t="s">
        <v>218</v>
      </c>
      <c r="B7" s="177"/>
      <c r="C7" s="179">
        <v>1</v>
      </c>
      <c r="D7" s="177"/>
      <c r="E7" s="180">
        <v>15723.855</v>
      </c>
      <c r="F7" s="180">
        <v>-8161</v>
      </c>
      <c r="G7" s="180">
        <v>7379</v>
      </c>
      <c r="H7" s="181">
        <f t="shared" si="4"/>
        <v>-782</v>
      </c>
      <c r="I7" s="182">
        <f>SUM(E7:G7)</f>
        <v>14941.855</v>
      </c>
      <c r="J7" s="170"/>
      <c r="K7" s="170"/>
      <c r="L7" s="170" t="s">
        <v>219</v>
      </c>
      <c r="M7" s="170"/>
      <c r="N7" s="183">
        <v>289.48</v>
      </c>
      <c r="O7" s="184">
        <f t="shared" si="5"/>
        <v>15723.855</v>
      </c>
      <c r="P7" s="184">
        <f t="shared" si="1"/>
        <v>7379</v>
      </c>
      <c r="Q7" s="185">
        <v>1.8409999999999999E-2</v>
      </c>
      <c r="R7" s="186">
        <f t="shared" si="6"/>
        <v>135.84738999999999</v>
      </c>
      <c r="S7" s="184">
        <f t="shared" si="2"/>
        <v>-8161</v>
      </c>
      <c r="T7" s="185">
        <v>1.8409999999999999E-2</v>
      </c>
      <c r="U7" s="187">
        <f t="shared" si="7"/>
        <v>-150.24401</v>
      </c>
      <c r="V7" s="170"/>
      <c r="W7" s="188">
        <f t="shared" si="8"/>
        <v>275.08338000000003</v>
      </c>
      <c r="X7" s="170"/>
      <c r="Y7" s="189">
        <f t="shared" si="9"/>
        <v>14941.855</v>
      </c>
      <c r="Z7" s="190">
        <f t="shared" si="10"/>
        <v>1.8409999999999999E-2</v>
      </c>
      <c r="AA7" s="191">
        <f t="shared" si="11"/>
        <v>275.07955054999996</v>
      </c>
      <c r="AB7" s="188">
        <f t="shared" si="12"/>
        <v>3.8294500000688458E-3</v>
      </c>
      <c r="AC7" s="189"/>
      <c r="AD7" s="192"/>
      <c r="AE7" s="77"/>
      <c r="AF7" s="77"/>
      <c r="AG7" s="77"/>
    </row>
    <row r="8" spans="1:33" x14ac:dyDescent="0.25">
      <c r="A8" s="178" t="s">
        <v>220</v>
      </c>
      <c r="B8" s="177"/>
      <c r="C8" s="179">
        <v>4</v>
      </c>
      <c r="D8" s="259"/>
      <c r="E8" s="180">
        <v>144663.80100000001</v>
      </c>
      <c r="F8" s="180">
        <v>-77098</v>
      </c>
      <c r="G8" s="180">
        <v>67890</v>
      </c>
      <c r="H8" s="181">
        <f t="shared" si="4"/>
        <v>-9208</v>
      </c>
      <c r="I8" s="182">
        <f t="shared" si="0"/>
        <v>135455.80100000001</v>
      </c>
      <c r="J8" s="170"/>
      <c r="K8" s="170"/>
      <c r="L8" s="170" t="s">
        <v>221</v>
      </c>
      <c r="M8" s="170"/>
      <c r="N8" s="183">
        <v>2663.25</v>
      </c>
      <c r="O8" s="184">
        <f>E8</f>
        <v>144663.80100000001</v>
      </c>
      <c r="P8" s="184">
        <f t="shared" si="1"/>
        <v>67890</v>
      </c>
      <c r="Q8" s="193">
        <v>1.8409999999999999E-2</v>
      </c>
      <c r="R8" s="186">
        <f t="shared" si="6"/>
        <v>1249.8549</v>
      </c>
      <c r="S8" s="184">
        <f t="shared" si="2"/>
        <v>-77098</v>
      </c>
      <c r="T8" s="185">
        <v>1.8409999999999999E-2</v>
      </c>
      <c r="U8" s="187">
        <f t="shared" si="7"/>
        <v>-1419.37418</v>
      </c>
      <c r="V8" s="170"/>
      <c r="W8" s="188">
        <f>N8+R8+U8</f>
        <v>2493.7307200000005</v>
      </c>
      <c r="X8" s="170"/>
      <c r="Y8" s="189">
        <f t="shared" si="9"/>
        <v>135455.80100000001</v>
      </c>
      <c r="Z8" s="177">
        <f t="shared" si="10"/>
        <v>1.8409999999999999E-2</v>
      </c>
      <c r="AA8" s="191">
        <f t="shared" si="11"/>
        <v>2493.7412964099999</v>
      </c>
      <c r="AB8" s="188">
        <f t="shared" si="12"/>
        <v>-1.0576409999430325E-2</v>
      </c>
      <c r="AC8" s="189">
        <f t="shared" si="13"/>
        <v>-0.57449266699784496</v>
      </c>
      <c r="AD8" s="192">
        <f>AB8/W8</f>
        <v>-4.2411997071722018E-6</v>
      </c>
      <c r="AE8" s="77"/>
      <c r="AF8" s="77"/>
      <c r="AG8" s="77"/>
    </row>
    <row r="9" spans="1:33" x14ac:dyDescent="0.25">
      <c r="A9" s="178" t="s">
        <v>222</v>
      </c>
      <c r="B9" s="177"/>
      <c r="C9" s="179">
        <v>3</v>
      </c>
      <c r="D9" s="259"/>
      <c r="E9" s="180">
        <v>441068.88799999998</v>
      </c>
      <c r="F9" s="180">
        <v>-218221</v>
      </c>
      <c r="G9" s="180">
        <v>206992</v>
      </c>
      <c r="H9" s="181">
        <f t="shared" si="4"/>
        <v>-11229</v>
      </c>
      <c r="I9" s="182">
        <f t="shared" si="0"/>
        <v>429839.88799999998</v>
      </c>
      <c r="J9" s="170"/>
      <c r="K9" s="170"/>
      <c r="L9" s="170" t="s">
        <v>137</v>
      </c>
      <c r="M9" s="170"/>
      <c r="N9" s="183">
        <v>8120.07</v>
      </c>
      <c r="O9" s="184">
        <f>E9</f>
        <v>441068.88799999998</v>
      </c>
      <c r="P9" s="184">
        <f t="shared" si="1"/>
        <v>206992</v>
      </c>
      <c r="Q9" s="185">
        <v>1.8409999999999999E-2</v>
      </c>
      <c r="R9" s="186">
        <f t="shared" si="6"/>
        <v>3810.7227199999998</v>
      </c>
      <c r="S9" s="184">
        <f t="shared" si="2"/>
        <v>-218221</v>
      </c>
      <c r="T9" s="185">
        <v>1.8409999999999999E-2</v>
      </c>
      <c r="U9" s="187">
        <f t="shared" si="7"/>
        <v>-4017.4486099999999</v>
      </c>
      <c r="V9" s="170"/>
      <c r="W9" s="188">
        <f>N9+R9+U9</f>
        <v>7913.34411</v>
      </c>
      <c r="X9" s="170"/>
      <c r="Y9" s="189">
        <f t="shared" si="9"/>
        <v>429839.88800000004</v>
      </c>
      <c r="Z9" s="190">
        <f t="shared" si="10"/>
        <v>1.8409999999999999E-2</v>
      </c>
      <c r="AA9" s="191">
        <f t="shared" si="11"/>
        <v>7913.3523380800007</v>
      </c>
      <c r="AB9" s="188">
        <f t="shared" si="12"/>
        <v>-8.2280800006628851E-3</v>
      </c>
      <c r="AC9" s="189"/>
      <c r="AD9" s="192"/>
      <c r="AE9" s="77"/>
      <c r="AF9" s="77"/>
      <c r="AG9" s="77"/>
    </row>
    <row r="10" spans="1:33" x14ac:dyDescent="0.25">
      <c r="A10" s="178" t="s">
        <v>223</v>
      </c>
      <c r="B10" s="177"/>
      <c r="C10" s="179">
        <v>2</v>
      </c>
      <c r="D10" s="177"/>
      <c r="E10" s="180">
        <v>118161.84600000001</v>
      </c>
      <c r="F10" s="180"/>
      <c r="G10" s="180"/>
      <c r="H10" s="181">
        <f t="shared" si="4"/>
        <v>0</v>
      </c>
      <c r="I10" s="182">
        <f t="shared" si="0"/>
        <v>118161.84600000001</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179">
        <v>37</v>
      </c>
      <c r="D11" s="177"/>
      <c r="E11" s="180">
        <v>3150377</v>
      </c>
      <c r="F11" s="180">
        <v>-3147559</v>
      </c>
      <c r="G11" s="180">
        <v>3146987</v>
      </c>
      <c r="H11" s="181">
        <f t="shared" si="4"/>
        <v>-572</v>
      </c>
      <c r="I11" s="182">
        <f t="shared" si="0"/>
        <v>3149805</v>
      </c>
      <c r="J11" s="170"/>
      <c r="K11" s="170"/>
      <c r="L11" s="170"/>
      <c r="M11" s="170"/>
      <c r="N11" s="194">
        <f>SUM(N4:N10)</f>
        <v>209210.74000000002</v>
      </c>
      <c r="O11" s="195">
        <f>SUM(O4:O10)</f>
        <v>24752290.802790001</v>
      </c>
      <c r="P11" s="195">
        <f>SUM(P4:P10)</f>
        <v>11470129</v>
      </c>
      <c r="Q11" s="170"/>
      <c r="R11" s="194">
        <f>SUM(R4:R10)</f>
        <v>95663.423940000008</v>
      </c>
      <c r="S11" s="195">
        <f>SUM(S4:S10)</f>
        <v>-12317024</v>
      </c>
      <c r="T11" s="196"/>
      <c r="U11" s="194">
        <f>SUM(U4:U10)</f>
        <v>-102610.23527999999</v>
      </c>
      <c r="V11" s="170"/>
      <c r="W11" s="194">
        <f>SUM(W4:W10)</f>
        <v>202263.92866000001</v>
      </c>
      <c r="X11" s="170"/>
      <c r="Y11" s="197">
        <f>SUM(Y4:Y10)</f>
        <v>23905395.802790001</v>
      </c>
      <c r="Z11" s="170"/>
      <c r="AA11" s="197">
        <f>SUM(AA4:AA10)</f>
        <v>202264.36774214089</v>
      </c>
      <c r="AB11" s="194">
        <f>SUM(AB4:AB10)</f>
        <v>-0.43908214086391695</v>
      </c>
      <c r="AC11" s="197">
        <f>SUM(AC4:AC10)</f>
        <v>-129.57346009944905</v>
      </c>
      <c r="AD11" s="192">
        <f t="shared" si="3"/>
        <v>-2.1708375970586515E-6</v>
      </c>
      <c r="AE11" s="77"/>
      <c r="AF11" s="77"/>
      <c r="AG11" s="77"/>
    </row>
    <row r="12" spans="1:33" x14ac:dyDescent="0.25">
      <c r="A12" s="178" t="s">
        <v>226</v>
      </c>
      <c r="B12" s="177"/>
      <c r="C12" s="179">
        <v>3</v>
      </c>
      <c r="D12" s="177"/>
      <c r="E12" s="180">
        <v>96430</v>
      </c>
      <c r="F12" s="180"/>
      <c r="G12" s="180"/>
      <c r="H12" s="181">
        <f t="shared" si="4"/>
        <v>0</v>
      </c>
      <c r="I12" s="182">
        <f t="shared" si="0"/>
        <v>96430</v>
      </c>
      <c r="J12" s="170"/>
      <c r="K12" s="170"/>
      <c r="L12" s="170"/>
      <c r="M12" s="170"/>
      <c r="N12" s="291"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179">
        <v>5</v>
      </c>
      <c r="D13" s="199"/>
      <c r="E13" s="180">
        <v>4535555</v>
      </c>
      <c r="F13" s="180">
        <v>-4535555</v>
      </c>
      <c r="G13" s="180">
        <v>4271998</v>
      </c>
      <c r="H13" s="181">
        <f t="shared" si="4"/>
        <v>-263557</v>
      </c>
      <c r="I13" s="182">
        <f t="shared" si="0"/>
        <v>4271998</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170934</v>
      </c>
      <c r="D14" s="170"/>
      <c r="E14" s="201">
        <f>SUM(E4:E13)</f>
        <v>32652814.648790002</v>
      </c>
      <c r="F14" s="201">
        <f>SUM(F4:F13)</f>
        <v>-20000138</v>
      </c>
      <c r="G14" s="201">
        <f>SUM(G4:G13)</f>
        <v>18889114</v>
      </c>
      <c r="H14" s="201">
        <f>SUM(H4:H13)</f>
        <v>-1111024</v>
      </c>
      <c r="I14" s="201">
        <f t="shared" ref="I14" si="14">SUM(I4:I13)</f>
        <v>31541790.648790002</v>
      </c>
      <c r="J14" s="170"/>
      <c r="K14" s="170"/>
      <c r="L14" s="170"/>
      <c r="M14" s="170"/>
      <c r="N14" s="170"/>
      <c r="O14" s="170"/>
      <c r="P14" s="170"/>
      <c r="Q14" s="170"/>
      <c r="R14" s="170"/>
      <c r="S14" s="170" t="s">
        <v>181</v>
      </c>
      <c r="T14" s="170" t="s">
        <v>232</v>
      </c>
      <c r="U14" s="170"/>
      <c r="V14" s="291" t="s">
        <v>343</v>
      </c>
      <c r="W14" s="202">
        <f>(W4+W5)*W13</f>
        <v>67191.294224241021</v>
      </c>
      <c r="X14" s="170"/>
      <c r="Y14" s="170" t="s">
        <v>28</v>
      </c>
      <c r="Z14" s="181">
        <f>O4+O5+P4+P5+S4+S5</f>
        <v>16737084.3763</v>
      </c>
      <c r="AA14" s="190">
        <v>4.0099999999999997E-3</v>
      </c>
      <c r="AB14" s="188">
        <f>Z14*AA14</f>
        <v>67115.708348962988</v>
      </c>
      <c r="AC14" s="188">
        <f>W14-AB14</f>
        <v>75.5858752780332</v>
      </c>
      <c r="AD14" s="192">
        <f>AC14/W14</f>
        <v>1.1249355463488545E-3</v>
      </c>
      <c r="AE14" s="77"/>
      <c r="AF14" s="77"/>
      <c r="AG14" s="77"/>
    </row>
    <row r="15" spans="1:33" ht="15.75" thickBot="1" x14ac:dyDescent="0.3">
      <c r="A15" s="177"/>
      <c r="B15" s="177"/>
      <c r="C15" s="282" t="s">
        <v>343</v>
      </c>
      <c r="D15" s="170"/>
      <c r="E15" s="282" t="s">
        <v>343</v>
      </c>
      <c r="F15" s="282" t="s">
        <v>343</v>
      </c>
      <c r="G15" s="282" t="s">
        <v>343</v>
      </c>
      <c r="H15" s="282" t="s">
        <v>343</v>
      </c>
      <c r="I15" s="177"/>
      <c r="J15" s="170"/>
      <c r="K15" s="170"/>
      <c r="L15" s="170"/>
      <c r="M15" s="170"/>
      <c r="N15" s="170"/>
      <c r="O15" s="170"/>
      <c r="P15" s="170"/>
      <c r="Q15" s="170"/>
      <c r="R15" s="170"/>
      <c r="S15" s="170" t="s">
        <v>181</v>
      </c>
      <c r="T15" s="170" t="s">
        <v>233</v>
      </c>
      <c r="U15" s="170"/>
      <c r="V15" s="291" t="s">
        <v>343</v>
      </c>
      <c r="W15" s="202">
        <f>SUM(W6:W10)*W13</f>
        <v>126141.67066577669</v>
      </c>
      <c r="X15" s="170"/>
      <c r="Y15" s="170" t="s">
        <v>234</v>
      </c>
      <c r="Z15" s="181">
        <f>SUM(O6:P10,S6:S10)</f>
        <v>7168311.4264900014</v>
      </c>
      <c r="AA15" s="190">
        <v>1.7600000000000001E-2</v>
      </c>
      <c r="AB15" s="188">
        <f>(Z15)*AA15</f>
        <v>126162.28110622404</v>
      </c>
      <c r="AC15" s="188">
        <f>W15-AB15</f>
        <v>-20.610440447344445</v>
      </c>
      <c r="AD15" s="192">
        <f>AC15/W15</f>
        <v>-1.6339121194893316E-4</v>
      </c>
      <c r="AE15" s="77"/>
      <c r="AF15" s="77"/>
      <c r="AG15" s="77"/>
    </row>
    <row r="16" spans="1:33" x14ac:dyDescent="0.25">
      <c r="A16" s="177" t="s">
        <v>28</v>
      </c>
      <c r="B16" s="282" t="s">
        <v>343</v>
      </c>
      <c r="C16" s="203">
        <f>C4+C5</f>
        <v>167740</v>
      </c>
      <c r="D16" s="170"/>
      <c r="E16" s="204">
        <f>E4+E5</f>
        <v>17345425.3763</v>
      </c>
      <c r="F16" s="204">
        <f t="shared" ref="F16:H16" si="15">F4+F5</f>
        <v>-8736536</v>
      </c>
      <c r="G16" s="204">
        <f t="shared" si="15"/>
        <v>8128195</v>
      </c>
      <c r="H16" s="204">
        <f t="shared" si="15"/>
        <v>-608341</v>
      </c>
      <c r="I16" s="203">
        <f>I4+I5</f>
        <v>16737084.3763</v>
      </c>
      <c r="J16" s="282" t="s">
        <v>343</v>
      </c>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-6946.8113399999856</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t="s">
        <v>343</v>
      </c>
      <c r="C18" s="207">
        <f>SUM(C6:C9)</f>
        <v>3147</v>
      </c>
      <c r="D18" s="170"/>
      <c r="E18" s="208">
        <f>SUM(E6:E9)</f>
        <v>7406865.4264900004</v>
      </c>
      <c r="F18" s="208">
        <f t="shared" ref="F18:H18" si="16">SUM(F6:F9)</f>
        <v>-3580488</v>
      </c>
      <c r="G18" s="208">
        <f>SUM(G6:G9)</f>
        <v>3341934</v>
      </c>
      <c r="H18" s="208">
        <f t="shared" si="16"/>
        <v>-238554</v>
      </c>
      <c r="I18" s="207">
        <f>SUM(I6:I9)</f>
        <v>7168311.4264900004</v>
      </c>
      <c r="J18" s="282" t="s">
        <v>343</v>
      </c>
      <c r="K18" s="170"/>
      <c r="L18" s="170"/>
      <c r="M18" s="170"/>
      <c r="N18" s="170"/>
      <c r="O18" s="170"/>
      <c r="P18" s="170"/>
      <c r="Q18" s="170"/>
      <c r="R18" s="188">
        <f>E64</f>
        <v>-6946.8113400000002</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280"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210">
        <v>1611637</v>
      </c>
      <c r="D22" s="210">
        <v>8736694.8300000001</v>
      </c>
      <c r="E22" s="210">
        <v>-7289066.1910456</v>
      </c>
      <c r="F22" s="210">
        <f>6806757-F23</f>
        <v>6804368.8567486107</v>
      </c>
      <c r="G22" s="211">
        <f>SUM(D22:F22)</f>
        <v>8251997.4957030108</v>
      </c>
      <c r="H22" s="188">
        <f>-I54</f>
        <v>195229.2144</v>
      </c>
      <c r="I22" s="188">
        <f t="shared" ref="I22:I31" si="17">G22+H22</f>
        <v>8447226.7101030108</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210">
        <v>1985.5</v>
      </c>
      <c r="D23" s="210">
        <v>10511.49</v>
      </c>
      <c r="E23" s="210">
        <v>-2755.8089544001086</v>
      </c>
      <c r="F23" s="210">
        <f>G5*(K23-C23)/E5</f>
        <v>2388.1432513892464</v>
      </c>
      <c r="G23" s="211">
        <f>SUM(D23:F23)</f>
        <v>10143.824296989138</v>
      </c>
      <c r="H23" s="188">
        <f>-I55</f>
        <v>-86.486209999999971</v>
      </c>
      <c r="I23" s="188">
        <f t="shared" si="17"/>
        <v>10057.338086989139</v>
      </c>
      <c r="J23" s="170"/>
      <c r="K23" s="210">
        <v>7074.44</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210">
        <v>305846.08</v>
      </c>
      <c r="D24" s="210">
        <v>2040169.95</v>
      </c>
      <c r="E24" s="210">
        <v>-1864978</v>
      </c>
      <c r="F24" s="210">
        <v>1741290</v>
      </c>
      <c r="G24" s="211">
        <f>SUM(D24:F24)</f>
        <v>1916481.95</v>
      </c>
      <c r="H24" s="188">
        <f>-I56</f>
        <v>68432.27145</v>
      </c>
      <c r="I24" s="188">
        <f t="shared" si="17"/>
        <v>1984914.2214500001</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210">
        <v>97.25</v>
      </c>
      <c r="D25" s="210">
        <v>4107.47</v>
      </c>
      <c r="E25" s="210">
        <v>-4556</v>
      </c>
      <c r="F25" s="210">
        <v>4119</v>
      </c>
      <c r="G25" s="211">
        <f>SUM(D25:F25)</f>
        <v>3670.4700000000003</v>
      </c>
      <c r="H25" s="188">
        <f>-I57</f>
        <v>237.74363999999997</v>
      </c>
      <c r="I25" s="188">
        <f>G25+H25</f>
        <v>3908.2136400000004</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210">
        <v>961.81</v>
      </c>
      <c r="D26" s="210">
        <v>29318.21</v>
      </c>
      <c r="E26" s="210">
        <v>-29505</v>
      </c>
      <c r="F26" s="210">
        <v>25981</v>
      </c>
      <c r="G26" s="211">
        <f t="shared" ref="G26:G31" si="18">SUM(D26:F26)</f>
        <v>25794.21</v>
      </c>
      <c r="H26" s="188">
        <f t="shared" ref="H26:H31" si="19">-I58</f>
        <v>2853.0987999999998</v>
      </c>
      <c r="I26" s="188">
        <f t="shared" si="17"/>
        <v>28647.308799999999</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210">
        <v>721.34</v>
      </c>
      <c r="D27" s="210">
        <v>70898.91</v>
      </c>
      <c r="E27" s="210">
        <v>-83511</v>
      </c>
      <c r="F27" s="210">
        <v>79214</v>
      </c>
      <c r="G27" s="211">
        <f t="shared" si="18"/>
        <v>66601.91</v>
      </c>
      <c r="H27" s="188">
        <f t="shared" si="19"/>
        <v>3357.471</v>
      </c>
      <c r="I27" s="188">
        <f t="shared" si="17"/>
        <v>69959.381000000008</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210">
        <v>0</v>
      </c>
      <c r="D28" s="210">
        <v>23473.599999999999</v>
      </c>
      <c r="E28" s="210"/>
      <c r="F28" s="210"/>
      <c r="G28" s="211">
        <f t="shared" si="18"/>
        <v>23473.599999999999</v>
      </c>
      <c r="H28" s="188">
        <f t="shared" si="19"/>
        <v>0</v>
      </c>
      <c r="I28" s="188">
        <f t="shared" si="17"/>
        <v>23473.599999999999</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210">
        <v>20350</v>
      </c>
      <c r="D29" s="210">
        <v>277233.91999999998</v>
      </c>
      <c r="E29" s="210">
        <v>-280290</v>
      </c>
      <c r="F29" s="210">
        <v>280239</v>
      </c>
      <c r="G29" s="211">
        <f t="shared" si="18"/>
        <v>277182.92</v>
      </c>
      <c r="H29" s="188">
        <f t="shared" si="19"/>
        <v>0.77791999999999994</v>
      </c>
      <c r="I29" s="188">
        <f t="shared" si="17"/>
        <v>277183.69792000001</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210">
        <v>0</v>
      </c>
      <c r="D30" s="210">
        <v>2016.35</v>
      </c>
      <c r="E30" s="210"/>
      <c r="F30" s="210"/>
      <c r="G30" s="211">
        <f t="shared" si="18"/>
        <v>2016.35</v>
      </c>
      <c r="H30" s="188">
        <f t="shared" si="19"/>
        <v>0</v>
      </c>
      <c r="I30" s="188">
        <f t="shared" si="17"/>
        <v>2016.35</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210">
        <v>1000</v>
      </c>
      <c r="D31" s="210">
        <v>113729.84</v>
      </c>
      <c r="E31" s="210">
        <v>-94838</v>
      </c>
      <c r="F31" s="210">
        <v>89327</v>
      </c>
      <c r="G31" s="211">
        <f t="shared" si="18"/>
        <v>108218.84</v>
      </c>
      <c r="H31" s="188">
        <f t="shared" si="19"/>
        <v>0</v>
      </c>
      <c r="I31" s="188">
        <f t="shared" si="17"/>
        <v>108218.84</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210">
        <v>7918764.2199999997</v>
      </c>
      <c r="E32" s="210"/>
      <c r="F32" s="210"/>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210">
        <v>678876.31</v>
      </c>
      <c r="E33" s="210"/>
      <c r="F33" s="210"/>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1942598.9800000002</v>
      </c>
      <c r="D34" s="213">
        <f>SUM(D22:D33)</f>
        <v>19905795.099999998</v>
      </c>
      <c r="E34" s="213">
        <f>SUM(E22:E33)</f>
        <v>-9649500</v>
      </c>
      <c r="F34" s="213">
        <f>SUM(F22:F33)</f>
        <v>9026927</v>
      </c>
      <c r="G34" s="213">
        <f t="shared" ref="G34:I34" si="20">SUM(G22:G33)</f>
        <v>10685581.57</v>
      </c>
      <c r="H34" s="213">
        <f t="shared" si="20"/>
        <v>270024.09100000001</v>
      </c>
      <c r="I34" s="213">
        <f t="shared" si="20"/>
        <v>10955605.660999998</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t="s">
        <v>343</v>
      </c>
      <c r="C36" s="215">
        <f>C22+C23</f>
        <v>1613622.5</v>
      </c>
      <c r="D36" s="186">
        <f>D22+D23</f>
        <v>8747206.3200000003</v>
      </c>
      <c r="E36" s="186">
        <f t="shared" ref="E36:H36" si="21">E22+E23</f>
        <v>-7291822</v>
      </c>
      <c r="F36" s="186">
        <f t="shared" si="21"/>
        <v>6806757</v>
      </c>
      <c r="G36" s="186">
        <f t="shared" si="21"/>
        <v>8262141.3200000003</v>
      </c>
      <c r="H36" s="186">
        <f t="shared" si="21"/>
        <v>195142.72818999999</v>
      </c>
      <c r="I36" s="215">
        <f>I22+I23</f>
        <v>8457284.0481899995</v>
      </c>
      <c r="J36" s="282" t="s">
        <v>343</v>
      </c>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t="s">
        <v>343</v>
      </c>
      <c r="C38" s="218">
        <f>SUM(C24:C27)</f>
        <v>307626.48000000004</v>
      </c>
      <c r="D38" s="219">
        <f>SUM(D24:D27)</f>
        <v>2144494.54</v>
      </c>
      <c r="E38" s="219">
        <f t="shared" ref="E38:F38" si="22">SUM(E24:E27)</f>
        <v>-1982550</v>
      </c>
      <c r="F38" s="219">
        <f t="shared" si="22"/>
        <v>1850604</v>
      </c>
      <c r="G38" s="219">
        <f>SUM(G24:G27)</f>
        <v>2012548.5399999998</v>
      </c>
      <c r="H38" s="219">
        <f>SUM(H24:H27)</f>
        <v>74880.584890000013</v>
      </c>
      <c r="I38" s="218">
        <f>SUM(I24:I27)</f>
        <v>2087429.1248900001</v>
      </c>
      <c r="J38" s="282" t="s">
        <v>343</v>
      </c>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t="s">
        <v>244</v>
      </c>
      <c r="B40" s="170"/>
      <c r="C40" s="221">
        <v>43770</v>
      </c>
      <c r="D40" s="221">
        <v>43770</v>
      </c>
      <c r="E40" s="221">
        <v>43770</v>
      </c>
      <c r="F40" s="221">
        <v>43739</v>
      </c>
      <c r="G40" s="221">
        <v>43344</v>
      </c>
      <c r="H40" s="221">
        <v>43739</v>
      </c>
      <c r="I40" s="221"/>
      <c r="J40" s="221"/>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81"/>
      <c r="J41" s="281"/>
      <c r="K41" s="281"/>
      <c r="L41" s="281"/>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2.0930000000000001E-2</v>
      </c>
      <c r="I42" s="224"/>
      <c r="J42" s="224"/>
      <c r="K42" s="224"/>
      <c r="L42" s="224"/>
      <c r="N42" s="225">
        <f>SUM(C42:H42)</f>
        <v>0.32120000000000004</v>
      </c>
      <c r="O42" s="225">
        <f>SUM(C42:H42)</f>
        <v>0.32120000000000004</v>
      </c>
      <c r="P42" s="191">
        <f t="shared" ref="P42:P51" si="23">N42*G4</f>
        <v>2607607.2748000002</v>
      </c>
      <c r="Q42" s="226">
        <f t="shared" ref="Q42:Q51" si="24">-F4*O42</f>
        <v>2802836.4892000002</v>
      </c>
      <c r="R42" s="191">
        <f>P42-Q42</f>
        <v>-195229.21439999994</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v>2.0930000000000001E-2</v>
      </c>
      <c r="I43" s="224"/>
      <c r="J43" s="224"/>
      <c r="K43" s="224"/>
      <c r="L43" s="224"/>
      <c r="N43" s="225">
        <f t="shared" ref="N43:N51" si="25">SUM(C43:H43)</f>
        <v>-0.16349</v>
      </c>
      <c r="O43" s="225">
        <f t="shared" ref="O43:O51" si="26">SUM(C43:H43)</f>
        <v>-0.16349</v>
      </c>
      <c r="P43" s="191">
        <f t="shared" si="23"/>
        <v>-1612.99234</v>
      </c>
      <c r="Q43" s="226">
        <f t="shared" si="24"/>
        <v>-1699.47855</v>
      </c>
      <c r="R43" s="191">
        <f t="shared" ref="R43:R51" si="27">P43-Q43</f>
        <v>86.486210000000028</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1.754E-2</v>
      </c>
      <c r="I44" s="224"/>
      <c r="J44" s="224"/>
      <c r="K44" s="224"/>
      <c r="L44" s="224"/>
      <c r="N44" s="225">
        <f t="shared" si="25"/>
        <v>0.31486999999999998</v>
      </c>
      <c r="O44" s="225">
        <f t="shared" si="26"/>
        <v>0.31486999999999998</v>
      </c>
      <c r="P44" s="191">
        <f t="shared" si="23"/>
        <v>963399.23751000001</v>
      </c>
      <c r="Q44" s="226">
        <f t="shared" si="24"/>
        <v>1031831.5089599999</v>
      </c>
      <c r="R44" s="191">
        <f t="shared" si="27"/>
        <v>-68432.271449999884</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v>1.754E-2</v>
      </c>
      <c r="I45" s="224"/>
      <c r="J45" s="224"/>
      <c r="K45" s="224"/>
      <c r="L45" s="224"/>
      <c r="N45" s="225">
        <f t="shared" si="25"/>
        <v>0.30401999999999996</v>
      </c>
      <c r="O45" s="225">
        <f t="shared" si="26"/>
        <v>0.30401999999999996</v>
      </c>
      <c r="P45" s="191">
        <f t="shared" si="23"/>
        <v>2243.3635799999997</v>
      </c>
      <c r="Q45" s="226">
        <f t="shared" si="24"/>
        <v>2481.1072199999999</v>
      </c>
      <c r="R45" s="191">
        <f t="shared" si="27"/>
        <v>-237.74364000000014</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v>1.602E-2</v>
      </c>
      <c r="I46" s="224"/>
      <c r="J46" s="224"/>
      <c r="K46" s="224"/>
      <c r="L46" s="224"/>
      <c r="N46" s="225">
        <f t="shared" si="25"/>
        <v>0.30984999999999996</v>
      </c>
      <c r="O46" s="225">
        <f t="shared" si="26"/>
        <v>0.30984999999999996</v>
      </c>
      <c r="P46" s="191">
        <f t="shared" si="23"/>
        <v>21035.716499999999</v>
      </c>
      <c r="Q46" s="226">
        <f t="shared" si="24"/>
        <v>23888.815299999998</v>
      </c>
      <c r="R46" s="191">
        <f t="shared" si="27"/>
        <v>-2853.0987999999998</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v>1.602E-2</v>
      </c>
      <c r="I47" s="224"/>
      <c r="J47" s="224"/>
      <c r="K47" s="224"/>
      <c r="L47" s="224"/>
      <c r="N47" s="225">
        <f>SUM(C47:H47)</f>
        <v>0.29899999999999993</v>
      </c>
      <c r="O47" s="225">
        <f t="shared" si="26"/>
        <v>0.29899999999999993</v>
      </c>
      <c r="P47" s="191">
        <f t="shared" si="23"/>
        <v>61890.607999999986</v>
      </c>
      <c r="Q47" s="226">
        <f t="shared" si="24"/>
        <v>65248.078999999983</v>
      </c>
      <c r="R47" s="191">
        <f t="shared" si="27"/>
        <v>-3357.4709999999977</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1.5389999999999999E-2</v>
      </c>
      <c r="I48" s="224"/>
      <c r="J48" s="224"/>
      <c r="K48" s="224"/>
      <c r="L48" s="224"/>
      <c r="N48" s="225">
        <f t="shared" si="25"/>
        <v>0.24562999999999999</v>
      </c>
      <c r="O48" s="225">
        <f t="shared" si="26"/>
        <v>0.24562999999999999</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8.0000000000000004E-4</v>
      </c>
      <c r="I49" s="224"/>
      <c r="J49" s="224"/>
      <c r="K49" s="224"/>
      <c r="L49" s="224"/>
      <c r="N49" s="225">
        <f t="shared" si="25"/>
        <v>1.3600000000000001E-3</v>
      </c>
      <c r="O49" s="225">
        <f t="shared" si="26"/>
        <v>1.3600000000000001E-3</v>
      </c>
      <c r="P49" s="191">
        <f t="shared" si="23"/>
        <v>4279.9023200000001</v>
      </c>
      <c r="Q49" s="226">
        <f t="shared" si="24"/>
        <v>4280.6802400000006</v>
      </c>
      <c r="R49" s="191">
        <f t="shared" si="27"/>
        <v>-0.77792000000044936</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3658843.1103700004</v>
      </c>
      <c r="Q52" s="227">
        <f>SUM(Q42:Q51)</f>
        <v>3928867.2013699999</v>
      </c>
      <c r="R52" s="227">
        <f>SUM(R42:R51)</f>
        <v>-270024.09099999984</v>
      </c>
      <c r="U52" s="170"/>
      <c r="V52" s="170"/>
      <c r="W52" s="170"/>
      <c r="X52" s="170"/>
      <c r="Y52" s="170"/>
      <c r="Z52" s="170"/>
      <c r="AA52" s="170"/>
      <c r="AB52" s="170"/>
      <c r="AC52" s="170"/>
      <c r="AD52" s="170"/>
      <c r="AE52" s="77"/>
      <c r="AF52" s="77"/>
      <c r="AG52" s="77"/>
    </row>
    <row r="53" spans="1:33" ht="42" customHeight="1" x14ac:dyDescent="0.25">
      <c r="A53" s="222" t="s">
        <v>255</v>
      </c>
      <c r="B53" s="174"/>
      <c r="C53" s="280" t="s">
        <v>256</v>
      </c>
      <c r="D53" s="280" t="s">
        <v>257</v>
      </c>
      <c r="E53" s="280" t="s">
        <v>248</v>
      </c>
      <c r="F53" s="280" t="s">
        <v>258</v>
      </c>
      <c r="G53" s="280" t="s">
        <v>259</v>
      </c>
      <c r="H53" s="280" t="s">
        <v>260</v>
      </c>
      <c r="I53" s="280" t="s">
        <v>261</v>
      </c>
      <c r="J53" s="259"/>
      <c r="M53" s="170"/>
      <c r="N53" s="170"/>
      <c r="O53" s="170"/>
      <c r="Q53" s="262">
        <f>'02.2020 Base Rate Revenue'!P52</f>
        <v>3928867.2013699999</v>
      </c>
      <c r="R53" s="188">
        <f>I64</f>
        <v>-270024.09100000001</v>
      </c>
      <c r="U53" s="170"/>
      <c r="V53" s="170"/>
      <c r="W53" s="170"/>
      <c r="X53" s="170"/>
      <c r="Y53" s="170"/>
      <c r="Z53" s="170"/>
      <c r="AA53" s="170"/>
      <c r="AB53" s="170"/>
      <c r="AC53" s="170"/>
      <c r="AD53" s="77"/>
      <c r="AE53" s="77"/>
      <c r="AF53" s="77"/>
    </row>
    <row r="54" spans="1:33" x14ac:dyDescent="0.25">
      <c r="A54" s="178" t="s">
        <v>212</v>
      </c>
      <c r="B54" s="170"/>
      <c r="C54" s="186">
        <f>C42*$H4</f>
        <v>-158942.83800000002</v>
      </c>
      <c r="D54" s="186">
        <f t="shared" ref="D54:E54" si="28">D42*$H4</f>
        <v>-2607.5134800000001</v>
      </c>
      <c r="E54" s="186">
        <f t="shared" si="28"/>
        <v>-2552.8103999999998</v>
      </c>
      <c r="F54" s="186">
        <f>F42*$H4</f>
        <v>0</v>
      </c>
      <c r="G54" s="186">
        <f t="shared" ref="G54:H54" si="29">G42*$H4</f>
        <v>-18404.54736</v>
      </c>
      <c r="H54" s="186">
        <f t="shared" si="29"/>
        <v>-12721.505160000001</v>
      </c>
      <c r="I54" s="186">
        <f t="shared" ref="I54:I63" si="30">SUM(C54:H54)</f>
        <v>-195229.2144</v>
      </c>
      <c r="M54" s="170"/>
      <c r="N54" s="191"/>
      <c r="O54" s="170"/>
      <c r="P54" s="170"/>
      <c r="Q54" s="191">
        <f>R52-R53</f>
        <v>0</v>
      </c>
      <c r="R54" s="170"/>
      <c r="U54" s="170"/>
      <c r="V54" s="170"/>
      <c r="W54" s="170"/>
      <c r="X54" s="170"/>
      <c r="Y54" s="170"/>
      <c r="Z54" s="170"/>
      <c r="AA54" s="170"/>
      <c r="AB54" s="170"/>
      <c r="AC54" s="170"/>
      <c r="AD54" s="77"/>
      <c r="AE54" s="77"/>
      <c r="AF54" s="77"/>
    </row>
    <row r="55" spans="1:33" x14ac:dyDescent="0.25">
      <c r="A55" s="178" t="s">
        <v>214</v>
      </c>
      <c r="B55" s="170"/>
      <c r="C55" s="186">
        <f t="shared" ref="C55:H63" si="31">C43*$H5</f>
        <v>-138.33350000000002</v>
      </c>
      <c r="D55" s="186">
        <f t="shared" si="31"/>
        <v>-2.2694100000000001</v>
      </c>
      <c r="E55" s="186">
        <f t="shared" si="31"/>
        <v>-2.2218</v>
      </c>
      <c r="F55" s="186">
        <f t="shared" si="31"/>
        <v>256.40100999999999</v>
      </c>
      <c r="G55" s="186">
        <f t="shared" si="31"/>
        <v>-16.01812</v>
      </c>
      <c r="H55" s="186">
        <f t="shared" si="31"/>
        <v>-11.07197</v>
      </c>
      <c r="I55" s="186">
        <f t="shared" si="30"/>
        <v>86.486209999999971</v>
      </c>
      <c r="J55" s="170"/>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1"/>
        <v>-54727.126349999999</v>
      </c>
      <c r="D56" s="186">
        <f t="shared" si="31"/>
        <v>-2358.08475</v>
      </c>
      <c r="E56" s="186">
        <f t="shared" si="31"/>
        <v>-4001.13735</v>
      </c>
      <c r="F56" s="186">
        <f t="shared" si="31"/>
        <v>0</v>
      </c>
      <c r="G56" s="186">
        <f t="shared" si="31"/>
        <v>-3533.8670999999999</v>
      </c>
      <c r="H56" s="186">
        <f t="shared" si="31"/>
        <v>-3812.0558999999998</v>
      </c>
      <c r="I56" s="186">
        <f t="shared" si="30"/>
        <v>-68432.27145</v>
      </c>
      <c r="J56" s="170"/>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1"/>
        <v>-196.91541999999998</v>
      </c>
      <c r="D57" s="186">
        <f t="shared" si="31"/>
        <v>0</v>
      </c>
      <c r="E57" s="186">
        <f t="shared" si="31"/>
        <v>-14.396619999999999</v>
      </c>
      <c r="F57" s="186">
        <f t="shared" si="31"/>
        <v>0</v>
      </c>
      <c r="G57" s="186">
        <f t="shared" si="31"/>
        <v>-12.71532</v>
      </c>
      <c r="H57" s="186">
        <f t="shared" si="31"/>
        <v>-13.716279999999999</v>
      </c>
      <c r="I57" s="186">
        <f t="shared" si="30"/>
        <v>-237.74363999999997</v>
      </c>
      <c r="J57" s="170"/>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1"/>
        <v>-2318.6664799999999</v>
      </c>
      <c r="D58" s="186">
        <f t="shared" si="31"/>
        <v>-99.906800000000004</v>
      </c>
      <c r="E58" s="186">
        <f t="shared" si="31"/>
        <v>-169.51927999999998</v>
      </c>
      <c r="F58" s="186">
        <f t="shared" si="31"/>
        <v>0</v>
      </c>
      <c r="G58" s="186">
        <f t="shared" si="31"/>
        <v>-117.49408000000001</v>
      </c>
      <c r="H58" s="186">
        <f t="shared" si="31"/>
        <v>-147.51215999999999</v>
      </c>
      <c r="I58" s="186">
        <f t="shared" si="30"/>
        <v>-2853.0987999999998</v>
      </c>
      <c r="J58" s="170"/>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1"/>
        <v>-2827.57449</v>
      </c>
      <c r="D59" s="186">
        <f t="shared" si="31"/>
        <v>0</v>
      </c>
      <c r="E59" s="186">
        <f t="shared" si="31"/>
        <v>-206.72588999999999</v>
      </c>
      <c r="F59" s="186">
        <f t="shared" si="31"/>
        <v>0</v>
      </c>
      <c r="G59" s="186">
        <f t="shared" si="31"/>
        <v>-143.28203999999999</v>
      </c>
      <c r="H59" s="186">
        <f t="shared" si="31"/>
        <v>-179.88857999999999</v>
      </c>
      <c r="I59" s="186">
        <f t="shared" si="30"/>
        <v>-3357.471</v>
      </c>
      <c r="J59" s="170"/>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1"/>
        <v>0</v>
      </c>
      <c r="D60" s="186">
        <f t="shared" si="31"/>
        <v>0</v>
      </c>
      <c r="E60" s="186">
        <f t="shared" si="31"/>
        <v>0</v>
      </c>
      <c r="F60" s="186">
        <f t="shared" si="31"/>
        <v>0</v>
      </c>
      <c r="G60" s="186">
        <f t="shared" si="31"/>
        <v>0</v>
      </c>
      <c r="H60" s="186">
        <f t="shared" si="31"/>
        <v>0</v>
      </c>
      <c r="I60" s="186">
        <f t="shared" si="30"/>
        <v>0</v>
      </c>
      <c r="J60" s="170"/>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1"/>
        <v>-0.32031999999999999</v>
      </c>
      <c r="D61" s="186">
        <f t="shared" si="31"/>
        <v>0</v>
      </c>
      <c r="E61" s="186">
        <f t="shared" si="31"/>
        <v>0</v>
      </c>
      <c r="F61" s="186">
        <f t="shared" si="31"/>
        <v>0</v>
      </c>
      <c r="G61" s="186">
        <f t="shared" si="31"/>
        <v>0</v>
      </c>
      <c r="H61" s="186">
        <f t="shared" si="31"/>
        <v>-0.45760000000000001</v>
      </c>
      <c r="I61" s="186">
        <f t="shared" si="30"/>
        <v>-0.77791999999999994</v>
      </c>
      <c r="J61" s="170"/>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1"/>
        <v>0</v>
      </c>
      <c r="D62" s="186">
        <f t="shared" si="31"/>
        <v>0</v>
      </c>
      <c r="E62" s="186">
        <f t="shared" si="31"/>
        <v>0</v>
      </c>
      <c r="F62" s="186">
        <f t="shared" si="31"/>
        <v>0</v>
      </c>
      <c r="G62" s="186">
        <f t="shared" si="31"/>
        <v>0</v>
      </c>
      <c r="H62" s="186">
        <f t="shared" si="31"/>
        <v>0</v>
      </c>
      <c r="I62" s="186">
        <f t="shared" si="30"/>
        <v>0</v>
      </c>
      <c r="J62" s="170"/>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1"/>
        <v>0</v>
      </c>
      <c r="D63" s="186">
        <f t="shared" si="31"/>
        <v>0</v>
      </c>
      <c r="E63" s="186">
        <f t="shared" si="31"/>
        <v>0</v>
      </c>
      <c r="F63" s="186">
        <f t="shared" si="31"/>
        <v>0</v>
      </c>
      <c r="G63" s="186">
        <f t="shared" si="31"/>
        <v>0</v>
      </c>
      <c r="H63" s="186">
        <f t="shared" si="31"/>
        <v>0</v>
      </c>
      <c r="I63" s="186">
        <f t="shared" si="30"/>
        <v>0</v>
      </c>
      <c r="J63" s="170"/>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-219151.77456000002</v>
      </c>
      <c r="D64" s="194">
        <f t="shared" ref="D64:H64" si="32">SUM(D54:D63)</f>
        <v>-5067.7744400000001</v>
      </c>
      <c r="E64" s="194">
        <f t="shared" si="32"/>
        <v>-6946.8113400000002</v>
      </c>
      <c r="F64" s="194">
        <f t="shared" si="32"/>
        <v>256.40100999999999</v>
      </c>
      <c r="G64" s="194">
        <f t="shared" si="32"/>
        <v>-22227.924019999999</v>
      </c>
      <c r="H64" s="194">
        <f t="shared" si="32"/>
        <v>-16886.20765</v>
      </c>
      <c r="I64" s="194">
        <f>SUM(I54:I63)</f>
        <v>-270024.09100000001</v>
      </c>
      <c r="J64" s="170"/>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-159081.17150000003</v>
      </c>
      <c r="D66" s="186">
        <f>D54+D55</f>
        <v>-2609.78289</v>
      </c>
      <c r="E66" s="186">
        <f t="shared" ref="E66:H66" si="33">E54+E55</f>
        <v>-2555.0321999999996</v>
      </c>
      <c r="F66" s="186">
        <f t="shared" si="33"/>
        <v>256.40100999999999</v>
      </c>
      <c r="G66" s="186">
        <f t="shared" si="33"/>
        <v>-18420.565480000001</v>
      </c>
      <c r="H66" s="186">
        <f t="shared" si="33"/>
        <v>-12732.577130000001</v>
      </c>
      <c r="I66" s="186">
        <f>I54+I55</f>
        <v>-195142.72818999999</v>
      </c>
      <c r="J66" s="170"/>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70"/>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-60070.282739999995</v>
      </c>
      <c r="D68" s="219">
        <f t="shared" ref="D68:I68" si="34">SUM(D56:D59)</f>
        <v>-2457.9915500000002</v>
      </c>
      <c r="E68" s="219">
        <f t="shared" si="34"/>
        <v>-4391.7791399999996</v>
      </c>
      <c r="F68" s="219">
        <f t="shared" si="34"/>
        <v>0</v>
      </c>
      <c r="G68" s="219">
        <f t="shared" si="34"/>
        <v>-3807.3585399999997</v>
      </c>
      <c r="H68" s="219">
        <f t="shared" si="34"/>
        <v>-4153.17292</v>
      </c>
      <c r="I68" s="219">
        <f t="shared" si="34"/>
        <v>-74880.584890000013</v>
      </c>
      <c r="J68" s="170"/>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x14ac:dyDescent="0.25">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sheetData>
  <mergeCells count="6">
    <mergeCell ref="R40:R41"/>
    <mergeCell ref="A1:I1"/>
    <mergeCell ref="O40:O41"/>
    <mergeCell ref="P40:P41"/>
    <mergeCell ref="Q40:Q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73"/>
  <sheetViews>
    <sheetView workbookViewId="0">
      <selection sqref="A1:I1"/>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4.42578125" customWidth="1"/>
    <col min="8" max="8" width="14.7109375" customWidth="1"/>
    <col min="9" max="9" width="17.140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335</v>
      </c>
      <c r="AB1" s="170"/>
      <c r="AC1" s="171" t="s">
        <v>203</v>
      </c>
      <c r="AD1" s="172" t="s">
        <v>262</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276" t="str">
        <f>AA1&amp;" Billed Schedule 175 Revenue"</f>
        <v>February Billed Schedule 175 Revenue</v>
      </c>
      <c r="O2" s="276" t="str">
        <f>AA1&amp;" Billed Therms"</f>
        <v>February Billed Therms</v>
      </c>
      <c r="P2" s="276" t="str">
        <f>AA1&amp;" Unbilled Therms"</f>
        <v>February Unbilled Therms</v>
      </c>
      <c r="Q2" s="276" t="s">
        <v>308</v>
      </c>
      <c r="R2" s="276" t="s">
        <v>209</v>
      </c>
      <c r="S2" s="276" t="str">
        <f>AD1&amp;" Unbilled Therms reversal"</f>
        <v>January Unbilled Therms reversal</v>
      </c>
      <c r="T2" s="276" t="s">
        <v>308</v>
      </c>
      <c r="U2" s="276" t="str">
        <f>AD1&amp;" Schedule 175 Unbilled Reversal"</f>
        <v>January Schedule 175 Unbilled Reversal</v>
      </c>
      <c r="V2" s="170"/>
      <c r="W2" s="276" t="str">
        <f>"Total "&amp;AA1&amp;" Schedule 175 Revenue"</f>
        <v>Total February Schedule 175 Revenue</v>
      </c>
      <c r="X2" s="170"/>
      <c r="Y2" s="276" t="str">
        <f>"Calendar "&amp;AA1&amp;" Usage"</f>
        <v>Calendar February Usage</v>
      </c>
      <c r="Z2" s="276" t="str">
        <f>Q2</f>
        <v>11/1/2019 rate</v>
      </c>
      <c r="AA2" s="276" t="s">
        <v>210</v>
      </c>
      <c r="AB2" s="276" t="s">
        <v>211</v>
      </c>
      <c r="AC2" s="276" t="str">
        <f>"implied "&amp;AD1&amp;" unbilled/Cancel-Rebill True-up therms"</f>
        <v>implied January unbilled/Cancel-Rebill True-up therms</v>
      </c>
      <c r="AD2" s="170"/>
      <c r="AE2" s="77"/>
      <c r="AF2" s="77"/>
      <c r="AG2" s="77"/>
    </row>
    <row r="3" spans="1:33" x14ac:dyDescent="0.25">
      <c r="A3" s="177"/>
      <c r="B3" s="177"/>
      <c r="C3" s="177"/>
      <c r="D3" s="170"/>
      <c r="E3" s="170"/>
      <c r="F3" s="170"/>
      <c r="G3" s="170"/>
      <c r="H3" s="170"/>
      <c r="I3" s="170"/>
      <c r="J3" s="170"/>
      <c r="K3" s="170"/>
      <c r="L3" s="170"/>
      <c r="M3" s="170"/>
      <c r="N3" s="276"/>
      <c r="O3" s="276"/>
      <c r="P3" s="276"/>
      <c r="Q3" s="276"/>
      <c r="R3" s="276"/>
      <c r="S3" s="276"/>
      <c r="T3" s="276"/>
      <c r="U3" s="276"/>
      <c r="V3" s="170"/>
      <c r="W3" s="276"/>
      <c r="X3" s="170"/>
      <c r="Y3" s="276"/>
      <c r="Z3" s="276"/>
      <c r="AA3" s="276"/>
      <c r="AB3" s="276"/>
      <c r="AC3" s="276"/>
      <c r="AD3" s="170"/>
      <c r="AE3" s="77"/>
      <c r="AF3" s="77"/>
      <c r="AG3" s="77"/>
    </row>
    <row r="4" spans="1:33" x14ac:dyDescent="0.25">
      <c r="A4" s="178" t="s">
        <v>212</v>
      </c>
      <c r="B4" s="177"/>
      <c r="C4" s="179">
        <v>167266</v>
      </c>
      <c r="D4" s="177"/>
      <c r="E4" s="180">
        <v>18983969.72143</v>
      </c>
      <c r="F4" s="180">
        <v>-9576661</v>
      </c>
      <c r="G4" s="180">
        <f>8736536-G5</f>
        <v>8726141</v>
      </c>
      <c r="H4" s="181">
        <f>F4+G4</f>
        <v>-850520</v>
      </c>
      <c r="I4" s="182">
        <f t="shared" ref="I4:I13" si="0">SUM(E4:G4)</f>
        <v>18133449.72143</v>
      </c>
      <c r="J4" s="170"/>
      <c r="K4" s="170"/>
      <c r="L4" s="170" t="s">
        <v>213</v>
      </c>
      <c r="M4" s="170"/>
      <c r="N4" s="183">
        <v>79924.100000000006</v>
      </c>
      <c r="O4" s="184">
        <f>E4</f>
        <v>18983969.72143</v>
      </c>
      <c r="P4" s="184">
        <f t="shared" ref="P4:P9" si="1">G4</f>
        <v>8726141</v>
      </c>
      <c r="Q4" s="185">
        <v>4.1999999999999997E-3</v>
      </c>
      <c r="R4" s="186">
        <f>P4*Q4</f>
        <v>36649.792199999996</v>
      </c>
      <c r="S4" s="184">
        <f t="shared" ref="S4:S9" si="2">F4</f>
        <v>-9576661</v>
      </c>
      <c r="T4" s="185">
        <v>4.1999999999999997E-3</v>
      </c>
      <c r="U4" s="187">
        <f>S4*T4</f>
        <v>-40221.976199999997</v>
      </c>
      <c r="V4" s="170"/>
      <c r="W4" s="188">
        <f>N4+R4+U4</f>
        <v>76351.915999999997</v>
      </c>
      <c r="X4" s="170"/>
      <c r="Y4" s="189">
        <f>O4+P4+S4</f>
        <v>18133449.72143</v>
      </c>
      <c r="Z4" s="190">
        <f>Q4</f>
        <v>4.1999999999999997E-3</v>
      </c>
      <c r="AA4" s="191">
        <f>Y4*Z4</f>
        <v>76160.488830005997</v>
      </c>
      <c r="AB4" s="188">
        <f>W4-AA4</f>
        <v>191.427169994</v>
      </c>
      <c r="AC4" s="189">
        <f>AB4/T4</f>
        <v>45577.897617619048</v>
      </c>
      <c r="AD4" s="192">
        <f t="shared" ref="AD4:AD11" si="3">AB4/W4</f>
        <v>2.5071691716812973E-3</v>
      </c>
      <c r="AE4" s="77"/>
      <c r="AF4" s="77"/>
      <c r="AG4" s="77"/>
    </row>
    <row r="5" spans="1:33" x14ac:dyDescent="0.25">
      <c r="A5" s="178" t="s">
        <v>214</v>
      </c>
      <c r="B5" s="177"/>
      <c r="C5" s="179">
        <v>199</v>
      </c>
      <c r="D5" s="177"/>
      <c r="E5" s="180">
        <v>22578.70966</v>
      </c>
      <c r="F5" s="180">
        <v>-9428</v>
      </c>
      <c r="G5" s="180">
        <v>10395</v>
      </c>
      <c r="H5" s="181">
        <f t="shared" ref="H5:H13" si="4">F5+G5</f>
        <v>967</v>
      </c>
      <c r="I5" s="182">
        <f t="shared" si="0"/>
        <v>23545.70966</v>
      </c>
      <c r="J5" s="170"/>
      <c r="K5" s="170"/>
      <c r="L5" s="170" t="s">
        <v>215</v>
      </c>
      <c r="M5" s="170"/>
      <c r="N5" s="183">
        <v>94.1</v>
      </c>
      <c r="O5" s="184">
        <f t="shared" ref="O5:O7" si="5">E5</f>
        <v>22578.70966</v>
      </c>
      <c r="P5" s="184">
        <f t="shared" si="1"/>
        <v>10395</v>
      </c>
      <c r="Q5" s="185">
        <v>4.1999999999999997E-3</v>
      </c>
      <c r="R5" s="186">
        <f t="shared" ref="R5:R10" si="6">P5*Q5</f>
        <v>43.658999999999999</v>
      </c>
      <c r="S5" s="184">
        <f t="shared" si="2"/>
        <v>-9428</v>
      </c>
      <c r="T5" s="185">
        <v>4.1999999999999997E-3</v>
      </c>
      <c r="U5" s="187">
        <f t="shared" ref="U5:U10" si="7">S5*T5</f>
        <v>-39.5976</v>
      </c>
      <c r="V5" s="170"/>
      <c r="W5" s="188">
        <f t="shared" ref="W5:W10" si="8">N5+R5+U5</f>
        <v>98.161399999999986</v>
      </c>
      <c r="X5" s="170"/>
      <c r="Y5" s="189">
        <f t="shared" ref="Y5:Y10" si="9">O5+P5+S5</f>
        <v>23545.70966</v>
      </c>
      <c r="Z5" s="190">
        <f t="shared" ref="Z5:Z10" si="10">Q5</f>
        <v>4.1999999999999997E-3</v>
      </c>
      <c r="AA5" s="191">
        <f t="shared" ref="AA5:AA10" si="11">Y5*Z5</f>
        <v>98.891980571999994</v>
      </c>
      <c r="AB5" s="188">
        <f t="shared" ref="AB5:AB10" si="12">W5-AA5</f>
        <v>-0.73058057200000803</v>
      </c>
      <c r="AC5" s="189">
        <f t="shared" ref="AC5:AC10" si="13">AB5/T5</f>
        <v>-173.94775523809716</v>
      </c>
      <c r="AD5" s="192">
        <f t="shared" si="3"/>
        <v>-7.4426462132773999E-3</v>
      </c>
      <c r="AE5" s="77"/>
      <c r="AF5" s="77"/>
      <c r="AG5" s="77"/>
    </row>
    <row r="6" spans="1:33" x14ac:dyDescent="0.25">
      <c r="A6" s="178" t="s">
        <v>216</v>
      </c>
      <c r="B6" s="177"/>
      <c r="C6" s="179">
        <v>3150</v>
      </c>
      <c r="D6" s="177"/>
      <c r="E6" s="180">
        <v>7423211.68432</v>
      </c>
      <c r="F6" s="180">
        <v>-3460823</v>
      </c>
      <c r="G6" s="180">
        <v>3277008</v>
      </c>
      <c r="H6" s="181">
        <f t="shared" si="4"/>
        <v>-183815</v>
      </c>
      <c r="I6" s="182">
        <f>SUM(E6:G6)</f>
        <v>7239396.68432</v>
      </c>
      <c r="J6" s="170"/>
      <c r="K6" s="170"/>
      <c r="L6" s="170" t="s">
        <v>217</v>
      </c>
      <c r="M6" s="170"/>
      <c r="N6" s="183">
        <v>136584.39000000001</v>
      </c>
      <c r="O6" s="184">
        <f t="shared" si="5"/>
        <v>7423211.68432</v>
      </c>
      <c r="P6" s="184">
        <f t="shared" si="1"/>
        <v>3277008</v>
      </c>
      <c r="Q6" s="193">
        <v>1.8409999999999999E-2</v>
      </c>
      <c r="R6" s="186">
        <f t="shared" si="6"/>
        <v>60329.717279999997</v>
      </c>
      <c r="S6" s="184">
        <f t="shared" si="2"/>
        <v>-3460823</v>
      </c>
      <c r="T6" s="185">
        <v>1.8409999999999999E-2</v>
      </c>
      <c r="U6" s="187">
        <f t="shared" si="7"/>
        <v>-63713.751429999997</v>
      </c>
      <c r="V6" s="170"/>
      <c r="W6" s="188">
        <f t="shared" si="8"/>
        <v>133200.35584999999</v>
      </c>
      <c r="X6" s="170"/>
      <c r="Y6" s="189">
        <f t="shared" si="9"/>
        <v>7239396.6843199991</v>
      </c>
      <c r="Z6" s="177">
        <f t="shared" si="10"/>
        <v>1.8409999999999999E-2</v>
      </c>
      <c r="AA6" s="191">
        <f t="shared" si="11"/>
        <v>133277.29295833118</v>
      </c>
      <c r="AB6" s="188">
        <f t="shared" si="12"/>
        <v>-76.9371083311853</v>
      </c>
      <c r="AC6" s="189">
        <f t="shared" si="13"/>
        <v>-4179.0933368378764</v>
      </c>
      <c r="AD6" s="192">
        <f t="shared" si="3"/>
        <v>-5.7760437530531797E-4</v>
      </c>
      <c r="AE6" s="77"/>
      <c r="AF6" s="77"/>
      <c r="AG6" s="77"/>
    </row>
    <row r="7" spans="1:33" x14ac:dyDescent="0.25">
      <c r="A7" s="178" t="s">
        <v>218</v>
      </c>
      <c r="B7" s="177"/>
      <c r="C7" s="179">
        <v>1</v>
      </c>
      <c r="D7" s="177"/>
      <c r="E7" s="180">
        <v>17725.178</v>
      </c>
      <c r="F7" s="180">
        <v>-8864</v>
      </c>
      <c r="G7" s="180">
        <v>8161</v>
      </c>
      <c r="H7" s="181">
        <f t="shared" si="4"/>
        <v>-703</v>
      </c>
      <c r="I7" s="182">
        <f>SUM(E7:G7)</f>
        <v>17022.178</v>
      </c>
      <c r="J7" s="170"/>
      <c r="K7" s="170"/>
      <c r="L7" s="170" t="s">
        <v>219</v>
      </c>
      <c r="M7" s="170"/>
      <c r="N7" s="183">
        <v>326.32</v>
      </c>
      <c r="O7" s="184">
        <f t="shared" si="5"/>
        <v>17725.178</v>
      </c>
      <c r="P7" s="184">
        <f t="shared" si="1"/>
        <v>8161</v>
      </c>
      <c r="Q7" s="185">
        <v>1.8409999999999999E-2</v>
      </c>
      <c r="R7" s="186">
        <f t="shared" si="6"/>
        <v>150.24401</v>
      </c>
      <c r="S7" s="184">
        <f t="shared" si="2"/>
        <v>-8864</v>
      </c>
      <c r="T7" s="185">
        <v>1.8409999999999999E-2</v>
      </c>
      <c r="U7" s="187">
        <f t="shared" si="7"/>
        <v>-163.18624</v>
      </c>
      <c r="V7" s="170"/>
      <c r="W7" s="188">
        <f t="shared" si="8"/>
        <v>313.37777</v>
      </c>
      <c r="X7" s="170"/>
      <c r="Y7" s="189">
        <f t="shared" si="9"/>
        <v>17022.178</v>
      </c>
      <c r="Z7" s="190">
        <f t="shared" si="10"/>
        <v>1.8409999999999999E-2</v>
      </c>
      <c r="AA7" s="191">
        <f t="shared" si="11"/>
        <v>313.37829697999996</v>
      </c>
      <c r="AB7" s="188">
        <f t="shared" si="12"/>
        <v>-5.2697999996098588E-4</v>
      </c>
      <c r="AC7" s="189"/>
      <c r="AD7" s="192"/>
      <c r="AE7" s="77"/>
      <c r="AF7" s="77"/>
      <c r="AG7" s="77"/>
    </row>
    <row r="8" spans="1:33" x14ac:dyDescent="0.25">
      <c r="A8" s="178" t="s">
        <v>220</v>
      </c>
      <c r="B8" s="177"/>
      <c r="C8" s="179">
        <v>4</v>
      </c>
      <c r="D8" s="259"/>
      <c r="E8" s="180">
        <v>167459.78</v>
      </c>
      <c r="F8" s="180">
        <v>-88995</v>
      </c>
      <c r="G8" s="180">
        <v>77098</v>
      </c>
      <c r="H8" s="181">
        <f t="shared" si="4"/>
        <v>-11897</v>
      </c>
      <c r="I8" s="182">
        <f t="shared" si="0"/>
        <v>155562.78</v>
      </c>
      <c r="J8" s="170"/>
      <c r="K8" s="170"/>
      <c r="L8" s="170" t="s">
        <v>221</v>
      </c>
      <c r="M8" s="170"/>
      <c r="N8" s="183">
        <v>3082.93</v>
      </c>
      <c r="O8" s="184">
        <f>E8</f>
        <v>167459.78</v>
      </c>
      <c r="P8" s="184">
        <f t="shared" si="1"/>
        <v>77098</v>
      </c>
      <c r="Q8" s="193">
        <v>1.8409999999999999E-2</v>
      </c>
      <c r="R8" s="186">
        <f t="shared" si="6"/>
        <v>1419.37418</v>
      </c>
      <c r="S8" s="184">
        <f t="shared" si="2"/>
        <v>-88995</v>
      </c>
      <c r="T8" s="185">
        <v>1.8409999999999999E-2</v>
      </c>
      <c r="U8" s="187">
        <f t="shared" si="7"/>
        <v>-1638.39795</v>
      </c>
      <c r="V8" s="170"/>
      <c r="W8" s="188">
        <f>N8+R8+U8</f>
        <v>2863.9062300000001</v>
      </c>
      <c r="X8" s="170"/>
      <c r="Y8" s="189">
        <f t="shared" si="9"/>
        <v>155562.78</v>
      </c>
      <c r="Z8" s="177">
        <f t="shared" si="10"/>
        <v>1.8409999999999999E-2</v>
      </c>
      <c r="AA8" s="191">
        <f t="shared" si="11"/>
        <v>2863.9107798</v>
      </c>
      <c r="AB8" s="188">
        <f t="shared" si="12"/>
        <v>-4.5497999999497551E-3</v>
      </c>
      <c r="AC8" s="189">
        <f t="shared" si="13"/>
        <v>-0.24713742530960106</v>
      </c>
      <c r="AD8" s="192">
        <f>AB8/W8</f>
        <v>-1.5886693329165861E-6</v>
      </c>
      <c r="AE8" s="77"/>
      <c r="AF8" s="77"/>
      <c r="AG8" s="77"/>
    </row>
    <row r="9" spans="1:33" x14ac:dyDescent="0.25">
      <c r="A9" s="178" t="s">
        <v>222</v>
      </c>
      <c r="B9" s="177"/>
      <c r="C9" s="179">
        <v>3</v>
      </c>
      <c r="D9" s="259"/>
      <c r="E9" s="180">
        <v>473987.14</v>
      </c>
      <c r="F9" s="180">
        <v>-217940</v>
      </c>
      <c r="G9" s="180">
        <v>218221</v>
      </c>
      <c r="H9" s="181">
        <f t="shared" si="4"/>
        <v>281</v>
      </c>
      <c r="I9" s="182">
        <f t="shared" si="0"/>
        <v>474268.14</v>
      </c>
      <c r="J9" s="170"/>
      <c r="K9" s="170"/>
      <c r="L9" s="170" t="s">
        <v>137</v>
      </c>
      <c r="M9" s="170"/>
      <c r="N9" s="183">
        <v>8726.11</v>
      </c>
      <c r="O9" s="184">
        <f>E9</f>
        <v>473987.14</v>
      </c>
      <c r="P9" s="184">
        <f t="shared" si="1"/>
        <v>218221</v>
      </c>
      <c r="Q9" s="185">
        <v>1.8409999999999999E-2</v>
      </c>
      <c r="R9" s="186">
        <f t="shared" si="6"/>
        <v>4017.4486099999999</v>
      </c>
      <c r="S9" s="184">
        <f t="shared" si="2"/>
        <v>-217940</v>
      </c>
      <c r="T9" s="185">
        <v>1.8409999999999999E-2</v>
      </c>
      <c r="U9" s="187">
        <f t="shared" si="7"/>
        <v>-4012.2754</v>
      </c>
      <c r="V9" s="170"/>
      <c r="W9" s="188">
        <f>N9+R9+U9</f>
        <v>8731.2832099999996</v>
      </c>
      <c r="X9" s="170"/>
      <c r="Y9" s="189">
        <f t="shared" si="9"/>
        <v>474268.14</v>
      </c>
      <c r="Z9" s="190">
        <f t="shared" si="10"/>
        <v>1.8409999999999999E-2</v>
      </c>
      <c r="AA9" s="191">
        <f t="shared" si="11"/>
        <v>8731.2764573999993</v>
      </c>
      <c r="AB9" s="188">
        <f t="shared" si="12"/>
        <v>6.7526000002544606E-3</v>
      </c>
      <c r="AC9" s="189"/>
      <c r="AD9" s="192"/>
      <c r="AE9" s="77"/>
      <c r="AF9" s="77"/>
      <c r="AG9" s="77"/>
    </row>
    <row r="10" spans="1:33" x14ac:dyDescent="0.25">
      <c r="A10" s="178" t="s">
        <v>223</v>
      </c>
      <c r="B10" s="177"/>
      <c r="C10" s="179">
        <v>2</v>
      </c>
      <c r="D10" s="177"/>
      <c r="E10" s="180">
        <v>115027.63800000001</v>
      </c>
      <c r="F10" s="180"/>
      <c r="G10" s="180"/>
      <c r="H10" s="181">
        <f t="shared" si="4"/>
        <v>0</v>
      </c>
      <c r="I10" s="182">
        <f t="shared" si="0"/>
        <v>115027.63800000001</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179">
        <v>37</v>
      </c>
      <c r="D11" s="177"/>
      <c r="E11" s="180">
        <v>3311586</v>
      </c>
      <c r="F11" s="180">
        <v>-3311586</v>
      </c>
      <c r="G11" s="180">
        <v>3147559</v>
      </c>
      <c r="H11" s="181">
        <f t="shared" si="4"/>
        <v>-164027</v>
      </c>
      <c r="I11" s="182">
        <f t="shared" si="0"/>
        <v>3147559</v>
      </c>
      <c r="J11" s="170"/>
      <c r="K11" s="170"/>
      <c r="L11" s="170"/>
      <c r="M11" s="170"/>
      <c r="N11" s="194">
        <f>SUM(N4:N10)</f>
        <v>228737.95</v>
      </c>
      <c r="O11" s="195">
        <f>SUM(O4:O10)</f>
        <v>27088932.213410001</v>
      </c>
      <c r="P11" s="195">
        <f>SUM(P4:P10)</f>
        <v>12317024</v>
      </c>
      <c r="Q11" s="170"/>
      <c r="R11" s="194">
        <f>SUM(R4:R10)</f>
        <v>102610.23527999999</v>
      </c>
      <c r="S11" s="195">
        <f>SUM(S4:S10)</f>
        <v>-13362711</v>
      </c>
      <c r="T11" s="196"/>
      <c r="U11" s="194">
        <f>SUM(U4:U10)</f>
        <v>-109789.18481999998</v>
      </c>
      <c r="V11" s="170"/>
      <c r="W11" s="194">
        <f>SUM(W4:W10)</f>
        <v>221559.00045999998</v>
      </c>
      <c r="X11" s="170"/>
      <c r="Y11" s="197">
        <f>SUM(Y4:Y10)</f>
        <v>26043245.213410001</v>
      </c>
      <c r="Z11" s="170"/>
      <c r="AA11" s="197">
        <f>SUM(AA4:AA10)</f>
        <v>221445.23930308918</v>
      </c>
      <c r="AB11" s="194">
        <f>SUM(AB4:AB10)</f>
        <v>113.76115691081503</v>
      </c>
      <c r="AC11" s="197">
        <f>SUM(AC4:AC10)</f>
        <v>41224.609388117766</v>
      </c>
      <c r="AD11" s="192">
        <f t="shared" si="3"/>
        <v>5.1345761930061311E-4</v>
      </c>
      <c r="AE11" s="77"/>
      <c r="AF11" s="77"/>
      <c r="AG11" s="77"/>
    </row>
    <row r="12" spans="1:33" x14ac:dyDescent="0.25">
      <c r="A12" s="178" t="s">
        <v>226</v>
      </c>
      <c r="B12" s="177"/>
      <c r="C12" s="179">
        <v>2</v>
      </c>
      <c r="D12" s="177"/>
      <c r="E12" s="180">
        <v>112693</v>
      </c>
      <c r="F12" s="180"/>
      <c r="G12" s="180"/>
      <c r="H12" s="181">
        <f t="shared" si="4"/>
        <v>0</v>
      </c>
      <c r="I12" s="182">
        <f t="shared" si="0"/>
        <v>112693</v>
      </c>
      <c r="J12" s="170"/>
      <c r="K12" s="170"/>
      <c r="L12" s="170"/>
      <c r="M12" s="170"/>
      <c r="N12" s="170"/>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179">
        <v>5</v>
      </c>
      <c r="D13" s="199"/>
      <c r="E13" s="180">
        <v>4798122</v>
      </c>
      <c r="F13" s="180">
        <v>-4798122</v>
      </c>
      <c r="G13" s="180">
        <v>4535555</v>
      </c>
      <c r="H13" s="181">
        <f t="shared" si="4"/>
        <v>-262567</v>
      </c>
      <c r="I13" s="182">
        <f t="shared" si="0"/>
        <v>4535555</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170669</v>
      </c>
      <c r="D14" s="170"/>
      <c r="E14" s="201">
        <f>SUM(E4:E13)</f>
        <v>35426360.851410002</v>
      </c>
      <c r="F14" s="201">
        <f>SUM(F4:F13)</f>
        <v>-21472419</v>
      </c>
      <c r="G14" s="201">
        <f>SUM(G4:G13)</f>
        <v>20000138</v>
      </c>
      <c r="H14" s="201">
        <f>SUM(H4:H13)</f>
        <v>-1472281</v>
      </c>
      <c r="I14" s="201">
        <f t="shared" ref="I14" si="14">SUM(I4:I13)</f>
        <v>33954079.851410002</v>
      </c>
      <c r="J14" s="170"/>
      <c r="K14" s="170"/>
      <c r="L14" s="170"/>
      <c r="M14" s="170"/>
      <c r="N14" s="170"/>
      <c r="O14" s="170"/>
      <c r="P14" s="170"/>
      <c r="Q14" s="170"/>
      <c r="R14" s="170"/>
      <c r="S14" s="170" t="s">
        <v>181</v>
      </c>
      <c r="T14" s="170" t="s">
        <v>232</v>
      </c>
      <c r="U14" s="170"/>
      <c r="V14" s="170"/>
      <c r="W14" s="202">
        <f>(W4+W5)*W13</f>
        <v>73074.424232402991</v>
      </c>
      <c r="X14" s="170"/>
      <c r="Y14" s="170" t="s">
        <v>28</v>
      </c>
      <c r="Z14" s="181">
        <f>O4+O5+P4+P5+S4+S5</f>
        <v>18156995.431090001</v>
      </c>
      <c r="AA14" s="190">
        <v>4.0099999999999997E-3</v>
      </c>
      <c r="AB14" s="188">
        <f>Z14*AA14</f>
        <v>72809.551678670905</v>
      </c>
      <c r="AC14" s="188">
        <f>W14-AB14</f>
        <v>264.87255373208609</v>
      </c>
      <c r="AD14" s="192">
        <f>AC14/W14</f>
        <v>3.6246957333484551E-3</v>
      </c>
      <c r="AE14" s="77"/>
      <c r="AF14" s="77"/>
      <c r="AG14" s="77"/>
    </row>
    <row r="15" spans="1:33" ht="15.75" thickBot="1" x14ac:dyDescent="0.3">
      <c r="A15" s="177"/>
      <c r="B15" s="177"/>
      <c r="C15" s="177"/>
      <c r="D15" s="170"/>
      <c r="E15" s="177"/>
      <c r="F15" s="177"/>
      <c r="G15" s="177"/>
      <c r="H15" s="177"/>
      <c r="I15" s="177"/>
      <c r="J15" s="170"/>
      <c r="K15" s="170"/>
      <c r="L15" s="170"/>
      <c r="M15" s="170"/>
      <c r="N15" s="170"/>
      <c r="O15" s="170"/>
      <c r="P15" s="170"/>
      <c r="Q15" s="170"/>
      <c r="R15" s="170"/>
      <c r="S15" s="170" t="s">
        <v>181</v>
      </c>
      <c r="T15" s="170" t="s">
        <v>233</v>
      </c>
      <c r="U15" s="170"/>
      <c r="V15" s="170"/>
      <c r="W15" s="202">
        <f>SUM(W6:W10)*W13</f>
        <v>138701.63856228566</v>
      </c>
      <c r="X15" s="170"/>
      <c r="Y15" s="170" t="s">
        <v>234</v>
      </c>
      <c r="Z15" s="181">
        <f>SUM(O6:P10,S6:S10)</f>
        <v>7886249.7823199984</v>
      </c>
      <c r="AA15" s="190">
        <v>1.7600000000000001E-2</v>
      </c>
      <c r="AB15" s="188">
        <f>(Z15)*AA15</f>
        <v>138797.99616883197</v>
      </c>
      <c r="AC15" s="188">
        <f>W15-AB15</f>
        <v>-96.357606546313036</v>
      </c>
      <c r="AD15" s="192">
        <f>AC15/W15</f>
        <v>-6.9471137864779062E-4</v>
      </c>
      <c r="AE15" s="77"/>
      <c r="AF15" s="77"/>
      <c r="AG15" s="77"/>
    </row>
    <row r="16" spans="1:33" x14ac:dyDescent="0.25">
      <c r="A16" s="177" t="s">
        <v>28</v>
      </c>
      <c r="B16" s="177"/>
      <c r="C16" s="203">
        <f>C4+C5</f>
        <v>167465</v>
      </c>
      <c r="D16" s="170"/>
      <c r="E16" s="204">
        <f>E4+E5</f>
        <v>19006548.431090001</v>
      </c>
      <c r="F16" s="204">
        <f t="shared" ref="F16:H16" si="15">F4+F5</f>
        <v>-9586089</v>
      </c>
      <c r="G16" s="204">
        <f t="shared" si="15"/>
        <v>8736536</v>
      </c>
      <c r="H16" s="204">
        <f t="shared" si="15"/>
        <v>-849553</v>
      </c>
      <c r="I16" s="203">
        <f>I4+I5</f>
        <v>18156995.431090001</v>
      </c>
      <c r="J16" s="170"/>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-7178.9495399999869</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177"/>
      <c r="C18" s="207">
        <f>SUM(C6:C9)</f>
        <v>3158</v>
      </c>
      <c r="D18" s="170"/>
      <c r="E18" s="208">
        <f>SUM(E6:E9)</f>
        <v>8082383.7823200002</v>
      </c>
      <c r="F18" s="208">
        <f t="shared" ref="F18:H18" si="16">SUM(F6:F9)</f>
        <v>-3776622</v>
      </c>
      <c r="G18" s="208">
        <f>SUM(G6:G9)</f>
        <v>3580488</v>
      </c>
      <c r="H18" s="208">
        <f t="shared" si="16"/>
        <v>-196134</v>
      </c>
      <c r="I18" s="207">
        <f>SUM(I6:I9)</f>
        <v>7886249.7823200002</v>
      </c>
      <c r="J18" s="170"/>
      <c r="K18" s="170"/>
      <c r="L18" s="170"/>
      <c r="M18" s="170"/>
      <c r="N18" s="170"/>
      <c r="O18" s="170"/>
      <c r="P18" s="170"/>
      <c r="Q18" s="170"/>
      <c r="R18" s="188">
        <f>E64</f>
        <v>-7178.9495399999996</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277"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210">
        <v>1605804.5</v>
      </c>
      <c r="D22" s="210">
        <v>9498105.5700000003</v>
      </c>
      <c r="E22" s="210">
        <v>-7870416.8989497703</v>
      </c>
      <c r="F22" s="210">
        <f>7291822-F23</f>
        <v>7289255.9917084528</v>
      </c>
      <c r="G22" s="211">
        <f>SUM(D22:F22)</f>
        <v>8916944.6627586819</v>
      </c>
      <c r="H22" s="188">
        <f>-I54</f>
        <v>273187.02399999998</v>
      </c>
      <c r="I22" s="188">
        <f t="shared" ref="I22:I31" si="17">G22+H22</f>
        <v>9190131.6867586821</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210">
        <v>1919</v>
      </c>
      <c r="D23" s="210">
        <v>11186.41</v>
      </c>
      <c r="E23" s="210">
        <v>-2361.1010502299814</v>
      </c>
      <c r="F23" s="210">
        <f>G5*(K23-C23)/E5</f>
        <v>2566.008291547339</v>
      </c>
      <c r="G23" s="211">
        <f>SUM(D23:F23)</f>
        <v>11391.317241317358</v>
      </c>
      <c r="H23" s="188">
        <f>-I55</f>
        <v>158.09483000000006</v>
      </c>
      <c r="I23" s="188">
        <f t="shared" si="17"/>
        <v>11549.412071317358</v>
      </c>
      <c r="J23" s="170"/>
      <c r="K23" s="210">
        <v>7492.56</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210">
        <v>306913.81</v>
      </c>
      <c r="D24" s="210">
        <v>2204147.0299999998</v>
      </c>
      <c r="E24" s="210">
        <v>-1969589</v>
      </c>
      <c r="F24" s="210">
        <v>1864978</v>
      </c>
      <c r="G24" s="211">
        <f>SUM(D24:F24)</f>
        <v>2099536.0299999998</v>
      </c>
      <c r="H24" s="188">
        <f>-I56</f>
        <v>57877.829049999993</v>
      </c>
      <c r="I24" s="188">
        <f t="shared" si="17"/>
        <v>2157413.8590499996</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210">
        <v>97.25</v>
      </c>
      <c r="D25" s="210">
        <v>4616.29</v>
      </c>
      <c r="E25" s="210">
        <v>-4949</v>
      </c>
      <c r="F25" s="210">
        <v>4556</v>
      </c>
      <c r="G25" s="211">
        <f>SUM(D25:F25)</f>
        <v>4223.29</v>
      </c>
      <c r="H25" s="188">
        <f>-I57</f>
        <v>213.72605999999999</v>
      </c>
      <c r="I25" s="188">
        <f>G25+H25</f>
        <v>4437.0160599999999</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210">
        <v>961.79</v>
      </c>
      <c r="D26" s="210">
        <v>32739.919999999998</v>
      </c>
      <c r="E26" s="210">
        <v>-34058</v>
      </c>
      <c r="F26" s="210">
        <v>29505</v>
      </c>
      <c r="G26" s="211">
        <f t="shared" ref="G26:G31" si="18">SUM(D26:F26)</f>
        <v>28186.92</v>
      </c>
      <c r="H26" s="188">
        <f t="shared" ref="H26:H31" si="19">-I58</f>
        <v>3686.2854499999989</v>
      </c>
      <c r="I26" s="188">
        <f t="shared" si="17"/>
        <v>31873.205449999998</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210">
        <v>721.31</v>
      </c>
      <c r="D27" s="210">
        <v>75634.83</v>
      </c>
      <c r="E27" s="210">
        <v>-83403</v>
      </c>
      <c r="F27" s="210">
        <v>83511</v>
      </c>
      <c r="G27" s="211">
        <f t="shared" si="18"/>
        <v>75742.83</v>
      </c>
      <c r="H27" s="188">
        <f t="shared" si="19"/>
        <v>-84.018999999999991</v>
      </c>
      <c r="I27" s="188">
        <f t="shared" si="17"/>
        <v>75658.811000000002</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210">
        <v>0</v>
      </c>
      <c r="D28" s="210">
        <v>22903.08</v>
      </c>
      <c r="E28" s="210"/>
      <c r="F28" s="210"/>
      <c r="G28" s="211">
        <f t="shared" si="18"/>
        <v>22903.08</v>
      </c>
      <c r="H28" s="188">
        <f t="shared" si="19"/>
        <v>0</v>
      </c>
      <c r="I28" s="188">
        <f t="shared" si="17"/>
        <v>22903.08</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210">
        <v>20350</v>
      </c>
      <c r="D29" s="210">
        <v>289117.99</v>
      </c>
      <c r="E29" s="210">
        <v>-294897</v>
      </c>
      <c r="F29" s="210">
        <v>280290</v>
      </c>
      <c r="G29" s="211">
        <f t="shared" si="18"/>
        <v>274510.99</v>
      </c>
      <c r="H29" s="188">
        <f t="shared" si="19"/>
        <v>223.07671999999997</v>
      </c>
      <c r="I29" s="188">
        <f t="shared" si="17"/>
        <v>274734.06672</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210">
        <v>0</v>
      </c>
      <c r="D30" s="210">
        <v>2356.41</v>
      </c>
      <c r="E30" s="210"/>
      <c r="F30" s="210"/>
      <c r="G30" s="211">
        <f t="shared" si="18"/>
        <v>2356.41</v>
      </c>
      <c r="H30" s="188">
        <f t="shared" si="19"/>
        <v>0</v>
      </c>
      <c r="I30" s="188">
        <f t="shared" si="17"/>
        <v>2356.41</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210">
        <v>1000</v>
      </c>
      <c r="D31" s="210">
        <v>120604.97</v>
      </c>
      <c r="E31" s="210">
        <v>-100329</v>
      </c>
      <c r="F31" s="210">
        <v>94838</v>
      </c>
      <c r="G31" s="211">
        <f t="shared" si="18"/>
        <v>115113.97</v>
      </c>
      <c r="H31" s="188">
        <f t="shared" si="19"/>
        <v>0</v>
      </c>
      <c r="I31" s="188">
        <f t="shared" si="17"/>
        <v>115113.97</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210">
        <v>8663198.3900000006</v>
      </c>
      <c r="E32" s="210"/>
      <c r="F32" s="210"/>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210">
        <v>762457.18</v>
      </c>
      <c r="E33" s="210"/>
      <c r="F33" s="210"/>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1937767.6600000001</v>
      </c>
      <c r="D34" s="213">
        <f>SUM(D22:D33)</f>
        <v>21687068.07</v>
      </c>
      <c r="E34" s="213">
        <f>SUM(E22:E33)</f>
        <v>-10360003</v>
      </c>
      <c r="F34" s="213">
        <f>SUM(F22:F33)</f>
        <v>9649500</v>
      </c>
      <c r="G34" s="213">
        <f t="shared" ref="G34:I34" si="20">SUM(G22:G33)</f>
        <v>11550909.499999998</v>
      </c>
      <c r="H34" s="213">
        <f t="shared" si="20"/>
        <v>335262.01711000007</v>
      </c>
      <c r="I34" s="213">
        <f t="shared" si="20"/>
        <v>11886171.517110001</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170"/>
      <c r="D35" s="214"/>
      <c r="E35" s="177"/>
      <c r="F35" s="177"/>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177"/>
      <c r="C36" s="215">
        <f>C22+C23</f>
        <v>1607723.5</v>
      </c>
      <c r="D36" s="186">
        <f>D22+D23</f>
        <v>9509291.9800000004</v>
      </c>
      <c r="E36" s="186">
        <f t="shared" ref="E36:H36" si="21">E22+E23</f>
        <v>-7872778</v>
      </c>
      <c r="F36" s="186">
        <f t="shared" si="21"/>
        <v>7291822</v>
      </c>
      <c r="G36" s="186">
        <f t="shared" si="21"/>
        <v>8928335.9799999986</v>
      </c>
      <c r="H36" s="186">
        <f t="shared" si="21"/>
        <v>273345.11882999999</v>
      </c>
      <c r="I36" s="215">
        <f>I22+I23</f>
        <v>9201681.0988299996</v>
      </c>
      <c r="J36" s="170"/>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177"/>
      <c r="C38" s="218">
        <f>SUM(C24:C27)</f>
        <v>308694.15999999997</v>
      </c>
      <c r="D38" s="219">
        <f>SUM(D24:D27)</f>
        <v>2317138.0699999998</v>
      </c>
      <c r="E38" s="219">
        <f t="shared" ref="E38:F38" si="22">SUM(E24:E27)</f>
        <v>-2091999</v>
      </c>
      <c r="F38" s="219">
        <f t="shared" si="22"/>
        <v>1982550</v>
      </c>
      <c r="G38" s="219">
        <f>SUM(G24:G27)</f>
        <v>2207689.0699999998</v>
      </c>
      <c r="H38" s="219">
        <f>SUM(H24:H27)</f>
        <v>61693.821559999989</v>
      </c>
      <c r="I38" s="218">
        <f>SUM(I24:I27)</f>
        <v>2269382.8915599994</v>
      </c>
      <c r="J38" s="170"/>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25.5" customHeight="1" x14ac:dyDescent="0.25">
      <c r="A40" s="177" t="s">
        <v>244</v>
      </c>
      <c r="B40" s="170"/>
      <c r="C40" s="221">
        <v>43770</v>
      </c>
      <c r="D40" s="221">
        <v>43770</v>
      </c>
      <c r="E40" s="221">
        <v>43770</v>
      </c>
      <c r="F40" s="221">
        <v>43739</v>
      </c>
      <c r="G40" s="221">
        <v>43344</v>
      </c>
      <c r="H40" s="221">
        <v>43739</v>
      </c>
      <c r="I40" s="221"/>
      <c r="J40" s="221"/>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78"/>
      <c r="J41" s="278"/>
      <c r="K41" s="278"/>
      <c r="L41" s="278"/>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2.0930000000000001E-2</v>
      </c>
      <c r="I42" s="224"/>
      <c r="J42" s="224"/>
      <c r="K42" s="224"/>
      <c r="L42" s="224"/>
      <c r="N42" s="225">
        <f>SUM(C42:H42)</f>
        <v>0.32120000000000004</v>
      </c>
      <c r="O42" s="225">
        <f>SUM(C42:H42)</f>
        <v>0.32120000000000004</v>
      </c>
      <c r="P42" s="191">
        <f t="shared" ref="P42:P51" si="23">N42*G4</f>
        <v>2802836.4892000002</v>
      </c>
      <c r="Q42" s="226">
        <f t="shared" ref="Q42:Q51" si="24">-F4*O42</f>
        <v>3076023.5132000004</v>
      </c>
      <c r="R42" s="191">
        <f>P42-Q42</f>
        <v>-273187.02400000021</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v>2.0930000000000001E-2</v>
      </c>
      <c r="I43" s="224"/>
      <c r="J43" s="224"/>
      <c r="K43" s="224"/>
      <c r="L43" s="224"/>
      <c r="N43" s="225">
        <f t="shared" ref="N43:N51" si="25">SUM(C43:H43)</f>
        <v>-0.16349</v>
      </c>
      <c r="O43" s="225">
        <f t="shared" ref="O43:O51" si="26">SUM(C43:H43)</f>
        <v>-0.16349</v>
      </c>
      <c r="P43" s="191">
        <f t="shared" si="23"/>
        <v>-1699.47855</v>
      </c>
      <c r="Q43" s="226">
        <f t="shared" si="24"/>
        <v>-1541.38372</v>
      </c>
      <c r="R43" s="191">
        <f t="shared" ref="R43:R51" si="27">P43-Q43</f>
        <v>-158.09483</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1.754E-2</v>
      </c>
      <c r="I44" s="224"/>
      <c r="J44" s="224"/>
      <c r="K44" s="224"/>
      <c r="L44" s="224"/>
      <c r="N44" s="225">
        <f t="shared" si="25"/>
        <v>0.31486999999999998</v>
      </c>
      <c r="O44" s="225">
        <f t="shared" si="26"/>
        <v>0.31486999999999998</v>
      </c>
      <c r="P44" s="191">
        <f t="shared" si="23"/>
        <v>1031831.5089599999</v>
      </c>
      <c r="Q44" s="226">
        <f t="shared" si="24"/>
        <v>1089709.3380099998</v>
      </c>
      <c r="R44" s="191">
        <f t="shared" si="27"/>
        <v>-57877.829049999942</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v>1.754E-2</v>
      </c>
      <c r="I45" s="224"/>
      <c r="J45" s="224"/>
      <c r="K45" s="224"/>
      <c r="L45" s="224"/>
      <c r="N45" s="225">
        <f t="shared" si="25"/>
        <v>0.30401999999999996</v>
      </c>
      <c r="O45" s="225">
        <f t="shared" si="26"/>
        <v>0.30401999999999996</v>
      </c>
      <c r="P45" s="191">
        <f t="shared" si="23"/>
        <v>2481.1072199999999</v>
      </c>
      <c r="Q45" s="226">
        <f t="shared" si="24"/>
        <v>2694.8332799999998</v>
      </c>
      <c r="R45" s="191">
        <f t="shared" si="27"/>
        <v>-213.72605999999996</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v>1.602E-2</v>
      </c>
      <c r="I46" s="224"/>
      <c r="J46" s="224"/>
      <c r="K46" s="224"/>
      <c r="L46" s="224"/>
      <c r="N46" s="225">
        <f t="shared" si="25"/>
        <v>0.30984999999999996</v>
      </c>
      <c r="O46" s="225">
        <f t="shared" si="26"/>
        <v>0.30984999999999996</v>
      </c>
      <c r="P46" s="191">
        <f t="shared" si="23"/>
        <v>23888.815299999998</v>
      </c>
      <c r="Q46" s="226">
        <f t="shared" si="24"/>
        <v>27575.100749999998</v>
      </c>
      <c r="R46" s="191">
        <f t="shared" si="27"/>
        <v>-3686.2854499999994</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v>1.602E-2</v>
      </c>
      <c r="I47" s="224"/>
      <c r="J47" s="224"/>
      <c r="K47" s="224"/>
      <c r="L47" s="224"/>
      <c r="N47" s="225">
        <f>SUM(C47:H47)</f>
        <v>0.29899999999999993</v>
      </c>
      <c r="O47" s="225">
        <f t="shared" si="26"/>
        <v>0.29899999999999993</v>
      </c>
      <c r="P47" s="191">
        <f t="shared" si="23"/>
        <v>65248.078999999983</v>
      </c>
      <c r="Q47" s="226">
        <f t="shared" si="24"/>
        <v>65164.059999999983</v>
      </c>
      <c r="R47" s="191">
        <f t="shared" si="27"/>
        <v>84.019000000000233</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1.5389999999999999E-2</v>
      </c>
      <c r="I48" s="224"/>
      <c r="J48" s="224"/>
      <c r="K48" s="224"/>
      <c r="L48" s="224"/>
      <c r="N48" s="225">
        <f t="shared" si="25"/>
        <v>0.24562999999999999</v>
      </c>
      <c r="O48" s="225">
        <f t="shared" si="26"/>
        <v>0.24562999999999999</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8.0000000000000004E-4</v>
      </c>
      <c r="I49" s="224"/>
      <c r="J49" s="224"/>
      <c r="K49" s="224"/>
      <c r="L49" s="224"/>
      <c r="N49" s="225">
        <f t="shared" si="25"/>
        <v>1.3600000000000001E-3</v>
      </c>
      <c r="O49" s="225">
        <f t="shared" si="26"/>
        <v>1.3600000000000001E-3</v>
      </c>
      <c r="P49" s="191">
        <f t="shared" si="23"/>
        <v>4280.6802400000006</v>
      </c>
      <c r="Q49" s="226">
        <f t="shared" si="24"/>
        <v>4503.7569600000006</v>
      </c>
      <c r="R49" s="191">
        <f t="shared" si="27"/>
        <v>-223.07672000000002</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3928867.2013699999</v>
      </c>
      <c r="Q52" s="227">
        <f>SUM(Q42:Q51)</f>
        <v>4264129.2184800003</v>
      </c>
      <c r="R52" s="227">
        <f>SUM(R42:R51)</f>
        <v>-335262.01711000025</v>
      </c>
      <c r="U52" s="170"/>
      <c r="V52" s="170"/>
      <c r="W52" s="170"/>
      <c r="X52" s="170"/>
      <c r="Y52" s="170"/>
      <c r="Z52" s="170"/>
      <c r="AA52" s="170"/>
      <c r="AB52" s="170"/>
      <c r="AC52" s="170"/>
      <c r="AD52" s="170"/>
      <c r="AE52" s="77"/>
      <c r="AF52" s="77"/>
      <c r="AG52" s="77"/>
    </row>
    <row r="53" spans="1:33" ht="42" customHeight="1" x14ac:dyDescent="0.25">
      <c r="A53" s="222" t="s">
        <v>255</v>
      </c>
      <c r="B53" s="174"/>
      <c r="C53" s="277" t="s">
        <v>256</v>
      </c>
      <c r="D53" s="277" t="s">
        <v>257</v>
      </c>
      <c r="E53" s="277" t="s">
        <v>248</v>
      </c>
      <c r="F53" s="277" t="s">
        <v>258</v>
      </c>
      <c r="G53" s="277" t="s">
        <v>259</v>
      </c>
      <c r="H53" s="277" t="s">
        <v>260</v>
      </c>
      <c r="I53" s="277" t="s">
        <v>261</v>
      </c>
      <c r="J53" s="259"/>
      <c r="M53" s="170"/>
      <c r="N53" s="170"/>
      <c r="O53" s="170"/>
      <c r="Q53" s="262">
        <f>'01.2020 Base Rate Revenue'!P52</f>
        <v>4264129.2184800003</v>
      </c>
      <c r="R53" s="188">
        <f>I64</f>
        <v>-335262.01711000007</v>
      </c>
      <c r="U53" s="170"/>
      <c r="V53" s="170"/>
      <c r="W53" s="170"/>
      <c r="X53" s="170"/>
      <c r="Y53" s="170"/>
      <c r="Z53" s="170"/>
      <c r="AA53" s="170"/>
      <c r="AB53" s="170"/>
      <c r="AC53" s="170"/>
      <c r="AD53" s="77"/>
      <c r="AE53" s="77"/>
      <c r="AF53" s="77"/>
    </row>
    <row r="54" spans="1:33" x14ac:dyDescent="0.25">
      <c r="A54" s="178" t="s">
        <v>212</v>
      </c>
      <c r="B54" s="170"/>
      <c r="C54" s="186">
        <f>C42*$H4</f>
        <v>-222410.98</v>
      </c>
      <c r="D54" s="186">
        <f t="shared" ref="D54:E54" si="28">D42*$H4</f>
        <v>-3648.7308000000003</v>
      </c>
      <c r="E54" s="186">
        <f t="shared" si="28"/>
        <v>-3572.1839999999997</v>
      </c>
      <c r="F54" s="186">
        <f>F42*$H4</f>
        <v>0</v>
      </c>
      <c r="G54" s="186">
        <f t="shared" ref="G54:H54" si="29">G42*$H4</f>
        <v>-25753.745600000002</v>
      </c>
      <c r="H54" s="186">
        <f t="shared" si="29"/>
        <v>-17801.383600000001</v>
      </c>
      <c r="I54" s="186">
        <f t="shared" ref="I54:I63" si="30">SUM(C54:H54)</f>
        <v>-273187.02399999998</v>
      </c>
      <c r="M54" s="170"/>
      <c r="N54" s="191"/>
      <c r="O54" s="170"/>
      <c r="P54" s="170"/>
      <c r="Q54" s="191">
        <f>R52-R53</f>
        <v>0</v>
      </c>
      <c r="R54" s="170"/>
      <c r="U54" s="170"/>
      <c r="V54" s="170"/>
      <c r="W54" s="170"/>
      <c r="X54" s="170"/>
      <c r="Y54" s="170"/>
      <c r="Z54" s="170"/>
      <c r="AA54" s="170"/>
      <c r="AB54" s="170"/>
      <c r="AC54" s="170"/>
      <c r="AD54" s="77"/>
      <c r="AE54" s="77"/>
      <c r="AF54" s="77"/>
    </row>
    <row r="55" spans="1:33" x14ac:dyDescent="0.25">
      <c r="A55" s="178" t="s">
        <v>214</v>
      </c>
      <c r="B55" s="170"/>
      <c r="C55" s="186">
        <f t="shared" ref="C55:H63" si="31">C43*$H5</f>
        <v>252.87050000000002</v>
      </c>
      <c r="D55" s="186">
        <f t="shared" si="31"/>
        <v>4.1484300000000003</v>
      </c>
      <c r="E55" s="186">
        <f t="shared" si="31"/>
        <v>4.0613999999999999</v>
      </c>
      <c r="F55" s="186">
        <f t="shared" si="31"/>
        <v>-468.69523000000004</v>
      </c>
      <c r="G55" s="186">
        <f t="shared" si="31"/>
        <v>29.280760000000001</v>
      </c>
      <c r="H55" s="186">
        <f t="shared" si="31"/>
        <v>20.23931</v>
      </c>
      <c r="I55" s="186">
        <f t="shared" si="30"/>
        <v>-158.09483000000006</v>
      </c>
      <c r="J55" s="170"/>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1"/>
        <v>-46286.455149999994</v>
      </c>
      <c r="D56" s="186">
        <f t="shared" si="31"/>
        <v>-1994.39275</v>
      </c>
      <c r="E56" s="186">
        <f t="shared" si="31"/>
        <v>-3384.03415</v>
      </c>
      <c r="F56" s="186">
        <f t="shared" si="31"/>
        <v>0</v>
      </c>
      <c r="G56" s="186">
        <f t="shared" si="31"/>
        <v>-2988.8319000000001</v>
      </c>
      <c r="H56" s="186">
        <f t="shared" si="31"/>
        <v>-3224.1151</v>
      </c>
      <c r="I56" s="186">
        <f t="shared" si="30"/>
        <v>-57877.829049999993</v>
      </c>
      <c r="J56" s="170"/>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1"/>
        <v>-177.02242999999999</v>
      </c>
      <c r="D57" s="186">
        <f t="shared" si="31"/>
        <v>0</v>
      </c>
      <c r="E57" s="186">
        <f t="shared" si="31"/>
        <v>-12.94223</v>
      </c>
      <c r="F57" s="186">
        <f t="shared" si="31"/>
        <v>0</v>
      </c>
      <c r="G57" s="186">
        <f t="shared" si="31"/>
        <v>-11.43078</v>
      </c>
      <c r="H57" s="186">
        <f t="shared" si="31"/>
        <v>-12.33062</v>
      </c>
      <c r="I57" s="186">
        <f t="shared" si="30"/>
        <v>-213.72605999999999</v>
      </c>
      <c r="J57" s="170"/>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1"/>
        <v>-2995.7835699999996</v>
      </c>
      <c r="D58" s="186">
        <f t="shared" si="31"/>
        <v>-129.08244999999999</v>
      </c>
      <c r="E58" s="186">
        <f t="shared" si="31"/>
        <v>-219.02376999999998</v>
      </c>
      <c r="F58" s="186">
        <f t="shared" si="31"/>
        <v>0</v>
      </c>
      <c r="G58" s="186">
        <f t="shared" si="31"/>
        <v>-151.80572000000001</v>
      </c>
      <c r="H58" s="186">
        <f t="shared" si="31"/>
        <v>-190.58993999999998</v>
      </c>
      <c r="I58" s="186">
        <f t="shared" si="30"/>
        <v>-3686.2854499999989</v>
      </c>
      <c r="J58" s="170"/>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1"/>
        <v>70.75860999999999</v>
      </c>
      <c r="D59" s="186">
        <f t="shared" si="31"/>
        <v>0</v>
      </c>
      <c r="E59" s="186">
        <f t="shared" si="31"/>
        <v>5.1732100000000001</v>
      </c>
      <c r="F59" s="186">
        <f t="shared" si="31"/>
        <v>0</v>
      </c>
      <c r="G59" s="186">
        <f t="shared" si="31"/>
        <v>3.5855600000000001</v>
      </c>
      <c r="H59" s="186">
        <f t="shared" si="31"/>
        <v>4.50162</v>
      </c>
      <c r="I59" s="186">
        <f t="shared" si="30"/>
        <v>84.018999999999991</v>
      </c>
      <c r="J59" s="170"/>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1"/>
        <v>0</v>
      </c>
      <c r="D60" s="186">
        <f t="shared" si="31"/>
        <v>0</v>
      </c>
      <c r="E60" s="186">
        <f t="shared" si="31"/>
        <v>0</v>
      </c>
      <c r="F60" s="186">
        <f t="shared" si="31"/>
        <v>0</v>
      </c>
      <c r="G60" s="186">
        <f t="shared" si="31"/>
        <v>0</v>
      </c>
      <c r="H60" s="186">
        <f t="shared" si="31"/>
        <v>0</v>
      </c>
      <c r="I60" s="186">
        <f t="shared" si="30"/>
        <v>0</v>
      </c>
      <c r="J60" s="170"/>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1"/>
        <v>-91.855119999999985</v>
      </c>
      <c r="D61" s="186">
        <f t="shared" si="31"/>
        <v>0</v>
      </c>
      <c r="E61" s="186">
        <f t="shared" si="31"/>
        <v>0</v>
      </c>
      <c r="F61" s="186">
        <f t="shared" si="31"/>
        <v>0</v>
      </c>
      <c r="G61" s="186">
        <f t="shared" si="31"/>
        <v>0</v>
      </c>
      <c r="H61" s="186">
        <f t="shared" si="31"/>
        <v>-131.2216</v>
      </c>
      <c r="I61" s="186">
        <f t="shared" si="30"/>
        <v>-223.07671999999997</v>
      </c>
      <c r="J61" s="170"/>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1"/>
        <v>0</v>
      </c>
      <c r="D62" s="186">
        <f t="shared" si="31"/>
        <v>0</v>
      </c>
      <c r="E62" s="186">
        <f t="shared" si="31"/>
        <v>0</v>
      </c>
      <c r="F62" s="186">
        <f t="shared" si="31"/>
        <v>0</v>
      </c>
      <c r="G62" s="186">
        <f t="shared" si="31"/>
        <v>0</v>
      </c>
      <c r="H62" s="186">
        <f t="shared" si="31"/>
        <v>0</v>
      </c>
      <c r="I62" s="186">
        <f t="shared" si="30"/>
        <v>0</v>
      </c>
      <c r="J62" s="170"/>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1"/>
        <v>0</v>
      </c>
      <c r="D63" s="186">
        <f t="shared" si="31"/>
        <v>0</v>
      </c>
      <c r="E63" s="186">
        <f t="shared" si="31"/>
        <v>0</v>
      </c>
      <c r="F63" s="186">
        <f t="shared" si="31"/>
        <v>0</v>
      </c>
      <c r="G63" s="186">
        <f t="shared" si="31"/>
        <v>0</v>
      </c>
      <c r="H63" s="186">
        <f t="shared" si="31"/>
        <v>0</v>
      </c>
      <c r="I63" s="186">
        <f t="shared" si="30"/>
        <v>0</v>
      </c>
      <c r="J63" s="170"/>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-271638.46716000006</v>
      </c>
      <c r="D64" s="194">
        <f t="shared" ref="D64:H64" si="32">SUM(D54:D63)</f>
        <v>-5768.0575699999999</v>
      </c>
      <c r="E64" s="194">
        <f t="shared" si="32"/>
        <v>-7178.9495399999996</v>
      </c>
      <c r="F64" s="194">
        <f t="shared" si="32"/>
        <v>-468.69523000000004</v>
      </c>
      <c r="G64" s="194">
        <f t="shared" si="32"/>
        <v>-28872.947680000001</v>
      </c>
      <c r="H64" s="194">
        <f t="shared" si="32"/>
        <v>-21334.899930000003</v>
      </c>
      <c r="I64" s="194">
        <f>SUM(I54:I63)</f>
        <v>-335262.01711000007</v>
      </c>
      <c r="J64" s="170"/>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-222158.10950000002</v>
      </c>
      <c r="D66" s="186">
        <f>D54+D55</f>
        <v>-3644.5823700000001</v>
      </c>
      <c r="E66" s="186">
        <f t="shared" ref="E66:H66" si="33">E54+E55</f>
        <v>-3568.1225999999997</v>
      </c>
      <c r="F66" s="186">
        <f t="shared" si="33"/>
        <v>-468.69523000000004</v>
      </c>
      <c r="G66" s="186">
        <f t="shared" si="33"/>
        <v>-25724.464840000001</v>
      </c>
      <c r="H66" s="186">
        <f t="shared" si="33"/>
        <v>-17781.14429</v>
      </c>
      <c r="I66" s="186">
        <f>I54+I55</f>
        <v>-273345.11882999999</v>
      </c>
      <c r="J66" s="170"/>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70"/>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-49388.502539999994</v>
      </c>
      <c r="D68" s="219">
        <f t="shared" ref="D68:I68" si="34">SUM(D56:D59)</f>
        <v>-2123.4751999999999</v>
      </c>
      <c r="E68" s="219">
        <f t="shared" si="34"/>
        <v>-3610.8269399999999</v>
      </c>
      <c r="F68" s="219">
        <f t="shared" si="34"/>
        <v>0</v>
      </c>
      <c r="G68" s="219">
        <f t="shared" si="34"/>
        <v>-3148.4828400000001</v>
      </c>
      <c r="H68" s="219">
        <f t="shared" si="34"/>
        <v>-3422.53404</v>
      </c>
      <c r="I68" s="219">
        <f t="shared" si="34"/>
        <v>-61693.821559999989</v>
      </c>
      <c r="J68" s="170"/>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x14ac:dyDescent="0.25">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sheetData>
  <mergeCells count="6">
    <mergeCell ref="R40:R41"/>
    <mergeCell ref="A1:I1"/>
    <mergeCell ref="O40:O41"/>
    <mergeCell ref="P40:P41"/>
    <mergeCell ref="Q40:Q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73"/>
  <sheetViews>
    <sheetView workbookViewId="0">
      <selection sqref="A1:I1"/>
    </sheetView>
  </sheetViews>
  <sheetFormatPr defaultRowHeight="15" x14ac:dyDescent="0.25"/>
  <cols>
    <col min="1" max="1" width="19" customWidth="1"/>
    <col min="2" max="2" width="5.85546875" customWidth="1"/>
    <col min="3" max="3" width="17.42578125" customWidth="1"/>
    <col min="4" max="4" width="16.42578125" customWidth="1"/>
    <col min="5" max="5" width="15.28515625" customWidth="1"/>
    <col min="6" max="6" width="15" customWidth="1"/>
    <col min="7" max="7" width="14.42578125" customWidth="1"/>
    <col min="8" max="8" width="14.7109375" customWidth="1"/>
    <col min="9" max="9" width="17.140625" customWidth="1"/>
    <col min="10" max="10" width="15.7109375" customWidth="1"/>
    <col min="11" max="11" width="10"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309</v>
      </c>
      <c r="M1" s="170"/>
      <c r="N1" s="170"/>
      <c r="O1" s="170"/>
      <c r="P1" s="170"/>
      <c r="Q1" s="170"/>
      <c r="R1" s="170"/>
      <c r="S1" s="170"/>
      <c r="T1" s="170"/>
      <c r="U1" s="170"/>
      <c r="V1" s="170"/>
      <c r="W1" s="170"/>
      <c r="X1" s="170"/>
      <c r="Y1" s="170"/>
      <c r="Z1" s="171" t="s">
        <v>201</v>
      </c>
      <c r="AA1" s="172" t="s">
        <v>262</v>
      </c>
      <c r="AB1" s="170"/>
      <c r="AC1" s="171" t="s">
        <v>203</v>
      </c>
      <c r="AD1" s="172" t="s">
        <v>202</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264" t="str">
        <f>AA1&amp;" Billed Schedule 175 Revenue"</f>
        <v>January Billed Schedule 175 Revenue</v>
      </c>
      <c r="O2" s="264" t="str">
        <f>AA1&amp;" Billed Therms"</f>
        <v>January Billed Therms</v>
      </c>
      <c r="P2" s="264" t="str">
        <f>AA1&amp;" Unbilled Therms"</f>
        <v>January Unbilled Therms</v>
      </c>
      <c r="Q2" s="264" t="s">
        <v>308</v>
      </c>
      <c r="R2" s="264" t="s">
        <v>209</v>
      </c>
      <c r="S2" s="264" t="str">
        <f>AD1&amp;" Unbilled Therms reversal"</f>
        <v>December Unbilled Therms reversal</v>
      </c>
      <c r="T2" s="264" t="s">
        <v>308</v>
      </c>
      <c r="U2" s="264" t="str">
        <f>AD1&amp;" Schedule 175 Unbilled Reversal"</f>
        <v>December Schedule 175 Unbilled Reversal</v>
      </c>
      <c r="V2" s="170"/>
      <c r="W2" s="264" t="str">
        <f>"Total "&amp;AA1&amp;" Schedule 175 Revenue"</f>
        <v>Total January Schedule 175 Revenue</v>
      </c>
      <c r="X2" s="170"/>
      <c r="Y2" s="264" t="str">
        <f>"Calendar "&amp;AA1&amp;" Usage"</f>
        <v>Calendar January Usage</v>
      </c>
      <c r="Z2" s="264" t="str">
        <f>Q2</f>
        <v>11/1/2019 rate</v>
      </c>
      <c r="AA2" s="264" t="s">
        <v>210</v>
      </c>
      <c r="AB2" s="264" t="s">
        <v>211</v>
      </c>
      <c r="AC2" s="264" t="str">
        <f>"implied "&amp;AD1&amp;" unbilled/Cancel-Rebill True-up therms"</f>
        <v>implied December unbilled/Cancel-Rebill True-up therms</v>
      </c>
      <c r="AD2" s="170"/>
      <c r="AE2" s="77"/>
      <c r="AF2" s="77"/>
      <c r="AG2" s="77"/>
    </row>
    <row r="3" spans="1:33" x14ac:dyDescent="0.25">
      <c r="A3" s="177"/>
      <c r="B3" s="177"/>
      <c r="C3" s="177"/>
      <c r="D3" s="170"/>
      <c r="E3" s="170"/>
      <c r="F3" s="170"/>
      <c r="G3" s="170"/>
      <c r="H3" s="170"/>
      <c r="I3" s="170"/>
      <c r="J3" s="170"/>
      <c r="K3" s="170"/>
      <c r="L3" s="170"/>
      <c r="M3" s="170"/>
      <c r="N3" s="264"/>
      <c r="O3" s="264"/>
      <c r="P3" s="264"/>
      <c r="Q3" s="264"/>
      <c r="R3" s="264"/>
      <c r="S3" s="264"/>
      <c r="T3" s="264"/>
      <c r="U3" s="264"/>
      <c r="V3" s="170"/>
      <c r="W3" s="264"/>
      <c r="X3" s="170"/>
      <c r="Y3" s="264"/>
      <c r="Z3" s="264"/>
      <c r="AA3" s="264"/>
      <c r="AB3" s="264"/>
      <c r="AC3" s="264"/>
      <c r="AD3" s="170"/>
      <c r="AE3" s="77"/>
      <c r="AF3" s="77"/>
      <c r="AG3" s="77"/>
    </row>
    <row r="4" spans="1:33" x14ac:dyDescent="0.25">
      <c r="A4" s="178" t="s">
        <v>212</v>
      </c>
      <c r="B4" s="177"/>
      <c r="C4" s="179">
        <v>167598</v>
      </c>
      <c r="D4" s="177"/>
      <c r="E4" s="180">
        <v>20670823.399149999</v>
      </c>
      <c r="F4" s="180">
        <v>-10365482</v>
      </c>
      <c r="G4" s="180">
        <f>9586089-G5</f>
        <v>9576661</v>
      </c>
      <c r="H4" s="181">
        <f>F4+G4</f>
        <v>-788821</v>
      </c>
      <c r="I4" s="182">
        <f t="shared" ref="I4:I13" si="0">SUM(E4:G4)</f>
        <v>19882002.399149999</v>
      </c>
      <c r="J4" s="170"/>
      <c r="K4" s="170"/>
      <c r="L4" s="170" t="s">
        <v>213</v>
      </c>
      <c r="M4" s="170"/>
      <c r="N4" s="183">
        <v>86749.34</v>
      </c>
      <c r="O4" s="184">
        <f>E4</f>
        <v>20670823.399149999</v>
      </c>
      <c r="P4" s="184">
        <f t="shared" ref="P4:P9" si="1">G4</f>
        <v>9576661</v>
      </c>
      <c r="Q4" s="185">
        <v>4.1999999999999997E-3</v>
      </c>
      <c r="R4" s="186">
        <f>P4*Q4</f>
        <v>40221.976199999997</v>
      </c>
      <c r="S4" s="184">
        <f t="shared" ref="S4:S9" si="2">F4</f>
        <v>-10365482</v>
      </c>
      <c r="T4" s="185">
        <v>4.1999999999999997E-3</v>
      </c>
      <c r="U4" s="187">
        <f>S4*T4</f>
        <v>-43535.024399999995</v>
      </c>
      <c r="V4" s="170"/>
      <c r="W4" s="188">
        <f>N4+R4+U4</f>
        <v>83436.291800000006</v>
      </c>
      <c r="X4" s="170"/>
      <c r="Y4" s="189">
        <f>O4+P4+S4</f>
        <v>19882002.399149999</v>
      </c>
      <c r="Z4" s="190">
        <f>Q4</f>
        <v>4.1999999999999997E-3</v>
      </c>
      <c r="AA4" s="191">
        <f>Y4*Z4</f>
        <v>83504.410076429995</v>
      </c>
      <c r="AB4" s="188">
        <f>W4-AA4</f>
        <v>-68.118276429988327</v>
      </c>
      <c r="AC4" s="189">
        <f>AB4/T4</f>
        <v>-16218.637245235317</v>
      </c>
      <c r="AD4" s="192">
        <f t="shared" ref="AD4:AD11" si="3">AB4/W4</f>
        <v>-8.1641064050725612E-4</v>
      </c>
      <c r="AE4" s="77"/>
      <c r="AF4" s="77"/>
      <c r="AG4" s="77"/>
    </row>
    <row r="5" spans="1:33" x14ac:dyDescent="0.25">
      <c r="A5" s="178" t="s">
        <v>214</v>
      </c>
      <c r="B5" s="177"/>
      <c r="C5" s="179">
        <v>171</v>
      </c>
      <c r="D5" s="177"/>
      <c r="E5" s="180">
        <v>20316.091120000001</v>
      </c>
      <c r="F5" s="180">
        <v>-9521</v>
      </c>
      <c r="G5" s="180">
        <v>9428</v>
      </c>
      <c r="H5" s="181">
        <f t="shared" ref="H5:H13" si="4">F5+G5</f>
        <v>-93</v>
      </c>
      <c r="I5" s="182">
        <f t="shared" si="0"/>
        <v>20223.091120000001</v>
      </c>
      <c r="J5" s="170"/>
      <c r="K5" s="170"/>
      <c r="L5" s="170" t="s">
        <v>215</v>
      </c>
      <c r="M5" s="170"/>
      <c r="N5" s="183">
        <v>85.31</v>
      </c>
      <c r="O5" s="184">
        <f t="shared" ref="O5:O7" si="5">E5</f>
        <v>20316.091120000001</v>
      </c>
      <c r="P5" s="184">
        <f t="shared" si="1"/>
        <v>9428</v>
      </c>
      <c r="Q5" s="185">
        <v>4.1999999999999997E-3</v>
      </c>
      <c r="R5" s="186">
        <f t="shared" ref="R5:R10" si="6">P5*Q5</f>
        <v>39.5976</v>
      </c>
      <c r="S5" s="184">
        <f t="shared" si="2"/>
        <v>-9521</v>
      </c>
      <c r="T5" s="185">
        <v>4.1999999999999997E-3</v>
      </c>
      <c r="U5" s="187">
        <f t="shared" ref="U5:U10" si="7">S5*T5</f>
        <v>-39.988199999999999</v>
      </c>
      <c r="V5" s="170"/>
      <c r="W5" s="188">
        <f t="shared" ref="W5:W10" si="8">N5+R5+U5</f>
        <v>84.919399999999996</v>
      </c>
      <c r="X5" s="170"/>
      <c r="Y5" s="189">
        <f t="shared" ref="Y5:Y10" si="9">O5+P5+S5</f>
        <v>20223.091120000001</v>
      </c>
      <c r="Z5" s="190">
        <f t="shared" ref="Z5:Z10" si="10">Q5</f>
        <v>4.1999999999999997E-3</v>
      </c>
      <c r="AA5" s="191">
        <f t="shared" ref="AA5:AA10" si="11">Y5*Z5</f>
        <v>84.936982704000002</v>
      </c>
      <c r="AB5" s="188">
        <f t="shared" ref="AB5:AB10" si="12">W5-AA5</f>
        <v>-1.7582704000005833E-2</v>
      </c>
      <c r="AC5" s="189">
        <f t="shared" ref="AC5:AC10" si="13">AB5/T5</f>
        <v>-4.1863580952394841</v>
      </c>
      <c r="AD5" s="192">
        <f t="shared" si="3"/>
        <v>-2.0705167488236886E-4</v>
      </c>
      <c r="AE5" s="77"/>
      <c r="AF5" s="77"/>
      <c r="AG5" s="77"/>
    </row>
    <row r="6" spans="1:33" x14ac:dyDescent="0.25">
      <c r="A6" s="178" t="s">
        <v>216</v>
      </c>
      <c r="B6" s="177"/>
      <c r="C6" s="179">
        <v>3134</v>
      </c>
      <c r="D6" s="177"/>
      <c r="E6" s="180">
        <v>7774802.7562300004</v>
      </c>
      <c r="F6" s="180">
        <v>-3794161</v>
      </c>
      <c r="G6" s="180">
        <v>3460823</v>
      </c>
      <c r="H6" s="181">
        <f t="shared" si="4"/>
        <v>-333338</v>
      </c>
      <c r="I6" s="182">
        <f>SUM(E6:G6)</f>
        <v>7441464.7562300004</v>
      </c>
      <c r="J6" s="170"/>
      <c r="K6" s="170"/>
      <c r="L6" s="170" t="s">
        <v>217</v>
      </c>
      <c r="M6" s="170"/>
      <c r="N6" s="183">
        <v>143135.32</v>
      </c>
      <c r="O6" s="184">
        <f t="shared" si="5"/>
        <v>7774802.7562300004</v>
      </c>
      <c r="P6" s="184">
        <f t="shared" si="1"/>
        <v>3460823</v>
      </c>
      <c r="Q6" s="193">
        <v>1.8409999999999999E-2</v>
      </c>
      <c r="R6" s="186">
        <f t="shared" si="6"/>
        <v>63713.751429999997</v>
      </c>
      <c r="S6" s="184">
        <f t="shared" si="2"/>
        <v>-3794161</v>
      </c>
      <c r="T6" s="185">
        <v>1.8409999999999999E-2</v>
      </c>
      <c r="U6" s="187">
        <f t="shared" si="7"/>
        <v>-69850.504010000004</v>
      </c>
      <c r="V6" s="170"/>
      <c r="W6" s="188">
        <f t="shared" si="8"/>
        <v>136998.56742000001</v>
      </c>
      <c r="X6" s="170"/>
      <c r="Y6" s="189">
        <f t="shared" si="9"/>
        <v>7441464.7562300004</v>
      </c>
      <c r="Z6" s="177">
        <f t="shared" si="10"/>
        <v>1.8409999999999999E-2</v>
      </c>
      <c r="AA6" s="191">
        <f t="shared" si="11"/>
        <v>136997.36616219429</v>
      </c>
      <c r="AB6" s="188">
        <f t="shared" si="12"/>
        <v>1.2012578057183418</v>
      </c>
      <c r="AC6" s="189">
        <f t="shared" si="13"/>
        <v>65.250288197628564</v>
      </c>
      <c r="AD6" s="192">
        <f t="shared" si="3"/>
        <v>8.7683968404984486E-6</v>
      </c>
      <c r="AE6" s="77"/>
      <c r="AF6" s="77"/>
      <c r="AG6" s="77"/>
    </row>
    <row r="7" spans="1:33" x14ac:dyDescent="0.25">
      <c r="A7" s="178" t="s">
        <v>218</v>
      </c>
      <c r="B7" s="177"/>
      <c r="C7" s="179">
        <v>1</v>
      </c>
      <c r="D7" s="177"/>
      <c r="E7" s="180">
        <v>19101.473999999998</v>
      </c>
      <c r="F7" s="180">
        <v>-9733</v>
      </c>
      <c r="G7" s="180">
        <v>8864</v>
      </c>
      <c r="H7" s="181">
        <f t="shared" si="4"/>
        <v>-869</v>
      </c>
      <c r="I7" s="182">
        <f>SUM(E7:G7)</f>
        <v>18232.473999999998</v>
      </c>
      <c r="J7" s="170"/>
      <c r="K7" s="170"/>
      <c r="L7" s="170" t="s">
        <v>219</v>
      </c>
      <c r="M7" s="170"/>
      <c r="N7" s="183">
        <v>351.66</v>
      </c>
      <c r="O7" s="184">
        <f t="shared" si="5"/>
        <v>19101.473999999998</v>
      </c>
      <c r="P7" s="184">
        <f t="shared" si="1"/>
        <v>8864</v>
      </c>
      <c r="Q7" s="185">
        <v>1.8409999999999999E-2</v>
      </c>
      <c r="R7" s="186">
        <f t="shared" si="6"/>
        <v>163.18624</v>
      </c>
      <c r="S7" s="184">
        <f t="shared" si="2"/>
        <v>-9733</v>
      </c>
      <c r="T7" s="185">
        <v>1.8409999999999999E-2</v>
      </c>
      <c r="U7" s="187">
        <f t="shared" si="7"/>
        <v>-179.18453</v>
      </c>
      <c r="V7" s="170"/>
      <c r="W7" s="188">
        <f t="shared" si="8"/>
        <v>335.66171000000008</v>
      </c>
      <c r="X7" s="170"/>
      <c r="Y7" s="189">
        <f t="shared" si="9"/>
        <v>18232.473999999998</v>
      </c>
      <c r="Z7" s="190">
        <f t="shared" si="10"/>
        <v>1.8409999999999999E-2</v>
      </c>
      <c r="AA7" s="191">
        <f t="shared" si="11"/>
        <v>335.65984633999994</v>
      </c>
      <c r="AB7" s="188">
        <f t="shared" si="12"/>
        <v>1.8636600001400438E-3</v>
      </c>
      <c r="AC7" s="189"/>
      <c r="AD7" s="192"/>
      <c r="AE7" s="77"/>
      <c r="AF7" s="77"/>
      <c r="AG7" s="77"/>
    </row>
    <row r="8" spans="1:33" x14ac:dyDescent="0.25">
      <c r="A8" s="178" t="s">
        <v>220</v>
      </c>
      <c r="B8" s="177"/>
      <c r="C8" s="179">
        <v>4</v>
      </c>
      <c r="D8" s="259"/>
      <c r="E8" s="180">
        <v>191771.05100000001</v>
      </c>
      <c r="F8" s="180">
        <v>-104730</v>
      </c>
      <c r="G8" s="180">
        <v>88995</v>
      </c>
      <c r="H8" s="181">
        <f t="shared" si="4"/>
        <v>-15735</v>
      </c>
      <c r="I8" s="182">
        <f t="shared" si="0"/>
        <v>176036.05100000001</v>
      </c>
      <c r="J8" s="170"/>
      <c r="K8" s="170"/>
      <c r="L8" s="170" t="s">
        <v>221</v>
      </c>
      <c r="M8" s="170"/>
      <c r="N8" s="183">
        <v>3530.51</v>
      </c>
      <c r="O8" s="184">
        <f>E8</f>
        <v>191771.05100000001</v>
      </c>
      <c r="P8" s="184">
        <f t="shared" si="1"/>
        <v>88995</v>
      </c>
      <c r="Q8" s="193">
        <v>1.8409999999999999E-2</v>
      </c>
      <c r="R8" s="186">
        <f t="shared" si="6"/>
        <v>1638.39795</v>
      </c>
      <c r="S8" s="184">
        <f t="shared" si="2"/>
        <v>-104730</v>
      </c>
      <c r="T8" s="185">
        <v>1.8409999999999999E-2</v>
      </c>
      <c r="U8" s="187">
        <f t="shared" si="7"/>
        <v>-1928.0792999999999</v>
      </c>
      <c r="V8" s="170"/>
      <c r="W8" s="188">
        <f>N8+R8+U8</f>
        <v>3240.8286500000008</v>
      </c>
      <c r="X8" s="170"/>
      <c r="Y8" s="189">
        <f t="shared" si="9"/>
        <v>176036.05099999998</v>
      </c>
      <c r="Z8" s="177">
        <f t="shared" si="10"/>
        <v>1.8409999999999999E-2</v>
      </c>
      <c r="AA8" s="191">
        <f t="shared" si="11"/>
        <v>3240.8236989099996</v>
      </c>
      <c r="AB8" s="188">
        <f t="shared" si="12"/>
        <v>4.9510900012137427E-3</v>
      </c>
      <c r="AC8" s="189">
        <f t="shared" si="13"/>
        <v>0.26893481809960579</v>
      </c>
      <c r="AD8" s="192">
        <f>AB8/W8</f>
        <v>1.5277234731968137E-6</v>
      </c>
      <c r="AE8" s="77"/>
      <c r="AF8" s="77"/>
      <c r="AG8" s="77"/>
    </row>
    <row r="9" spans="1:33" x14ac:dyDescent="0.25">
      <c r="A9" s="178" t="s">
        <v>222</v>
      </c>
      <c r="B9" s="177"/>
      <c r="C9" s="179">
        <v>3</v>
      </c>
      <c r="D9" s="259"/>
      <c r="E9" s="180">
        <v>469625.65100000001</v>
      </c>
      <c r="F9" s="180">
        <v>-275164</v>
      </c>
      <c r="G9" s="180">
        <v>217940</v>
      </c>
      <c r="H9" s="181">
        <f t="shared" si="4"/>
        <v>-57224</v>
      </c>
      <c r="I9" s="182">
        <f t="shared" si="0"/>
        <v>412401.65100000001</v>
      </c>
      <c r="J9" s="170"/>
      <c r="K9" s="170"/>
      <c r="L9" s="170" t="s">
        <v>137</v>
      </c>
      <c r="M9" s="170"/>
      <c r="N9" s="183">
        <v>8645.81</v>
      </c>
      <c r="O9" s="184">
        <f>E9</f>
        <v>469625.65100000001</v>
      </c>
      <c r="P9" s="184">
        <f t="shared" si="1"/>
        <v>217940</v>
      </c>
      <c r="Q9" s="185">
        <v>1.8409999999999999E-2</v>
      </c>
      <c r="R9" s="186">
        <f t="shared" si="6"/>
        <v>4012.2754</v>
      </c>
      <c r="S9" s="184">
        <f t="shared" si="2"/>
        <v>-275164</v>
      </c>
      <c r="T9" s="185">
        <v>1.8409999999999999E-2</v>
      </c>
      <c r="U9" s="187">
        <f t="shared" si="7"/>
        <v>-5065.7692399999996</v>
      </c>
      <c r="V9" s="170"/>
      <c r="W9" s="188">
        <f>N9+R9+U9</f>
        <v>7592.3161600000003</v>
      </c>
      <c r="X9" s="170"/>
      <c r="Y9" s="189">
        <f t="shared" si="9"/>
        <v>412401.65100000007</v>
      </c>
      <c r="Z9" s="190">
        <f t="shared" si="10"/>
        <v>1.8409999999999999E-2</v>
      </c>
      <c r="AA9" s="191">
        <f t="shared" si="11"/>
        <v>7592.3143949100013</v>
      </c>
      <c r="AB9" s="188">
        <f t="shared" si="12"/>
        <v>1.765089999025804E-3</v>
      </c>
      <c r="AC9" s="189"/>
      <c r="AD9" s="192"/>
      <c r="AE9" s="77"/>
      <c r="AF9" s="77"/>
      <c r="AG9" s="77"/>
    </row>
    <row r="10" spans="1:33" x14ac:dyDescent="0.25">
      <c r="A10" s="178" t="s">
        <v>223</v>
      </c>
      <c r="B10" s="177"/>
      <c r="C10" s="179">
        <v>3</v>
      </c>
      <c r="D10" s="177"/>
      <c r="E10" s="180">
        <v>199429.916</v>
      </c>
      <c r="F10" s="180"/>
      <c r="G10" s="180"/>
      <c r="H10" s="181">
        <f t="shared" si="4"/>
        <v>0</v>
      </c>
      <c r="I10" s="182">
        <f t="shared" si="0"/>
        <v>199429.916</v>
      </c>
      <c r="J10" s="170"/>
      <c r="K10" s="170"/>
      <c r="L10" s="170" t="s">
        <v>224</v>
      </c>
      <c r="M10" s="170"/>
      <c r="N10" s="183">
        <v>0</v>
      </c>
      <c r="O10" s="184">
        <v>0</v>
      </c>
      <c r="P10" s="184">
        <v>0</v>
      </c>
      <c r="Q10" s="193">
        <v>1.8409999999999999E-2</v>
      </c>
      <c r="R10" s="186">
        <f t="shared" si="6"/>
        <v>0</v>
      </c>
      <c r="S10" s="184">
        <v>0</v>
      </c>
      <c r="T10" s="185">
        <v>1.8409999999999999E-2</v>
      </c>
      <c r="U10" s="187">
        <f t="shared" si="7"/>
        <v>0</v>
      </c>
      <c r="V10" s="170"/>
      <c r="W10" s="188">
        <f t="shared" si="8"/>
        <v>0</v>
      </c>
      <c r="X10" s="170"/>
      <c r="Y10" s="189">
        <f t="shared" si="9"/>
        <v>0</v>
      </c>
      <c r="Z10" s="177">
        <f t="shared" si="10"/>
        <v>1.8409999999999999E-2</v>
      </c>
      <c r="AA10" s="191">
        <f t="shared" si="11"/>
        <v>0</v>
      </c>
      <c r="AB10" s="188">
        <f t="shared" si="12"/>
        <v>0</v>
      </c>
      <c r="AC10" s="189">
        <f t="shared" si="13"/>
        <v>0</v>
      </c>
      <c r="AD10" s="192"/>
      <c r="AE10" s="77"/>
      <c r="AF10" s="77"/>
      <c r="AG10" s="77"/>
    </row>
    <row r="11" spans="1:33" x14ac:dyDescent="0.25">
      <c r="A11" s="178" t="s">
        <v>225</v>
      </c>
      <c r="B11" s="177"/>
      <c r="C11" s="179">
        <v>37</v>
      </c>
      <c r="D11" s="177"/>
      <c r="E11" s="180">
        <v>3156615</v>
      </c>
      <c r="F11" s="180">
        <v>-3156615</v>
      </c>
      <c r="G11" s="180">
        <v>3311586</v>
      </c>
      <c r="H11" s="181">
        <f t="shared" si="4"/>
        <v>154971</v>
      </c>
      <c r="I11" s="182">
        <f t="shared" si="0"/>
        <v>3311586</v>
      </c>
      <c r="J11" s="170"/>
      <c r="K11" s="170"/>
      <c r="L11" s="170"/>
      <c r="M11" s="170"/>
      <c r="N11" s="194">
        <f>SUM(N4:N10)</f>
        <v>242497.95</v>
      </c>
      <c r="O11" s="195">
        <f>SUM(O4:O10)</f>
        <v>29146440.422499999</v>
      </c>
      <c r="P11" s="195">
        <f>SUM(P4:P10)</f>
        <v>13362711</v>
      </c>
      <c r="Q11" s="170"/>
      <c r="R11" s="194">
        <f>SUM(R4:R10)</f>
        <v>109789.18481999998</v>
      </c>
      <c r="S11" s="195">
        <f>SUM(S4:S10)</f>
        <v>-14558791</v>
      </c>
      <c r="T11" s="196"/>
      <c r="U11" s="194">
        <f>SUM(U4:U10)</f>
        <v>-120598.54967999998</v>
      </c>
      <c r="V11" s="170"/>
      <c r="W11" s="194">
        <f>SUM(W4:W10)</f>
        <v>231688.58513999998</v>
      </c>
      <c r="X11" s="170"/>
      <c r="Y11" s="197">
        <f>SUM(Y4:Y10)</f>
        <v>27950360.422499999</v>
      </c>
      <c r="Z11" s="170"/>
      <c r="AA11" s="197">
        <f>SUM(AA4:AA10)</f>
        <v>231755.51116148828</v>
      </c>
      <c r="AB11" s="194">
        <f>SUM(AB4:AB10)</f>
        <v>-66.926021488269612</v>
      </c>
      <c r="AC11" s="197">
        <f>SUM(AC4:AC10)</f>
        <v>-16157.304380314828</v>
      </c>
      <c r="AD11" s="192">
        <f t="shared" si="3"/>
        <v>-2.8886197154611196E-4</v>
      </c>
      <c r="AE11" s="77"/>
      <c r="AF11" s="77"/>
      <c r="AG11" s="77"/>
    </row>
    <row r="12" spans="1:33" x14ac:dyDescent="0.25">
      <c r="A12" s="178" t="s">
        <v>226</v>
      </c>
      <c r="B12" s="177"/>
      <c r="C12" s="179">
        <v>3</v>
      </c>
      <c r="D12" s="177"/>
      <c r="E12" s="180">
        <v>885487</v>
      </c>
      <c r="F12" s="180"/>
      <c r="G12" s="180"/>
      <c r="H12" s="181">
        <f t="shared" si="4"/>
        <v>0</v>
      </c>
      <c r="I12" s="182">
        <f t="shared" si="0"/>
        <v>885487</v>
      </c>
      <c r="J12" s="170"/>
      <c r="K12" s="170"/>
      <c r="L12" s="170"/>
      <c r="M12" s="170"/>
      <c r="N12" s="170"/>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179">
        <v>5</v>
      </c>
      <c r="D13" s="199"/>
      <c r="E13" s="180">
        <v>4791048</v>
      </c>
      <c r="F13" s="180">
        <v>-4791048</v>
      </c>
      <c r="G13" s="180">
        <v>4798122</v>
      </c>
      <c r="H13" s="181">
        <f t="shared" si="4"/>
        <v>7074</v>
      </c>
      <c r="I13" s="182">
        <f t="shared" si="0"/>
        <v>4798122</v>
      </c>
      <c r="J13" s="170"/>
      <c r="K13" s="170"/>
      <c r="L13" s="170"/>
      <c r="M13" s="170"/>
      <c r="N13" s="170"/>
      <c r="O13" s="170"/>
      <c r="P13" s="170"/>
      <c r="Q13" s="170"/>
      <c r="R13" s="170"/>
      <c r="S13" s="170"/>
      <c r="T13" s="171" t="s">
        <v>306</v>
      </c>
      <c r="U13" s="170" t="s">
        <v>228</v>
      </c>
      <c r="V13" s="170"/>
      <c r="W13" s="200">
        <v>0.95584499999999994</v>
      </c>
      <c r="X13" s="170"/>
      <c r="Y13" s="170"/>
      <c r="Z13" s="170" t="s">
        <v>229</v>
      </c>
      <c r="AA13" s="170" t="s">
        <v>230</v>
      </c>
      <c r="AB13" s="170"/>
      <c r="AC13" s="170" t="s">
        <v>231</v>
      </c>
      <c r="AD13" s="170"/>
      <c r="AE13" s="77"/>
      <c r="AF13" s="77"/>
      <c r="AG13" s="77"/>
    </row>
    <row r="14" spans="1:33" x14ac:dyDescent="0.25">
      <c r="A14" s="177"/>
      <c r="B14" s="177"/>
      <c r="C14" s="201">
        <f>SUM(C4:C13)</f>
        <v>170959</v>
      </c>
      <c r="D14" s="170"/>
      <c r="E14" s="201">
        <f>SUM(E4:E13)</f>
        <v>38179020.338500001</v>
      </c>
      <c r="F14" s="201">
        <f>SUM(F4:F13)</f>
        <v>-22506454</v>
      </c>
      <c r="G14" s="201">
        <f>SUM(G4:G13)</f>
        <v>21472419</v>
      </c>
      <c r="H14" s="201">
        <f>SUM(H4:H13)</f>
        <v>-1034035</v>
      </c>
      <c r="I14" s="201">
        <f t="shared" ref="I14" si="14">SUM(I4:I13)</f>
        <v>37144985.338500001</v>
      </c>
      <c r="J14" s="170"/>
      <c r="K14" s="170"/>
      <c r="L14" s="170"/>
      <c r="M14" s="170"/>
      <c r="N14" s="170"/>
      <c r="O14" s="170"/>
      <c r="P14" s="170"/>
      <c r="Q14" s="170"/>
      <c r="R14" s="170"/>
      <c r="S14" s="170" t="s">
        <v>181</v>
      </c>
      <c r="T14" s="170" t="s">
        <v>232</v>
      </c>
      <c r="U14" s="170"/>
      <c r="V14" s="170"/>
      <c r="W14" s="202">
        <f>(W4+W5)*W13</f>
        <v>79833.332119464001</v>
      </c>
      <c r="X14" s="170"/>
      <c r="Y14" s="170" t="s">
        <v>28</v>
      </c>
      <c r="Z14" s="181">
        <f>O4+O5+P4+P5+S4+S5</f>
        <v>19902225.49027</v>
      </c>
      <c r="AA14" s="190">
        <v>4.0099999999999997E-3</v>
      </c>
      <c r="AB14" s="188">
        <f>Z14*AA14</f>
        <v>79807.924215982697</v>
      </c>
      <c r="AC14" s="188">
        <f>W14-AB14</f>
        <v>25.407903481303947</v>
      </c>
      <c r="AD14" s="192">
        <f>AC14/W14</f>
        <v>3.1826184385343095E-4</v>
      </c>
      <c r="AE14" s="77"/>
      <c r="AF14" s="77"/>
      <c r="AG14" s="77"/>
    </row>
    <row r="15" spans="1:33" ht="15.75" thickBot="1" x14ac:dyDescent="0.3">
      <c r="A15" s="177"/>
      <c r="B15" s="177"/>
      <c r="C15" s="177"/>
      <c r="D15" s="170"/>
      <c r="E15" s="177"/>
      <c r="F15" s="177"/>
      <c r="G15" s="177"/>
      <c r="H15" s="177"/>
      <c r="I15" s="177"/>
      <c r="J15" s="170"/>
      <c r="K15" s="170"/>
      <c r="L15" s="170"/>
      <c r="M15" s="170"/>
      <c r="N15" s="170"/>
      <c r="O15" s="170"/>
      <c r="P15" s="170"/>
      <c r="Q15" s="170"/>
      <c r="R15" s="170"/>
      <c r="S15" s="170" t="s">
        <v>181</v>
      </c>
      <c r="T15" s="170" t="s">
        <v>233</v>
      </c>
      <c r="U15" s="170"/>
      <c r="V15" s="170"/>
      <c r="W15" s="202">
        <f>SUM(W6:W10)*W13</f>
        <v>141625.04354367929</v>
      </c>
      <c r="X15" s="170"/>
      <c r="Y15" s="170" t="s">
        <v>234</v>
      </c>
      <c r="Z15" s="181">
        <f>SUM(O6:P10,S6:S10)</f>
        <v>8048134.9322300013</v>
      </c>
      <c r="AA15" s="190">
        <v>1.7600000000000001E-2</v>
      </c>
      <c r="AB15" s="188">
        <f>(Z15)*AA15</f>
        <v>141647.17480724803</v>
      </c>
      <c r="AC15" s="188">
        <f>W15-AB15</f>
        <v>-22.131263568735449</v>
      </c>
      <c r="AD15" s="192">
        <f>AC15/W15</f>
        <v>-1.5626659674713417E-4</v>
      </c>
      <c r="AE15" s="77"/>
      <c r="AF15" s="77"/>
      <c r="AG15" s="77"/>
    </row>
    <row r="16" spans="1:33" x14ac:dyDescent="0.25">
      <c r="A16" s="177" t="s">
        <v>28</v>
      </c>
      <c r="B16" s="177"/>
      <c r="C16" s="203">
        <f>C4+C5</f>
        <v>167769</v>
      </c>
      <c r="D16" s="170"/>
      <c r="E16" s="204">
        <f>E4+E5</f>
        <v>20691139.49027</v>
      </c>
      <c r="F16" s="204">
        <f t="shared" ref="F16:H16" si="15">F4+F5</f>
        <v>-10375003</v>
      </c>
      <c r="G16" s="204">
        <f t="shared" si="15"/>
        <v>9586089</v>
      </c>
      <c r="H16" s="204">
        <f t="shared" si="15"/>
        <v>-788914</v>
      </c>
      <c r="I16" s="203">
        <f>I4+I5</f>
        <v>19902225.49027</v>
      </c>
      <c r="J16" s="170"/>
      <c r="K16" s="170"/>
      <c r="L16" s="170"/>
      <c r="M16" s="170"/>
      <c r="N16" s="170"/>
      <c r="O16" s="170"/>
      <c r="P16" s="170"/>
      <c r="Q16" s="170"/>
      <c r="R16" s="170"/>
      <c r="S16" s="170"/>
      <c r="T16" s="170"/>
      <c r="U16" s="170"/>
      <c r="V16" s="170"/>
      <c r="W16" s="170"/>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170"/>
      <c r="K17" s="170"/>
      <c r="L17" s="170"/>
      <c r="M17" s="170"/>
      <c r="N17" s="170"/>
      <c r="O17" s="170"/>
      <c r="P17" s="170"/>
      <c r="Q17" s="170"/>
      <c r="R17" s="188">
        <f>R11+U11</f>
        <v>-10809.364860000001</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177"/>
      <c r="C18" s="207">
        <f>SUM(C6:C9)</f>
        <v>3142</v>
      </c>
      <c r="D18" s="170"/>
      <c r="E18" s="208">
        <f>SUM(E6:E9)</f>
        <v>8455300.9322300013</v>
      </c>
      <c r="F18" s="208">
        <f t="shared" ref="F18:H18" si="16">SUM(F6:F9)</f>
        <v>-4183788</v>
      </c>
      <c r="G18" s="208">
        <f>SUM(G6:G9)</f>
        <v>3776622</v>
      </c>
      <c r="H18" s="208">
        <f t="shared" si="16"/>
        <v>-407166</v>
      </c>
      <c r="I18" s="207">
        <f>SUM(I6:I9)</f>
        <v>8048134.9322300004</v>
      </c>
      <c r="J18" s="170"/>
      <c r="K18" s="170"/>
      <c r="L18" s="170"/>
      <c r="M18" s="170"/>
      <c r="N18" s="170"/>
      <c r="O18" s="170"/>
      <c r="P18" s="170"/>
      <c r="Q18" s="170"/>
      <c r="R18" s="188">
        <f>E64</f>
        <v>-10809.36486</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265"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210">
        <v>1610326</v>
      </c>
      <c r="D22" s="210">
        <v>10292159.390000001</v>
      </c>
      <c r="E22" s="210">
        <v>-7356778.9081475139</v>
      </c>
      <c r="F22" s="210">
        <f>7872778-F23</f>
        <v>7870416.8989497703</v>
      </c>
      <c r="G22" s="211">
        <f>SUM(D22:F22)</f>
        <v>10805797.380802257</v>
      </c>
      <c r="H22" s="188">
        <f>-I54</f>
        <v>253369.3052</v>
      </c>
      <c r="I22" s="188">
        <f t="shared" ref="I22:I31" si="17">G22+H22</f>
        <v>11059166.686002256</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210">
        <v>1624.5</v>
      </c>
      <c r="D23" s="210">
        <v>10033.82</v>
      </c>
      <c r="E23" s="210">
        <v>-2382.0918524863027</v>
      </c>
      <c r="F23" s="210">
        <f>G5*(K23-C23)/E5</f>
        <v>2361.1010502299814</v>
      </c>
      <c r="G23" s="211">
        <f>SUM(D23:F23)</f>
        <v>10012.829197743678</v>
      </c>
      <c r="H23" s="188">
        <f>-I55</f>
        <v>-15.204569999999997</v>
      </c>
      <c r="I23" s="188">
        <f t="shared" si="17"/>
        <v>9997.6246277436785</v>
      </c>
      <c r="J23" s="170"/>
      <c r="K23" s="210">
        <v>6712.36</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210">
        <v>304981.8</v>
      </c>
      <c r="D24" s="210">
        <v>2294216.02</v>
      </c>
      <c r="E24" s="210">
        <v>-1862401</v>
      </c>
      <c r="F24" s="210">
        <v>1969589</v>
      </c>
      <c r="G24" s="211">
        <f>SUM(D24:F24)</f>
        <v>2401404.02</v>
      </c>
      <c r="H24" s="188">
        <f>-I56</f>
        <v>104958.13605999999</v>
      </c>
      <c r="I24" s="188">
        <f t="shared" si="17"/>
        <v>2506362.15606</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210">
        <v>97.25</v>
      </c>
      <c r="D25" s="210">
        <v>4966.2</v>
      </c>
      <c r="E25" s="210">
        <v>-5489</v>
      </c>
      <c r="F25" s="210">
        <v>4949</v>
      </c>
      <c r="G25" s="211">
        <f>SUM(D25:F25)</f>
        <v>4426.2</v>
      </c>
      <c r="H25" s="188">
        <f>-I57</f>
        <v>264.19337999999999</v>
      </c>
      <c r="I25" s="188">
        <f>G25+H25</f>
        <v>4690.3933799999995</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210">
        <v>961.81</v>
      </c>
      <c r="D26" s="210">
        <v>35964.28</v>
      </c>
      <c r="E26" s="210">
        <v>-40079</v>
      </c>
      <c r="F26" s="210">
        <v>34058</v>
      </c>
      <c r="G26" s="211">
        <f t="shared" ref="G26:G31" si="18">SUM(D26:F26)</f>
        <v>29943.279999999999</v>
      </c>
      <c r="H26" s="188">
        <f t="shared" ref="H26:H31" si="19">-I58</f>
        <v>4875.4897499999997</v>
      </c>
      <c r="I26" s="188">
        <f t="shared" si="17"/>
        <v>34818.769749999999</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210">
        <v>721.31</v>
      </c>
      <c r="D27" s="210">
        <v>75007.350000000006</v>
      </c>
      <c r="E27" s="210">
        <v>-105302</v>
      </c>
      <c r="F27" s="210">
        <v>83403</v>
      </c>
      <c r="G27" s="211">
        <f t="shared" si="18"/>
        <v>53108.350000000006</v>
      </c>
      <c r="H27" s="188">
        <f t="shared" si="19"/>
        <v>17109.975999999999</v>
      </c>
      <c r="I27" s="188">
        <f t="shared" si="17"/>
        <v>70218.326000000001</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210">
        <v>0</v>
      </c>
      <c r="D28" s="210">
        <v>39249.129999999997</v>
      </c>
      <c r="E28" s="210"/>
      <c r="F28" s="210"/>
      <c r="G28" s="211">
        <f t="shared" si="18"/>
        <v>39249.129999999997</v>
      </c>
      <c r="H28" s="188">
        <f t="shared" si="19"/>
        <v>0</v>
      </c>
      <c r="I28" s="188">
        <f t="shared" si="17"/>
        <v>39249.129999999997</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210">
        <v>20350</v>
      </c>
      <c r="D29" s="210">
        <v>277371.88</v>
      </c>
      <c r="E29" s="210">
        <v>-174845</v>
      </c>
      <c r="F29" s="210">
        <v>294897</v>
      </c>
      <c r="G29" s="211">
        <f t="shared" si="18"/>
        <v>397423.88</v>
      </c>
      <c r="H29" s="188">
        <f t="shared" si="19"/>
        <v>-210.76056</v>
      </c>
      <c r="I29" s="188">
        <f t="shared" si="17"/>
        <v>397213.11943999998</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210">
        <v>0</v>
      </c>
      <c r="D30" s="210">
        <v>18515.53</v>
      </c>
      <c r="E30" s="210"/>
      <c r="F30" s="210"/>
      <c r="G30" s="211">
        <f t="shared" si="18"/>
        <v>18515.53</v>
      </c>
      <c r="H30" s="188">
        <f t="shared" si="19"/>
        <v>0</v>
      </c>
      <c r="I30" s="188">
        <f t="shared" si="17"/>
        <v>18515.53</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210">
        <v>1000</v>
      </c>
      <c r="D31" s="210">
        <v>120099.05</v>
      </c>
      <c r="E31" s="210">
        <v>-100181</v>
      </c>
      <c r="F31" s="210">
        <v>100329</v>
      </c>
      <c r="G31" s="211">
        <f t="shared" si="18"/>
        <v>120247.05</v>
      </c>
      <c r="H31" s="188">
        <f t="shared" si="19"/>
        <v>0</v>
      </c>
      <c r="I31" s="188">
        <f t="shared" si="17"/>
        <v>120247.05</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210">
        <v>9342897.8000000007</v>
      </c>
      <c r="E32" s="210"/>
      <c r="F32" s="210"/>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210">
        <v>817252.3</v>
      </c>
      <c r="E33" s="210"/>
      <c r="F33" s="210"/>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1940062.6700000002</v>
      </c>
      <c r="D34" s="213">
        <f>SUM(D22:D33)</f>
        <v>23327732.750000004</v>
      </c>
      <c r="E34" s="213">
        <f>SUM(E22:E33)</f>
        <v>-9647458</v>
      </c>
      <c r="F34" s="213">
        <f>SUM(F22:F33)</f>
        <v>10360003</v>
      </c>
      <c r="G34" s="213">
        <f t="shared" ref="G34:I34" si="20">SUM(G22:G33)</f>
        <v>13880127.65</v>
      </c>
      <c r="H34" s="213">
        <f t="shared" si="20"/>
        <v>380351.13526000001</v>
      </c>
      <c r="I34" s="213">
        <f t="shared" si="20"/>
        <v>14260478.785260001</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177"/>
      <c r="C35" s="170"/>
      <c r="D35" s="214"/>
      <c r="E35" s="177"/>
      <c r="F35" s="177"/>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177"/>
      <c r="C36" s="215">
        <f>C22+C23</f>
        <v>1611950.5</v>
      </c>
      <c r="D36" s="186">
        <f>D22+D23</f>
        <v>10302193.210000001</v>
      </c>
      <c r="E36" s="186">
        <f t="shared" ref="E36:H36" si="21">E22+E23</f>
        <v>-7359161</v>
      </c>
      <c r="F36" s="186">
        <f t="shared" si="21"/>
        <v>7872778</v>
      </c>
      <c r="G36" s="186">
        <f t="shared" si="21"/>
        <v>10815810.210000001</v>
      </c>
      <c r="H36" s="186">
        <f t="shared" si="21"/>
        <v>253354.10063</v>
      </c>
      <c r="I36" s="215">
        <f>I22+I23</f>
        <v>11069164.310629999</v>
      </c>
      <c r="J36" s="170"/>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17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177"/>
      <c r="C38" s="218">
        <f>SUM(C24:C27)</f>
        <v>306762.17</v>
      </c>
      <c r="D38" s="219">
        <f>SUM(D24:D27)</f>
        <v>2410153.85</v>
      </c>
      <c r="E38" s="219">
        <f t="shared" ref="E38:F38" si="22">SUM(E24:E27)</f>
        <v>-2013271</v>
      </c>
      <c r="F38" s="219">
        <f t="shared" si="22"/>
        <v>2091999</v>
      </c>
      <c r="G38" s="219">
        <f>SUM(G24:G27)</f>
        <v>2488881.85</v>
      </c>
      <c r="H38" s="219">
        <f>SUM(H24:H27)</f>
        <v>127207.79518999998</v>
      </c>
      <c r="I38" s="218">
        <f>SUM(I24:I27)</f>
        <v>2616089.6451899996</v>
      </c>
      <c r="J38" s="170"/>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76.150000000000006" customHeight="1" x14ac:dyDescent="0.25">
      <c r="A40" s="177" t="s">
        <v>244</v>
      </c>
      <c r="B40" s="170"/>
      <c r="C40" s="221">
        <v>43770</v>
      </c>
      <c r="D40" s="221">
        <v>43770</v>
      </c>
      <c r="E40" s="221">
        <v>43770</v>
      </c>
      <c r="F40" s="221">
        <v>43739</v>
      </c>
      <c r="G40" s="221">
        <v>43344</v>
      </c>
      <c r="H40" s="221">
        <v>43739</v>
      </c>
      <c r="I40" s="221"/>
      <c r="J40" s="221"/>
      <c r="K40" s="221"/>
      <c r="L40" s="221"/>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customHeight="1" x14ac:dyDescent="0.25">
      <c r="A41" s="222" t="s">
        <v>245</v>
      </c>
      <c r="B41" s="174"/>
      <c r="C41" s="223" t="s">
        <v>246</v>
      </c>
      <c r="D41" s="223" t="s">
        <v>247</v>
      </c>
      <c r="E41" s="223" t="s">
        <v>248</v>
      </c>
      <c r="F41" s="223" t="s">
        <v>249</v>
      </c>
      <c r="G41" s="223" t="s">
        <v>250</v>
      </c>
      <c r="H41" s="223" t="s">
        <v>251</v>
      </c>
      <c r="I41" s="275"/>
      <c r="J41" s="275"/>
      <c r="K41" s="275"/>
      <c r="L41" s="266"/>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4.1999999999999997E-3</v>
      </c>
      <c r="F42" s="224">
        <v>0</v>
      </c>
      <c r="G42" s="224">
        <v>3.0280000000000001E-2</v>
      </c>
      <c r="H42" s="224">
        <v>2.0930000000000001E-2</v>
      </c>
      <c r="I42" s="224"/>
      <c r="J42" s="224"/>
      <c r="K42" s="224"/>
      <c r="L42" s="224"/>
      <c r="N42" s="225">
        <f>SUM(C42:H42)</f>
        <v>0.32120000000000004</v>
      </c>
      <c r="O42" s="225">
        <f>SUM(C42:H42)</f>
        <v>0.32120000000000004</v>
      </c>
      <c r="P42" s="191">
        <f t="shared" ref="P42:P51" si="23">N42*G4</f>
        <v>3076023.5132000004</v>
      </c>
      <c r="Q42" s="226">
        <f t="shared" ref="Q42:Q51" si="24">-F4*O42</f>
        <v>3329392.8184000002</v>
      </c>
      <c r="R42" s="191">
        <f>P42-Q42</f>
        <v>-253369.30519999983</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v>4.1999999999999997E-3</v>
      </c>
      <c r="F43" s="224">
        <v>-0.48469000000000001</v>
      </c>
      <c r="G43" s="224">
        <v>3.0280000000000001E-2</v>
      </c>
      <c r="H43" s="224">
        <v>2.0930000000000001E-2</v>
      </c>
      <c r="I43" s="224"/>
      <c r="J43" s="224"/>
      <c r="K43" s="224"/>
      <c r="L43" s="224"/>
      <c r="N43" s="225">
        <f t="shared" ref="N43:N51" si="25">SUM(C43:H43)</f>
        <v>-0.16349</v>
      </c>
      <c r="O43" s="225">
        <f t="shared" ref="O43:O51" si="26">SUM(C43:H43)</f>
        <v>-0.16349</v>
      </c>
      <c r="P43" s="191">
        <f t="shared" si="23"/>
        <v>-1541.38372</v>
      </c>
      <c r="Q43" s="226">
        <f t="shared" si="24"/>
        <v>-1556.5882899999999</v>
      </c>
      <c r="R43" s="191">
        <f t="shared" ref="R43:R51" si="27">P43-Q43</f>
        <v>15.204569999999876</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1.8409999999999999E-2</v>
      </c>
      <c r="F44" s="224">
        <v>0</v>
      </c>
      <c r="G44" s="224">
        <v>1.626E-2</v>
      </c>
      <c r="H44" s="224">
        <v>1.754E-2</v>
      </c>
      <c r="I44" s="224"/>
      <c r="J44" s="224"/>
      <c r="K44" s="224"/>
      <c r="L44" s="224"/>
      <c r="N44" s="225">
        <f t="shared" si="25"/>
        <v>0.31486999999999998</v>
      </c>
      <c r="O44" s="225">
        <f t="shared" si="26"/>
        <v>0.31486999999999998</v>
      </c>
      <c r="P44" s="191">
        <f t="shared" si="23"/>
        <v>1089709.3380099998</v>
      </c>
      <c r="Q44" s="226">
        <f t="shared" si="24"/>
        <v>1194667.47407</v>
      </c>
      <c r="R44" s="191">
        <f t="shared" si="27"/>
        <v>-104958.13606000016</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v>1.8409999999999999E-2</v>
      </c>
      <c r="F45" s="224">
        <v>0</v>
      </c>
      <c r="G45" s="224">
        <v>1.626E-2</v>
      </c>
      <c r="H45" s="224">
        <v>1.754E-2</v>
      </c>
      <c r="I45" s="224"/>
      <c r="J45" s="224"/>
      <c r="K45" s="224"/>
      <c r="L45" s="224"/>
      <c r="N45" s="225">
        <f t="shared" si="25"/>
        <v>0.30401999999999996</v>
      </c>
      <c r="O45" s="225">
        <f t="shared" si="26"/>
        <v>0.30401999999999996</v>
      </c>
      <c r="P45" s="191">
        <f t="shared" si="23"/>
        <v>2694.8332799999998</v>
      </c>
      <c r="Q45" s="226">
        <f t="shared" si="24"/>
        <v>2959.0266599999995</v>
      </c>
      <c r="R45" s="191">
        <f t="shared" si="27"/>
        <v>-264.19337999999971</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v>1.8409999999999999E-2</v>
      </c>
      <c r="F46" s="224">
        <v>0</v>
      </c>
      <c r="G46" s="224">
        <v>1.2760000000000001E-2</v>
      </c>
      <c r="H46" s="224">
        <v>1.602E-2</v>
      </c>
      <c r="I46" s="224"/>
      <c r="J46" s="224"/>
      <c r="K46" s="224"/>
      <c r="L46" s="224"/>
      <c r="N46" s="225">
        <f t="shared" si="25"/>
        <v>0.30984999999999996</v>
      </c>
      <c r="O46" s="225">
        <f t="shared" si="26"/>
        <v>0.30984999999999996</v>
      </c>
      <c r="P46" s="191">
        <f t="shared" si="23"/>
        <v>27575.100749999998</v>
      </c>
      <c r="Q46" s="226">
        <f t="shared" si="24"/>
        <v>32450.590499999995</v>
      </c>
      <c r="R46" s="191">
        <f t="shared" si="27"/>
        <v>-4875.489749999997</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v>1.8409999999999999E-2</v>
      </c>
      <c r="F47" s="224">
        <v>0</v>
      </c>
      <c r="G47" s="224">
        <v>1.2760000000000001E-2</v>
      </c>
      <c r="H47" s="224">
        <v>1.602E-2</v>
      </c>
      <c r="I47" s="224"/>
      <c r="J47" s="224"/>
      <c r="K47" s="224"/>
      <c r="L47" s="224"/>
      <c r="N47" s="225">
        <f>SUM(C47:H47)</f>
        <v>0.29899999999999993</v>
      </c>
      <c r="O47" s="225">
        <f t="shared" si="26"/>
        <v>0.29899999999999993</v>
      </c>
      <c r="P47" s="191">
        <f t="shared" si="23"/>
        <v>65164.059999999983</v>
      </c>
      <c r="Q47" s="226">
        <f t="shared" si="24"/>
        <v>82274.035999999978</v>
      </c>
      <c r="R47" s="191">
        <f t="shared" si="27"/>
        <v>-17109.975999999995</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224">
        <v>1.5389999999999999E-2</v>
      </c>
      <c r="I48" s="224"/>
      <c r="J48" s="224"/>
      <c r="K48" s="224"/>
      <c r="L48" s="224"/>
      <c r="N48" s="225">
        <f t="shared" si="25"/>
        <v>0.24562999999999999</v>
      </c>
      <c r="O48" s="225">
        <f t="shared" si="26"/>
        <v>0.24562999999999999</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8.0000000000000004E-4</v>
      </c>
      <c r="I49" s="224"/>
      <c r="J49" s="224"/>
      <c r="K49" s="224"/>
      <c r="L49" s="224"/>
      <c r="N49" s="225">
        <f t="shared" si="25"/>
        <v>1.3600000000000001E-3</v>
      </c>
      <c r="O49" s="225">
        <f t="shared" si="26"/>
        <v>1.3600000000000001E-3</v>
      </c>
      <c r="P49" s="191">
        <f t="shared" si="23"/>
        <v>4503.7569600000006</v>
      </c>
      <c r="Q49" s="226">
        <f t="shared" si="24"/>
        <v>4292.9964</v>
      </c>
      <c r="R49" s="191">
        <f t="shared" si="27"/>
        <v>210.76056000000062</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c r="J50" s="224"/>
      <c r="K50" s="224"/>
      <c r="L50" s="224"/>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c r="J51" s="224"/>
      <c r="K51" s="224"/>
      <c r="L51" s="224"/>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4264129.2184800003</v>
      </c>
      <c r="Q52" s="227">
        <f>SUM(Q42:Q51)</f>
        <v>4644480.3537400002</v>
      </c>
      <c r="R52" s="227">
        <f>SUM(R42:R51)</f>
        <v>-380351.13525999995</v>
      </c>
      <c r="U52" s="170"/>
      <c r="V52" s="170"/>
      <c r="W52" s="170"/>
      <c r="X52" s="170"/>
      <c r="Y52" s="170"/>
      <c r="Z52" s="170"/>
      <c r="AA52" s="170"/>
      <c r="AB52" s="170"/>
      <c r="AC52" s="170"/>
      <c r="AD52" s="170"/>
      <c r="AE52" s="77"/>
      <c r="AF52" s="77"/>
      <c r="AG52" s="77"/>
    </row>
    <row r="53" spans="1:33" ht="42" customHeight="1" x14ac:dyDescent="0.25">
      <c r="A53" s="222" t="s">
        <v>255</v>
      </c>
      <c r="B53" s="174"/>
      <c r="C53" s="265" t="s">
        <v>256</v>
      </c>
      <c r="D53" s="265" t="s">
        <v>257</v>
      </c>
      <c r="E53" s="265" t="s">
        <v>248</v>
      </c>
      <c r="F53" s="265" t="s">
        <v>258</v>
      </c>
      <c r="G53" s="265" t="s">
        <v>259</v>
      </c>
      <c r="H53" s="265" t="s">
        <v>260</v>
      </c>
      <c r="I53" s="274" t="s">
        <v>261</v>
      </c>
      <c r="J53" s="259"/>
      <c r="M53" s="170"/>
      <c r="N53" s="170"/>
      <c r="O53" s="170"/>
      <c r="Q53" s="262">
        <v>4644480.3499999996</v>
      </c>
      <c r="R53" s="188">
        <f>I64</f>
        <v>-380351.13526000001</v>
      </c>
      <c r="U53" s="170"/>
      <c r="V53" s="170"/>
      <c r="W53" s="170"/>
      <c r="X53" s="170"/>
      <c r="Y53" s="170"/>
      <c r="Z53" s="170"/>
      <c r="AA53" s="170"/>
      <c r="AB53" s="170"/>
      <c r="AC53" s="170"/>
      <c r="AD53" s="77"/>
      <c r="AE53" s="77"/>
      <c r="AF53" s="77"/>
    </row>
    <row r="54" spans="1:33" x14ac:dyDescent="0.25">
      <c r="A54" s="178" t="s">
        <v>212</v>
      </c>
      <c r="B54" s="170"/>
      <c r="C54" s="186">
        <f>C42*$H4</f>
        <v>-206276.69150000002</v>
      </c>
      <c r="D54" s="186">
        <f t="shared" ref="D54:E54" si="28">D42*$H4</f>
        <v>-3384.0420900000004</v>
      </c>
      <c r="E54" s="186">
        <f t="shared" si="28"/>
        <v>-3313.0481999999997</v>
      </c>
      <c r="F54" s="186">
        <f>F42*$H4</f>
        <v>0</v>
      </c>
      <c r="G54" s="186">
        <f t="shared" ref="G54:H54" si="29">G42*$H4</f>
        <v>-23885.499879999999</v>
      </c>
      <c r="H54" s="186">
        <f t="shared" si="29"/>
        <v>-16510.023530000002</v>
      </c>
      <c r="I54" s="186">
        <f t="shared" ref="I54:I63" si="30">SUM(C54:H54)</f>
        <v>-253369.3052</v>
      </c>
      <c r="M54" s="170"/>
      <c r="N54" s="191"/>
      <c r="O54" s="170"/>
      <c r="P54" s="170"/>
      <c r="Q54" s="191">
        <f>R52-R53</f>
        <v>0</v>
      </c>
      <c r="R54" s="170"/>
      <c r="U54" s="170"/>
      <c r="V54" s="170"/>
      <c r="W54" s="170"/>
      <c r="X54" s="170"/>
      <c r="Y54" s="170"/>
      <c r="Z54" s="170"/>
      <c r="AA54" s="170"/>
      <c r="AB54" s="170"/>
      <c r="AC54" s="170"/>
      <c r="AD54" s="77"/>
      <c r="AE54" s="77"/>
      <c r="AF54" s="77"/>
    </row>
    <row r="55" spans="1:33" x14ac:dyDescent="0.25">
      <c r="A55" s="178" t="s">
        <v>214</v>
      </c>
      <c r="B55" s="170"/>
      <c r="C55" s="186">
        <f t="shared" ref="C55:H63" si="31">C43*$H5</f>
        <v>-24.319500000000001</v>
      </c>
      <c r="D55" s="186">
        <f t="shared" si="31"/>
        <v>-0.39897000000000005</v>
      </c>
      <c r="E55" s="186">
        <f t="shared" si="31"/>
        <v>-0.3906</v>
      </c>
      <c r="F55" s="186">
        <f t="shared" si="31"/>
        <v>45.076169999999998</v>
      </c>
      <c r="G55" s="186">
        <f t="shared" si="31"/>
        <v>-2.8160400000000001</v>
      </c>
      <c r="H55" s="186">
        <f t="shared" si="31"/>
        <v>-1.9464900000000001</v>
      </c>
      <c r="I55" s="186">
        <f t="shared" si="30"/>
        <v>15.204569999999997</v>
      </c>
      <c r="J55" s="170"/>
      <c r="K55" s="170"/>
      <c r="L55" s="170"/>
      <c r="M55" s="191"/>
      <c r="N55" s="170"/>
      <c r="O55" s="170"/>
      <c r="P55" s="170"/>
      <c r="Q55" s="170"/>
      <c r="R55" s="170"/>
      <c r="S55" s="170"/>
      <c r="T55" s="170"/>
      <c r="U55" s="170"/>
      <c r="V55" s="170"/>
      <c r="W55" s="170"/>
      <c r="X55" s="170"/>
      <c r="Y55" s="170"/>
      <c r="Z55" s="170"/>
      <c r="AA55" s="170"/>
      <c r="AB55" s="170"/>
      <c r="AC55" s="170"/>
      <c r="AD55" s="77"/>
      <c r="AE55" s="77"/>
      <c r="AF55" s="77"/>
    </row>
    <row r="56" spans="1:33" x14ac:dyDescent="0.25">
      <c r="A56" s="178" t="s">
        <v>216</v>
      </c>
      <c r="B56" s="170"/>
      <c r="C56" s="186">
        <f t="shared" si="31"/>
        <v>-83937.841779999988</v>
      </c>
      <c r="D56" s="186">
        <f t="shared" si="31"/>
        <v>-3616.7173000000003</v>
      </c>
      <c r="E56" s="186">
        <f t="shared" si="31"/>
        <v>-6136.7525799999994</v>
      </c>
      <c r="F56" s="186">
        <f t="shared" si="31"/>
        <v>0</v>
      </c>
      <c r="G56" s="186">
        <f t="shared" si="31"/>
        <v>-5420.0758800000003</v>
      </c>
      <c r="H56" s="186">
        <f t="shared" si="31"/>
        <v>-5846.7485200000001</v>
      </c>
      <c r="I56" s="186">
        <f t="shared" si="30"/>
        <v>-104958.13605999999</v>
      </c>
      <c r="J56" s="170"/>
      <c r="K56" s="170"/>
      <c r="L56" s="170"/>
      <c r="M56" s="191"/>
      <c r="N56" s="170"/>
      <c r="O56" s="170"/>
      <c r="P56" s="170"/>
      <c r="Q56" s="170"/>
      <c r="R56" s="170"/>
      <c r="S56" s="170"/>
      <c r="T56" s="170"/>
      <c r="U56" s="170"/>
      <c r="V56" s="170"/>
      <c r="W56" s="170"/>
      <c r="X56" s="170"/>
      <c r="Y56" s="170"/>
      <c r="Z56" s="170"/>
      <c r="AA56" s="170"/>
      <c r="AB56" s="170"/>
      <c r="AC56" s="170"/>
      <c r="AD56" s="77"/>
      <c r="AE56" s="77"/>
      <c r="AF56" s="77"/>
    </row>
    <row r="57" spans="1:33" x14ac:dyDescent="0.25">
      <c r="A57" s="178" t="s">
        <v>218</v>
      </c>
      <c r="B57" s="170"/>
      <c r="C57" s="186">
        <f t="shared" si="31"/>
        <v>-218.82288999999997</v>
      </c>
      <c r="D57" s="186">
        <f t="shared" si="31"/>
        <v>0</v>
      </c>
      <c r="E57" s="186">
        <f t="shared" si="31"/>
        <v>-15.998289999999999</v>
      </c>
      <c r="F57" s="186">
        <f t="shared" si="31"/>
        <v>0</v>
      </c>
      <c r="G57" s="186">
        <f t="shared" si="31"/>
        <v>-14.12994</v>
      </c>
      <c r="H57" s="186">
        <f t="shared" si="31"/>
        <v>-15.24226</v>
      </c>
      <c r="I57" s="186">
        <f t="shared" si="30"/>
        <v>-264.19337999999999</v>
      </c>
      <c r="J57" s="170"/>
      <c r="K57" s="170"/>
      <c r="L57" s="170"/>
      <c r="M57" s="191"/>
      <c r="N57" s="170"/>
      <c r="O57" s="170"/>
      <c r="P57" s="170"/>
      <c r="Q57" s="170"/>
      <c r="R57" s="170"/>
      <c r="S57" s="170"/>
      <c r="T57" s="170"/>
      <c r="U57" s="170"/>
      <c r="V57" s="170"/>
      <c r="W57" s="170"/>
      <c r="X57" s="170"/>
      <c r="Y57" s="170"/>
      <c r="Z57" s="170"/>
      <c r="AA57" s="170"/>
      <c r="AB57" s="170"/>
      <c r="AC57" s="170"/>
      <c r="AD57" s="77"/>
      <c r="AE57" s="77"/>
      <c r="AF57" s="77"/>
    </row>
    <row r="58" spans="1:33" x14ac:dyDescent="0.25">
      <c r="A58" s="178" t="s">
        <v>220</v>
      </c>
      <c r="B58" s="170"/>
      <c r="C58" s="186">
        <f t="shared" si="31"/>
        <v>-3962.2303499999998</v>
      </c>
      <c r="D58" s="186">
        <f t="shared" si="31"/>
        <v>-170.72475</v>
      </c>
      <c r="E58" s="186">
        <f t="shared" si="31"/>
        <v>-289.68135000000001</v>
      </c>
      <c r="F58" s="186">
        <f t="shared" si="31"/>
        <v>0</v>
      </c>
      <c r="G58" s="186">
        <f t="shared" si="31"/>
        <v>-200.77860000000001</v>
      </c>
      <c r="H58" s="186">
        <f t="shared" si="31"/>
        <v>-252.07469999999998</v>
      </c>
      <c r="I58" s="186">
        <f t="shared" si="30"/>
        <v>-4875.4897499999997</v>
      </c>
      <c r="J58" s="170"/>
      <c r="K58" s="170"/>
      <c r="L58" s="170"/>
      <c r="M58" s="191"/>
      <c r="N58" s="170"/>
      <c r="O58" s="170"/>
      <c r="P58" s="170"/>
      <c r="Q58" s="170"/>
      <c r="R58" s="170"/>
      <c r="S58" s="170"/>
      <c r="T58" s="170"/>
      <c r="U58" s="170"/>
      <c r="V58" s="170"/>
      <c r="W58" s="170"/>
      <c r="X58" s="170"/>
      <c r="Y58" s="170"/>
      <c r="Z58" s="170"/>
      <c r="AA58" s="170"/>
      <c r="AB58" s="170"/>
      <c r="AC58" s="170"/>
      <c r="AD58" s="77"/>
      <c r="AE58" s="77"/>
      <c r="AF58" s="77"/>
    </row>
    <row r="59" spans="1:33" x14ac:dyDescent="0.25">
      <c r="A59" s="178" t="s">
        <v>222</v>
      </c>
      <c r="B59" s="170"/>
      <c r="C59" s="186">
        <f t="shared" si="31"/>
        <v>-14409.575439999999</v>
      </c>
      <c r="D59" s="186">
        <f t="shared" si="31"/>
        <v>0</v>
      </c>
      <c r="E59" s="186">
        <f t="shared" si="31"/>
        <v>-1053.4938399999999</v>
      </c>
      <c r="F59" s="186">
        <f t="shared" si="31"/>
        <v>0</v>
      </c>
      <c r="G59" s="186">
        <f t="shared" si="31"/>
        <v>-730.17824000000007</v>
      </c>
      <c r="H59" s="186">
        <f t="shared" si="31"/>
        <v>-916.72847999999999</v>
      </c>
      <c r="I59" s="186">
        <f t="shared" si="30"/>
        <v>-17109.975999999999</v>
      </c>
      <c r="J59" s="170"/>
      <c r="K59" s="170"/>
      <c r="L59" s="170"/>
      <c r="M59" s="191"/>
      <c r="N59" s="170"/>
      <c r="O59" s="170"/>
      <c r="P59" s="170"/>
      <c r="Q59" s="170"/>
      <c r="R59" s="170"/>
      <c r="S59" s="170"/>
      <c r="T59" s="170"/>
      <c r="U59" s="170"/>
      <c r="V59" s="170"/>
      <c r="W59" s="170"/>
      <c r="X59" s="170"/>
      <c r="Y59" s="170"/>
      <c r="Z59" s="170"/>
      <c r="AA59" s="170"/>
      <c r="AB59" s="170"/>
      <c r="AC59" s="170"/>
      <c r="AD59" s="77"/>
      <c r="AE59" s="77"/>
      <c r="AF59" s="77"/>
    </row>
    <row r="60" spans="1:33" x14ac:dyDescent="0.25">
      <c r="A60" s="178" t="s">
        <v>223</v>
      </c>
      <c r="B60" s="170"/>
      <c r="C60" s="186">
        <f t="shared" si="31"/>
        <v>0</v>
      </c>
      <c r="D60" s="186">
        <f t="shared" si="31"/>
        <v>0</v>
      </c>
      <c r="E60" s="186">
        <f t="shared" si="31"/>
        <v>0</v>
      </c>
      <c r="F60" s="186">
        <f t="shared" si="31"/>
        <v>0</v>
      </c>
      <c r="G60" s="186">
        <f t="shared" si="31"/>
        <v>0</v>
      </c>
      <c r="H60" s="186">
        <f t="shared" si="31"/>
        <v>0</v>
      </c>
      <c r="I60" s="186">
        <f t="shared" si="30"/>
        <v>0</v>
      </c>
      <c r="J60" s="170"/>
      <c r="K60" s="170"/>
      <c r="L60" s="170"/>
      <c r="M60" s="191"/>
      <c r="N60" s="170"/>
      <c r="O60" s="170"/>
      <c r="P60" s="170"/>
      <c r="Q60" s="170"/>
      <c r="R60" s="170"/>
      <c r="S60" s="170"/>
      <c r="T60" s="170"/>
      <c r="U60" s="170"/>
      <c r="V60" s="170"/>
      <c r="W60" s="170"/>
      <c r="X60" s="170"/>
      <c r="Y60" s="170"/>
      <c r="Z60" s="170"/>
      <c r="AA60" s="170"/>
      <c r="AB60" s="170"/>
      <c r="AC60" s="170"/>
      <c r="AD60" s="77"/>
      <c r="AE60" s="77"/>
      <c r="AF60" s="77"/>
    </row>
    <row r="61" spans="1:33" x14ac:dyDescent="0.25">
      <c r="A61" s="178" t="s">
        <v>225</v>
      </c>
      <c r="B61" s="170"/>
      <c r="C61" s="186">
        <f t="shared" si="31"/>
        <v>86.783759999999987</v>
      </c>
      <c r="D61" s="186">
        <f t="shared" si="31"/>
        <v>0</v>
      </c>
      <c r="E61" s="186">
        <f t="shared" si="31"/>
        <v>0</v>
      </c>
      <c r="F61" s="186">
        <f t="shared" si="31"/>
        <v>0</v>
      </c>
      <c r="G61" s="186">
        <f t="shared" si="31"/>
        <v>0</v>
      </c>
      <c r="H61" s="186">
        <f t="shared" si="31"/>
        <v>123.97680000000001</v>
      </c>
      <c r="I61" s="186">
        <f t="shared" si="30"/>
        <v>210.76056</v>
      </c>
      <c r="J61" s="170"/>
      <c r="K61" s="170"/>
      <c r="L61" s="170"/>
      <c r="M61" s="191"/>
      <c r="N61" s="170"/>
      <c r="O61" s="170"/>
      <c r="P61" s="170"/>
      <c r="Q61" s="170"/>
      <c r="R61" s="170"/>
      <c r="S61" s="170"/>
      <c r="T61" s="170"/>
      <c r="U61" s="170"/>
      <c r="V61" s="170"/>
      <c r="W61" s="170"/>
      <c r="X61" s="170"/>
      <c r="Y61" s="170"/>
      <c r="Z61" s="170"/>
      <c r="AA61" s="170"/>
      <c r="AB61" s="170"/>
      <c r="AC61" s="170"/>
      <c r="AD61" s="77"/>
      <c r="AE61" s="77"/>
      <c r="AF61" s="77"/>
    </row>
    <row r="62" spans="1:33" x14ac:dyDescent="0.25">
      <c r="A62" s="178" t="s">
        <v>226</v>
      </c>
      <c r="B62" s="170"/>
      <c r="C62" s="186">
        <f t="shared" si="31"/>
        <v>0</v>
      </c>
      <c r="D62" s="186">
        <f t="shared" si="31"/>
        <v>0</v>
      </c>
      <c r="E62" s="186">
        <f t="shared" si="31"/>
        <v>0</v>
      </c>
      <c r="F62" s="186">
        <f t="shared" si="31"/>
        <v>0</v>
      </c>
      <c r="G62" s="186">
        <f t="shared" si="31"/>
        <v>0</v>
      </c>
      <c r="H62" s="186">
        <f t="shared" si="31"/>
        <v>0</v>
      </c>
      <c r="I62" s="186">
        <f t="shared" si="30"/>
        <v>0</v>
      </c>
      <c r="J62" s="170"/>
      <c r="K62" s="170"/>
      <c r="L62" s="170"/>
      <c r="M62" s="191"/>
      <c r="N62" s="170"/>
      <c r="O62" s="170"/>
      <c r="P62" s="170"/>
      <c r="Q62" s="170"/>
      <c r="R62" s="170"/>
      <c r="S62" s="170"/>
      <c r="T62" s="170"/>
      <c r="U62" s="170"/>
      <c r="V62" s="170"/>
      <c r="W62" s="170"/>
      <c r="X62" s="170"/>
      <c r="Y62" s="170"/>
      <c r="Z62" s="170"/>
      <c r="AA62" s="170"/>
      <c r="AB62" s="170"/>
      <c r="AC62" s="170"/>
      <c r="AD62" s="77"/>
      <c r="AE62" s="77"/>
      <c r="AF62" s="77"/>
    </row>
    <row r="63" spans="1:33" x14ac:dyDescent="0.25">
      <c r="A63" s="178" t="s">
        <v>227</v>
      </c>
      <c r="B63" s="170"/>
      <c r="C63" s="186">
        <f t="shared" si="31"/>
        <v>0</v>
      </c>
      <c r="D63" s="186">
        <f t="shared" si="31"/>
        <v>0</v>
      </c>
      <c r="E63" s="186">
        <f t="shared" si="31"/>
        <v>0</v>
      </c>
      <c r="F63" s="186">
        <f t="shared" si="31"/>
        <v>0</v>
      </c>
      <c r="G63" s="186">
        <f t="shared" si="31"/>
        <v>0</v>
      </c>
      <c r="H63" s="186">
        <f t="shared" si="31"/>
        <v>0</v>
      </c>
      <c r="I63" s="186">
        <f t="shared" si="30"/>
        <v>0</v>
      </c>
      <c r="J63" s="170"/>
      <c r="K63" s="170"/>
      <c r="L63" s="170"/>
      <c r="M63" s="228"/>
      <c r="N63" s="170"/>
      <c r="O63" s="170"/>
      <c r="P63" s="170"/>
      <c r="Q63" s="170"/>
      <c r="R63" s="170"/>
      <c r="S63" s="170"/>
      <c r="T63" s="170"/>
      <c r="U63" s="170"/>
      <c r="V63" s="170"/>
      <c r="W63" s="170"/>
      <c r="X63" s="170"/>
      <c r="Y63" s="170"/>
      <c r="Z63" s="170"/>
      <c r="AA63" s="170"/>
      <c r="AB63" s="170"/>
      <c r="AC63" s="170"/>
      <c r="AD63" s="77"/>
      <c r="AE63" s="77"/>
      <c r="AF63" s="77"/>
    </row>
    <row r="64" spans="1:33" x14ac:dyDescent="0.25">
      <c r="A64" s="170"/>
      <c r="B64" s="170"/>
      <c r="C64" s="194">
        <f>SUM(C54:C63)</f>
        <v>-308742.69770000002</v>
      </c>
      <c r="D64" s="194">
        <f t="shared" ref="D64:H64" si="32">SUM(D54:D63)</f>
        <v>-7171.8831100000016</v>
      </c>
      <c r="E64" s="194">
        <f t="shared" si="32"/>
        <v>-10809.36486</v>
      </c>
      <c r="F64" s="194">
        <f t="shared" si="32"/>
        <v>45.076169999999998</v>
      </c>
      <c r="G64" s="194">
        <f t="shared" si="32"/>
        <v>-30253.478580000003</v>
      </c>
      <c r="H64" s="194">
        <f t="shared" si="32"/>
        <v>-23418.787180000003</v>
      </c>
      <c r="I64" s="194">
        <f>SUM(I54:I63)</f>
        <v>-380351.13526000001</v>
      </c>
      <c r="J64" s="170"/>
      <c r="K64" s="170"/>
      <c r="L64" s="170"/>
      <c r="M64" s="228"/>
      <c r="N64" s="170"/>
      <c r="O64" s="170"/>
      <c r="P64" s="170"/>
      <c r="Q64" s="170"/>
      <c r="R64" s="170"/>
      <c r="S64" s="170"/>
      <c r="T64" s="170"/>
      <c r="U64" s="170"/>
      <c r="V64" s="170"/>
      <c r="W64" s="170"/>
      <c r="X64" s="170"/>
      <c r="Y64" s="170"/>
      <c r="Z64" s="170"/>
      <c r="AA64" s="170"/>
      <c r="AB64" s="170"/>
      <c r="AC64" s="170"/>
      <c r="AD64" s="77"/>
      <c r="AE64" s="77"/>
      <c r="AF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row>
    <row r="66" spans="1:33" x14ac:dyDescent="0.25">
      <c r="A66" s="177" t="s">
        <v>28</v>
      </c>
      <c r="B66" s="177"/>
      <c r="C66" s="186">
        <f>C54+C55</f>
        <v>-206301.01100000003</v>
      </c>
      <c r="D66" s="186">
        <f>D54+D55</f>
        <v>-3384.4410600000006</v>
      </c>
      <c r="E66" s="186">
        <f t="shared" ref="E66:H66" si="33">E54+E55</f>
        <v>-3313.4387999999999</v>
      </c>
      <c r="F66" s="186">
        <f t="shared" si="33"/>
        <v>45.076169999999998</v>
      </c>
      <c r="G66" s="186">
        <f t="shared" si="33"/>
        <v>-23888.315920000001</v>
      </c>
      <c r="H66" s="186">
        <f t="shared" si="33"/>
        <v>-16511.970020000001</v>
      </c>
      <c r="I66" s="186">
        <f>I54+I55</f>
        <v>-253354.10063</v>
      </c>
      <c r="J66" s="170"/>
      <c r="K66" s="170"/>
      <c r="L66" s="170"/>
      <c r="M66" s="186"/>
      <c r="N66" s="170"/>
      <c r="O66" s="170"/>
      <c r="P66" s="170"/>
      <c r="Q66" s="170"/>
      <c r="R66" s="170"/>
      <c r="S66" s="170"/>
      <c r="T66" s="170"/>
      <c r="U66" s="170"/>
      <c r="V66" s="170"/>
      <c r="W66" s="170"/>
      <c r="X66" s="170"/>
      <c r="Y66" s="170"/>
      <c r="Z66" s="170"/>
      <c r="AA66" s="170"/>
      <c r="AB66" s="170"/>
      <c r="AC66" s="170"/>
      <c r="AD66" s="77"/>
      <c r="AE66" s="77"/>
      <c r="AF66" s="77"/>
    </row>
    <row r="67" spans="1:33" x14ac:dyDescent="0.25">
      <c r="A67" s="177"/>
      <c r="B67" s="177"/>
      <c r="C67" s="186"/>
      <c r="D67" s="186"/>
      <c r="E67" s="186"/>
      <c r="F67" s="186"/>
      <c r="G67" s="186"/>
      <c r="H67" s="186"/>
      <c r="I67" s="186"/>
      <c r="J67" s="170"/>
      <c r="K67" s="170"/>
      <c r="L67" s="170"/>
      <c r="M67" s="177"/>
      <c r="N67" s="170"/>
      <c r="O67" s="170"/>
      <c r="P67" s="170"/>
      <c r="Q67" s="170"/>
      <c r="R67" s="170"/>
      <c r="S67" s="170"/>
      <c r="T67" s="170"/>
      <c r="U67" s="170"/>
      <c r="V67" s="170"/>
      <c r="W67" s="170"/>
      <c r="X67" s="170"/>
      <c r="Y67" s="170"/>
      <c r="Z67" s="170"/>
      <c r="AA67" s="170"/>
      <c r="AB67" s="170"/>
      <c r="AC67" s="170"/>
      <c r="AD67" s="77"/>
      <c r="AE67" s="77"/>
      <c r="AF67" s="77"/>
    </row>
    <row r="68" spans="1:33" x14ac:dyDescent="0.25">
      <c r="A68" s="177" t="s">
        <v>234</v>
      </c>
      <c r="B68" s="177"/>
      <c r="C68" s="219">
        <f>SUM(C56:C59)</f>
        <v>-102528.47045999998</v>
      </c>
      <c r="D68" s="219">
        <f t="shared" ref="D68:I68" si="34">SUM(D56:D59)</f>
        <v>-3787.4420500000001</v>
      </c>
      <c r="E68" s="219">
        <f t="shared" si="34"/>
        <v>-7495.9260599999998</v>
      </c>
      <c r="F68" s="219">
        <f t="shared" si="34"/>
        <v>0</v>
      </c>
      <c r="G68" s="219">
        <f t="shared" si="34"/>
        <v>-6365.16266</v>
      </c>
      <c r="H68" s="219">
        <f t="shared" si="34"/>
        <v>-7030.79396</v>
      </c>
      <c r="I68" s="219">
        <f t="shared" si="34"/>
        <v>-127207.79518999998</v>
      </c>
      <c r="J68" s="170"/>
      <c r="K68" s="170"/>
      <c r="L68" s="170"/>
      <c r="M68" s="170"/>
      <c r="N68" s="170"/>
      <c r="O68" s="170"/>
      <c r="P68" s="170"/>
      <c r="Q68" s="170"/>
      <c r="R68" s="170"/>
      <c r="S68" s="170"/>
      <c r="T68" s="170"/>
      <c r="U68" s="170"/>
      <c r="V68" s="170"/>
      <c r="W68" s="170"/>
      <c r="X68" s="170"/>
      <c r="Y68" s="170"/>
      <c r="Z68" s="170"/>
      <c r="AA68" s="170"/>
      <c r="AB68" s="170"/>
      <c r="AC68" s="170"/>
      <c r="AD68" s="77"/>
      <c r="AE68" s="77"/>
      <c r="AF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x14ac:dyDescent="0.25">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sheetData>
  <mergeCells count="6">
    <mergeCell ref="R40:R41"/>
    <mergeCell ref="P40:P41"/>
    <mergeCell ref="Q40:Q41"/>
    <mergeCell ref="A1:I1"/>
    <mergeCell ref="O40:O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6"/>
  <sheetViews>
    <sheetView workbookViewId="0">
      <selection sqref="A1:I1"/>
    </sheetView>
  </sheetViews>
  <sheetFormatPr defaultRowHeight="15" x14ac:dyDescent="0.25"/>
  <cols>
    <col min="1" max="1" width="4.5703125" customWidth="1"/>
    <col min="2" max="2" width="48.7109375" customWidth="1"/>
    <col min="3" max="3" width="19.42578125" customWidth="1"/>
    <col min="4" max="4" width="18.42578125" customWidth="1"/>
    <col min="5" max="5" width="19.42578125" customWidth="1"/>
    <col min="6" max="6" width="18.140625" customWidth="1"/>
    <col min="7" max="7" width="16.42578125" customWidth="1"/>
    <col min="8" max="8" width="14.42578125" customWidth="1"/>
    <col min="9" max="9" width="13.7109375" customWidth="1"/>
    <col min="10" max="10" width="11.7109375" customWidth="1"/>
    <col min="11" max="11" width="12" customWidth="1"/>
    <col min="12" max="12" width="11.85546875" customWidth="1"/>
    <col min="13" max="13" width="11.42578125" customWidth="1"/>
    <col min="14" max="14" width="12.5703125" customWidth="1"/>
    <col min="15" max="15" width="11.7109375" customWidth="1"/>
    <col min="16" max="16" width="12.5703125" customWidth="1"/>
    <col min="18" max="18" width="8.140625" customWidth="1"/>
    <col min="19" max="19" width="9.140625" customWidth="1"/>
    <col min="20" max="20" width="11.140625" customWidth="1"/>
    <col min="21" max="21" width="34.7109375" customWidth="1"/>
    <col min="22" max="22" width="12" customWidth="1"/>
    <col min="23" max="23" width="14" customWidth="1"/>
  </cols>
  <sheetData>
    <row r="1" spans="1:23" ht="15.75" x14ac:dyDescent="0.25">
      <c r="A1" s="414" t="s">
        <v>0</v>
      </c>
      <c r="B1" s="414"/>
      <c r="C1" s="414"/>
      <c r="D1" s="414"/>
      <c r="E1" s="414"/>
      <c r="F1" s="414"/>
      <c r="G1" s="414"/>
      <c r="H1" s="414"/>
      <c r="I1" s="414"/>
      <c r="S1" s="415" t="s">
        <v>142</v>
      </c>
      <c r="T1" s="415"/>
      <c r="U1" s="415"/>
      <c r="V1" s="415"/>
      <c r="W1" s="415"/>
    </row>
    <row r="2" spans="1:23" ht="15.75" x14ac:dyDescent="0.25">
      <c r="A2" s="414" t="s">
        <v>1</v>
      </c>
      <c r="B2" s="414"/>
      <c r="C2" s="414"/>
      <c r="D2" s="414"/>
      <c r="E2" s="414"/>
      <c r="F2" s="414"/>
      <c r="G2" s="414"/>
      <c r="H2" s="414"/>
      <c r="I2" s="414"/>
      <c r="S2" s="415" t="s">
        <v>143</v>
      </c>
      <c r="T2" s="415"/>
      <c r="U2" s="415"/>
      <c r="V2" s="415"/>
      <c r="W2" s="415"/>
    </row>
    <row r="3" spans="1:23" ht="15.75" x14ac:dyDescent="0.25">
      <c r="A3" s="416" t="s">
        <v>2</v>
      </c>
      <c r="B3" s="416"/>
      <c r="C3" s="416"/>
      <c r="D3" s="416"/>
      <c r="E3" s="416"/>
      <c r="F3" s="416"/>
      <c r="G3" s="416"/>
      <c r="H3" s="416"/>
      <c r="I3" s="416"/>
      <c r="S3" s="417" t="s">
        <v>144</v>
      </c>
      <c r="T3" s="417"/>
      <c r="U3" s="417"/>
      <c r="V3" s="417"/>
      <c r="W3" s="417"/>
    </row>
    <row r="4" spans="1:23" ht="15.75" x14ac:dyDescent="0.25">
      <c r="A4" s="418" t="s">
        <v>370</v>
      </c>
      <c r="B4" s="418"/>
      <c r="C4" s="418"/>
      <c r="D4" s="418"/>
      <c r="E4" s="418"/>
      <c r="F4" s="418"/>
      <c r="G4" s="418"/>
      <c r="H4" s="418"/>
      <c r="I4" s="418"/>
      <c r="S4" s="419" t="s">
        <v>320</v>
      </c>
      <c r="T4" s="419"/>
      <c r="U4" s="419"/>
      <c r="V4" s="419"/>
      <c r="W4" s="419"/>
    </row>
    <row r="5" spans="1:23" ht="15.75" x14ac:dyDescent="0.25">
      <c r="A5" s="263"/>
      <c r="B5" s="263"/>
      <c r="C5" s="263"/>
      <c r="D5" s="263"/>
      <c r="E5" s="263"/>
      <c r="F5" s="263"/>
      <c r="G5" s="263"/>
      <c r="H5" s="263"/>
      <c r="I5" s="263"/>
      <c r="S5" s="419"/>
      <c r="T5" s="419"/>
      <c r="U5" s="419"/>
      <c r="V5" s="419"/>
      <c r="W5" s="419"/>
    </row>
    <row r="6" spans="1:23" ht="15.75" x14ac:dyDescent="0.25">
      <c r="A6" s="2"/>
      <c r="B6" s="2"/>
      <c r="C6" s="3" t="s">
        <v>4</v>
      </c>
      <c r="D6" s="3" t="s">
        <v>5</v>
      </c>
      <c r="E6" s="3" t="s">
        <v>6</v>
      </c>
      <c r="F6" s="3" t="s">
        <v>7</v>
      </c>
      <c r="G6" s="3" t="s">
        <v>8</v>
      </c>
      <c r="H6" s="4" t="s">
        <v>9</v>
      </c>
      <c r="I6" s="3" t="s">
        <v>9</v>
      </c>
      <c r="K6" s="3" t="s">
        <v>60</v>
      </c>
      <c r="S6" s="420" t="str">
        <f>A4</f>
        <v>Washington Docket No. UG-190335  2018 Compliance Filing</v>
      </c>
      <c r="T6" s="420"/>
      <c r="U6" s="420"/>
      <c r="V6" s="420"/>
      <c r="W6" s="420"/>
    </row>
    <row r="7" spans="1:23" ht="15.75" x14ac:dyDescent="0.25">
      <c r="A7" s="2"/>
      <c r="B7" s="2"/>
      <c r="C7" s="5" t="s">
        <v>10</v>
      </c>
      <c r="D7" s="5" t="s">
        <v>11</v>
      </c>
      <c r="E7" s="5" t="s">
        <v>12</v>
      </c>
      <c r="F7" s="5" t="s">
        <v>13</v>
      </c>
      <c r="G7" s="5" t="s">
        <v>14</v>
      </c>
      <c r="H7" s="6">
        <v>132</v>
      </c>
      <c r="I7" s="5" t="s">
        <v>15</v>
      </c>
      <c r="K7" s="3">
        <v>132</v>
      </c>
      <c r="S7" s="90"/>
      <c r="T7" s="91"/>
      <c r="U7" s="92"/>
      <c r="V7" s="93"/>
      <c r="W7" s="94"/>
    </row>
    <row r="8" spans="1:23" ht="15.75" x14ac:dyDescent="0.25">
      <c r="A8" s="2"/>
      <c r="B8" s="2"/>
      <c r="C8" s="2"/>
      <c r="D8" s="2"/>
      <c r="E8" s="2"/>
      <c r="F8" s="2"/>
      <c r="G8" s="2"/>
      <c r="H8" s="7"/>
      <c r="I8" s="8"/>
      <c r="S8" s="90" t="s">
        <v>147</v>
      </c>
      <c r="T8" s="91"/>
      <c r="U8" s="90"/>
      <c r="V8" s="93"/>
      <c r="W8" s="90"/>
    </row>
    <row r="9" spans="1:23" ht="15.75" x14ac:dyDescent="0.25">
      <c r="A9" s="2">
        <v>1</v>
      </c>
      <c r="B9" s="2" t="s">
        <v>317</v>
      </c>
      <c r="C9" s="9">
        <f>SUM(D9:I9)</f>
        <v>93707000</v>
      </c>
      <c r="D9" s="10">
        <v>71132000</v>
      </c>
      <c r="E9" s="10">
        <f>17111000+307000</f>
        <v>17418000</v>
      </c>
      <c r="F9" s="10">
        <v>0</v>
      </c>
      <c r="G9" s="10">
        <f>201000-K9</f>
        <v>0</v>
      </c>
      <c r="H9" s="11">
        <f>K9</f>
        <v>201000</v>
      </c>
      <c r="I9" s="12">
        <f>3236000+1720000</f>
        <v>4956000</v>
      </c>
      <c r="K9" s="53">
        <v>201000</v>
      </c>
      <c r="S9" s="95" t="s">
        <v>148</v>
      </c>
      <c r="T9" s="91"/>
      <c r="U9" s="95" t="s">
        <v>149</v>
      </c>
      <c r="V9" s="93"/>
      <c r="W9" s="95" t="s">
        <v>150</v>
      </c>
    </row>
    <row r="10" spans="1:23" ht="15.75" x14ac:dyDescent="0.25">
      <c r="A10" s="2">
        <v>2</v>
      </c>
      <c r="B10" s="13" t="s">
        <v>17</v>
      </c>
      <c r="C10" s="9">
        <f>SUM(D10:I10)</f>
        <v>8000000</v>
      </c>
      <c r="D10" s="10">
        <v>6187000</v>
      </c>
      <c r="E10" s="10">
        <v>1515000</v>
      </c>
      <c r="F10" s="10">
        <v>0</v>
      </c>
      <c r="G10" s="10">
        <f>0-K10</f>
        <v>0</v>
      </c>
      <c r="H10" s="11">
        <v>17000</v>
      </c>
      <c r="I10" s="12">
        <v>281000</v>
      </c>
      <c r="K10" s="53">
        <v>0</v>
      </c>
      <c r="S10" s="90"/>
      <c r="T10" s="91"/>
      <c r="U10" s="93"/>
      <c r="V10" s="93"/>
      <c r="W10" s="93"/>
    </row>
    <row r="11" spans="1:23" ht="15.75" x14ac:dyDescent="0.25">
      <c r="A11" s="2">
        <v>3</v>
      </c>
      <c r="B11" s="2" t="s">
        <v>18</v>
      </c>
      <c r="C11" s="9">
        <f>SUM(D11:I11)</f>
        <v>101707000</v>
      </c>
      <c r="D11" s="14">
        <f t="shared" ref="D11:I11" si="0">D9+D10</f>
        <v>77319000</v>
      </c>
      <c r="E11" s="14">
        <f t="shared" si="0"/>
        <v>18933000</v>
      </c>
      <c r="F11" s="14">
        <f t="shared" si="0"/>
        <v>0</v>
      </c>
      <c r="G11" s="14">
        <f>G9+G10</f>
        <v>0</v>
      </c>
      <c r="H11" s="15">
        <f t="shared" si="0"/>
        <v>218000</v>
      </c>
      <c r="I11" s="16">
        <f t="shared" si="0"/>
        <v>5237000</v>
      </c>
      <c r="K11" s="53">
        <f>K9+K10</f>
        <v>201000</v>
      </c>
      <c r="S11" s="96">
        <v>1</v>
      </c>
      <c r="T11" s="91"/>
      <c r="U11" s="94" t="s">
        <v>55</v>
      </c>
      <c r="V11" s="93"/>
      <c r="W11" s="93">
        <v>1</v>
      </c>
    </row>
    <row r="12" spans="1:23" ht="15.75" x14ac:dyDescent="0.25">
      <c r="A12" s="2"/>
      <c r="B12" s="2"/>
      <c r="C12" s="2"/>
      <c r="D12" s="2"/>
      <c r="E12" s="2"/>
      <c r="F12" s="2"/>
      <c r="G12" s="2"/>
      <c r="H12" s="7"/>
      <c r="I12" s="8"/>
      <c r="S12" s="96"/>
      <c r="T12" s="91"/>
      <c r="U12" s="94"/>
      <c r="V12" s="93"/>
      <c r="W12" s="93"/>
    </row>
    <row r="13" spans="1:23" ht="15.75" x14ac:dyDescent="0.25">
      <c r="A13" s="2">
        <v>4</v>
      </c>
      <c r="B13" s="2" t="s">
        <v>318</v>
      </c>
      <c r="C13" s="17">
        <f>SUM(D13:I13)</f>
        <v>275981665</v>
      </c>
      <c r="D13" s="18">
        <v>128985980</v>
      </c>
      <c r="E13" s="18">
        <v>55884877</v>
      </c>
      <c r="F13" s="18">
        <v>0</v>
      </c>
      <c r="G13" s="18">
        <v>0</v>
      </c>
      <c r="H13" s="19">
        <v>985267</v>
      </c>
      <c r="I13" s="20">
        <v>90125541</v>
      </c>
      <c r="K13" s="54">
        <v>985267</v>
      </c>
      <c r="S13" s="96"/>
      <c r="T13" s="91"/>
      <c r="U13" s="94" t="s">
        <v>151</v>
      </c>
      <c r="V13" s="93"/>
      <c r="W13" s="93"/>
    </row>
    <row r="14" spans="1:23" ht="15.75" x14ac:dyDescent="0.25">
      <c r="A14" s="2">
        <v>5</v>
      </c>
      <c r="B14" s="2" t="s">
        <v>20</v>
      </c>
      <c r="C14" s="21"/>
      <c r="D14" s="22">
        <v>0</v>
      </c>
      <c r="E14" s="22">
        <v>0</v>
      </c>
      <c r="F14" s="22">
        <v>0</v>
      </c>
      <c r="G14" s="22">
        <v>0</v>
      </c>
      <c r="H14" s="23"/>
      <c r="I14" s="24"/>
      <c r="K14" s="39">
        <f>G14</f>
        <v>0</v>
      </c>
      <c r="S14" s="96">
        <v>2</v>
      </c>
      <c r="T14" s="97"/>
      <c r="U14" s="93" t="s">
        <v>152</v>
      </c>
      <c r="V14" s="93"/>
      <c r="W14" s="98">
        <v>3.7810000000000001E-3</v>
      </c>
    </row>
    <row r="15" spans="1:23" ht="15.75" x14ac:dyDescent="0.25">
      <c r="A15" s="2">
        <v>6</v>
      </c>
      <c r="B15" s="2" t="s">
        <v>21</v>
      </c>
      <c r="C15" s="9">
        <f>SUM(D15:G15)</f>
        <v>0</v>
      </c>
      <c r="D15" s="9">
        <f>D13*D14</f>
        <v>0</v>
      </c>
      <c r="E15" s="9">
        <f>E13*E14</f>
        <v>0</v>
      </c>
      <c r="F15" s="9">
        <f>F13*F14</f>
        <v>0</v>
      </c>
      <c r="G15" s="9">
        <f>G13*G14</f>
        <v>0</v>
      </c>
      <c r="H15" s="23"/>
      <c r="I15" s="24"/>
      <c r="K15" s="53">
        <f>K13*K14</f>
        <v>0</v>
      </c>
      <c r="S15" s="96"/>
      <c r="T15" s="91"/>
      <c r="U15" s="93"/>
      <c r="V15" s="93"/>
      <c r="W15" s="98"/>
    </row>
    <row r="16" spans="1:23" ht="15.75" x14ac:dyDescent="0.25">
      <c r="A16" s="2"/>
      <c r="B16" s="2"/>
      <c r="C16" s="2"/>
      <c r="D16" s="2"/>
      <c r="E16" s="2"/>
      <c r="F16" s="2"/>
      <c r="G16" s="2"/>
      <c r="H16" s="23"/>
      <c r="I16" s="24"/>
      <c r="S16" s="96">
        <v>3</v>
      </c>
      <c r="T16" s="91"/>
      <c r="U16" s="93" t="s">
        <v>153</v>
      </c>
      <c r="V16" s="93"/>
      <c r="W16" s="99">
        <v>2E-3</v>
      </c>
    </row>
    <row r="17" spans="1:23" ht="15.75" x14ac:dyDescent="0.25">
      <c r="A17" s="2">
        <v>7</v>
      </c>
      <c r="B17" s="2" t="s">
        <v>22</v>
      </c>
      <c r="C17" s="9">
        <f>SUM(D17:G17)</f>
        <v>96252000</v>
      </c>
      <c r="D17" s="14">
        <f>D11-D15</f>
        <v>77319000</v>
      </c>
      <c r="E17" s="14">
        <f>E11-E15</f>
        <v>18933000</v>
      </c>
      <c r="F17" s="14">
        <f>F11-F15</f>
        <v>0</v>
      </c>
      <c r="G17" s="14">
        <f>G11-G15</f>
        <v>0</v>
      </c>
      <c r="H17" s="15"/>
      <c r="I17" s="8"/>
      <c r="K17" s="38">
        <f>K11-K15</f>
        <v>201000</v>
      </c>
      <c r="S17" s="96"/>
      <c r="T17" s="91"/>
      <c r="U17" s="93"/>
      <c r="V17" s="93"/>
      <c r="W17" s="98"/>
    </row>
    <row r="18" spans="1:23" ht="15.75" x14ac:dyDescent="0.25">
      <c r="A18" s="2"/>
      <c r="B18" s="2"/>
      <c r="C18" s="2"/>
      <c r="D18" s="2"/>
      <c r="E18" s="2"/>
      <c r="F18" s="2"/>
      <c r="G18" s="2"/>
      <c r="H18" s="7"/>
      <c r="I18" s="8"/>
      <c r="S18" s="96">
        <v>4</v>
      </c>
      <c r="T18" s="91"/>
      <c r="U18" s="93" t="s">
        <v>154</v>
      </c>
      <c r="V18" s="93"/>
      <c r="W18" s="98">
        <v>3.8373999999999998E-2</v>
      </c>
    </row>
    <row r="19" spans="1:23" ht="15.75" x14ac:dyDescent="0.25">
      <c r="A19" s="2">
        <v>8</v>
      </c>
      <c r="B19" s="2" t="s">
        <v>319</v>
      </c>
      <c r="C19" s="17">
        <f>SUM(D19:I19)</f>
        <v>1978935</v>
      </c>
      <c r="D19" s="25">
        <v>1941495</v>
      </c>
      <c r="E19" s="25">
        <f>36840+36</f>
        <v>36876</v>
      </c>
      <c r="F19" s="25">
        <v>0</v>
      </c>
      <c r="G19" s="25">
        <f>24-K19</f>
        <v>0</v>
      </c>
      <c r="H19" s="19">
        <f>K19</f>
        <v>24</v>
      </c>
      <c r="I19" s="20">
        <f>480+48+12</f>
        <v>540</v>
      </c>
      <c r="K19">
        <v>24</v>
      </c>
      <c r="S19" s="96"/>
      <c r="T19" s="91"/>
      <c r="U19" s="93"/>
      <c r="V19" s="93"/>
      <c r="W19" s="100"/>
    </row>
    <row r="20" spans="1:23" ht="15.75" x14ac:dyDescent="0.25">
      <c r="A20" s="2">
        <v>9</v>
      </c>
      <c r="B20" s="2" t="s">
        <v>24</v>
      </c>
      <c r="C20" s="9"/>
      <c r="D20" s="26">
        <v>9.5</v>
      </c>
      <c r="E20" s="26">
        <v>107.56</v>
      </c>
      <c r="F20" s="26">
        <v>0</v>
      </c>
      <c r="G20" s="27">
        <f>G19*G18</f>
        <v>0</v>
      </c>
      <c r="H20" s="28"/>
      <c r="I20" s="8"/>
      <c r="K20" s="34">
        <f>G20</f>
        <v>0</v>
      </c>
      <c r="S20" s="96">
        <v>6</v>
      </c>
      <c r="T20" s="91"/>
      <c r="U20" s="93" t="s">
        <v>155</v>
      </c>
      <c r="V20" s="93"/>
      <c r="W20" s="101">
        <f>SUM(W14:W18)</f>
        <v>4.4155E-2</v>
      </c>
    </row>
    <row r="21" spans="1:23" ht="15.75" x14ac:dyDescent="0.25">
      <c r="A21" s="2">
        <v>10</v>
      </c>
      <c r="B21" s="2" t="s">
        <v>25</v>
      </c>
      <c r="C21" s="9">
        <f>SUM(D21:G21)</f>
        <v>22410585.059999999</v>
      </c>
      <c r="D21" s="29">
        <f>D20*D19</f>
        <v>18444202.5</v>
      </c>
      <c r="E21" s="29">
        <f>E20*E19</f>
        <v>3966382.56</v>
      </c>
      <c r="F21" s="29">
        <f>F20*F19</f>
        <v>0</v>
      </c>
      <c r="G21" s="29">
        <f>G20*G19</f>
        <v>0</v>
      </c>
      <c r="H21" s="28"/>
      <c r="I21" s="8"/>
      <c r="K21" s="38">
        <f>K19*K20</f>
        <v>0</v>
      </c>
      <c r="S21" s="96"/>
      <c r="T21" s="91"/>
      <c r="U21" s="93"/>
      <c r="V21" s="93"/>
      <c r="W21" s="93"/>
    </row>
    <row r="22" spans="1:23" ht="15.75" x14ac:dyDescent="0.25">
      <c r="A22" s="2"/>
      <c r="B22" s="2"/>
      <c r="C22" s="9"/>
      <c r="D22" s="29"/>
      <c r="E22" s="29"/>
      <c r="F22" s="29"/>
      <c r="G22" s="29"/>
      <c r="H22" s="421" t="s">
        <v>26</v>
      </c>
      <c r="I22" s="422"/>
      <c r="K22" s="38"/>
      <c r="S22" s="96">
        <v>7</v>
      </c>
      <c r="T22" s="91"/>
      <c r="U22" s="93" t="s">
        <v>156</v>
      </c>
      <c r="V22" s="93"/>
      <c r="W22" s="93">
        <f>W11-W20</f>
        <v>0.95584500000000006</v>
      </c>
    </row>
    <row r="23" spans="1:23" ht="15.75" x14ac:dyDescent="0.25">
      <c r="A23" s="2">
        <v>11</v>
      </c>
      <c r="B23" s="2" t="s">
        <v>27</v>
      </c>
      <c r="C23" s="9">
        <f>SUM(D23:G23)</f>
        <v>73841414.939999998</v>
      </c>
      <c r="D23" s="29">
        <f>D17-D21</f>
        <v>58874797.5</v>
      </c>
      <c r="E23" s="29">
        <f>E17-E21</f>
        <v>14966617.439999999</v>
      </c>
      <c r="F23" s="29">
        <f>F17-F21</f>
        <v>0</v>
      </c>
      <c r="G23" s="29">
        <f>G17-G21</f>
        <v>0</v>
      </c>
      <c r="H23" s="421"/>
      <c r="I23" s="422"/>
      <c r="K23" s="38">
        <f>K17-K21</f>
        <v>201000</v>
      </c>
      <c r="S23" s="96"/>
      <c r="T23" s="91"/>
      <c r="U23" s="93"/>
      <c r="V23" s="93"/>
      <c r="W23" s="93"/>
    </row>
    <row r="24" spans="1:23" ht="15.75" x14ac:dyDescent="0.25">
      <c r="A24" s="30"/>
      <c r="B24" s="30"/>
      <c r="C24" s="30"/>
      <c r="D24" s="30"/>
      <c r="E24" s="30"/>
      <c r="F24" s="30"/>
      <c r="G24" s="30"/>
      <c r="H24" s="31"/>
      <c r="I24" s="32"/>
      <c r="S24" s="96">
        <v>8</v>
      </c>
      <c r="T24" s="91"/>
      <c r="U24" s="93" t="s">
        <v>157</v>
      </c>
      <c r="V24" s="102"/>
      <c r="W24" s="93">
        <f>W22*0.21</f>
        <v>0.20072745</v>
      </c>
    </row>
    <row r="25" spans="1:23" ht="15.75" x14ac:dyDescent="0.25">
      <c r="C25" s="2"/>
      <c r="D25" s="33" t="s">
        <v>28</v>
      </c>
      <c r="E25" s="2" t="s">
        <v>29</v>
      </c>
      <c r="S25" s="91"/>
      <c r="T25" s="91"/>
      <c r="U25" s="93"/>
      <c r="V25" s="93"/>
      <c r="W25" s="93"/>
    </row>
    <row r="26" spans="1:23" ht="15.75" x14ac:dyDescent="0.25">
      <c r="A26" s="2">
        <v>12</v>
      </c>
      <c r="B26" s="2" t="s">
        <v>30</v>
      </c>
      <c r="C26" s="17"/>
      <c r="D26" s="17">
        <f>D19/12</f>
        <v>161791.25</v>
      </c>
      <c r="E26" s="17">
        <f>(E19+F19+G19)/12</f>
        <v>3073</v>
      </c>
      <c r="S26" s="96">
        <v>9</v>
      </c>
      <c r="T26" s="91"/>
      <c r="U26" s="93" t="s">
        <v>143</v>
      </c>
      <c r="V26" s="93"/>
      <c r="W26" s="93">
        <f>ROUND(W22-W24,6)</f>
        <v>0.75511799999999996</v>
      </c>
    </row>
    <row r="27" spans="1:23" ht="15.75" x14ac:dyDescent="0.25">
      <c r="A27" s="2">
        <v>13</v>
      </c>
      <c r="B27" s="2" t="s">
        <v>31</v>
      </c>
      <c r="C27" s="17"/>
      <c r="D27" s="17">
        <f>D13</f>
        <v>128985980</v>
      </c>
      <c r="E27" s="17">
        <f>E13+F13+G13</f>
        <v>55884877</v>
      </c>
      <c r="S27" s="91"/>
      <c r="T27" s="91"/>
      <c r="U27" s="93"/>
      <c r="V27" s="93"/>
      <c r="W27" s="103"/>
    </row>
    <row r="28" spans="1:23" ht="15.75" x14ac:dyDescent="0.25">
      <c r="A28" s="2">
        <v>14</v>
      </c>
      <c r="B28" s="2" t="s">
        <v>32</v>
      </c>
      <c r="C28" s="9"/>
      <c r="D28" s="9">
        <f>D21</f>
        <v>18444202.5</v>
      </c>
      <c r="E28" s="9">
        <f>E21+F21+G21</f>
        <v>3966382.56</v>
      </c>
      <c r="F28" s="34"/>
      <c r="S28" s="91"/>
      <c r="T28" s="91"/>
      <c r="U28" s="104" t="s">
        <v>158</v>
      </c>
      <c r="V28" s="93"/>
      <c r="W28" s="103"/>
    </row>
    <row r="29" spans="1:23" ht="15.75" x14ac:dyDescent="0.25">
      <c r="A29" s="2">
        <v>15</v>
      </c>
      <c r="B29" s="2" t="s">
        <v>33</v>
      </c>
      <c r="C29" s="17"/>
      <c r="D29" s="17">
        <f>D19</f>
        <v>1941495</v>
      </c>
      <c r="E29" s="17">
        <f>E19+F19+G19</f>
        <v>36876</v>
      </c>
      <c r="F29" s="34"/>
    </row>
    <row r="30" spans="1:23" ht="15.75" x14ac:dyDescent="0.25">
      <c r="A30" s="2">
        <v>16</v>
      </c>
      <c r="B30" s="2" t="s">
        <v>34</v>
      </c>
      <c r="C30" s="9"/>
      <c r="D30" s="35">
        <f>D28/D29</f>
        <v>9.5</v>
      </c>
      <c r="E30" s="35">
        <f>E28/E29</f>
        <v>107.56</v>
      </c>
      <c r="F30" s="34"/>
    </row>
    <row r="31" spans="1:23" x14ac:dyDescent="0.25">
      <c r="D31" s="34"/>
    </row>
    <row r="32" spans="1:23" ht="18.75" x14ac:dyDescent="0.3">
      <c r="D32" s="34"/>
      <c r="S32" s="36" t="s">
        <v>374</v>
      </c>
    </row>
    <row r="33" spans="1:6" ht="18.75" x14ac:dyDescent="0.3">
      <c r="A33" s="36" t="s">
        <v>367</v>
      </c>
      <c r="B33" s="37"/>
      <c r="D33" s="34"/>
    </row>
    <row r="34" spans="1:6" x14ac:dyDescent="0.25">
      <c r="D34" s="34"/>
    </row>
    <row r="35" spans="1:6" x14ac:dyDescent="0.25">
      <c r="D35" s="34"/>
    </row>
    <row r="36" spans="1:6" x14ac:dyDescent="0.25">
      <c r="C36" t="s">
        <v>36</v>
      </c>
      <c r="D36" s="38"/>
      <c r="F36" s="38"/>
    </row>
    <row r="37" spans="1:6" x14ac:dyDescent="0.25">
      <c r="C37" t="s">
        <v>37</v>
      </c>
      <c r="D37" s="39">
        <f>D23/D13</f>
        <v>0.45644338632772335</v>
      </c>
      <c r="E37" s="39">
        <f>E23/E13</f>
        <v>0.26781158416077394</v>
      </c>
      <c r="F37" s="39" t="e">
        <f>F23/F13</f>
        <v>#DIV/0!</v>
      </c>
    </row>
    <row r="38" spans="1:6" x14ac:dyDescent="0.25">
      <c r="C38" t="s">
        <v>38</v>
      </c>
      <c r="D38" s="39">
        <f>D37+D14</f>
        <v>0.45644338632772335</v>
      </c>
      <c r="E38" s="39">
        <f>E37+E14</f>
        <v>0.26781158416077394</v>
      </c>
      <c r="F38" s="39" t="e">
        <f>F37+F14</f>
        <v>#DIV/0!</v>
      </c>
    </row>
    <row r="42" spans="1:6" ht="15.75" x14ac:dyDescent="0.25">
      <c r="A42" s="414" t="s">
        <v>0</v>
      </c>
      <c r="B42" s="414"/>
      <c r="C42" s="414"/>
      <c r="D42" s="414"/>
      <c r="E42" s="414"/>
    </row>
    <row r="43" spans="1:6" ht="15.75" x14ac:dyDescent="0.25">
      <c r="A43" s="414" t="s">
        <v>1</v>
      </c>
      <c r="B43" s="414"/>
      <c r="C43" s="414"/>
      <c r="D43" s="414"/>
      <c r="E43" s="414"/>
    </row>
    <row r="44" spans="1:6" ht="15.75" x14ac:dyDescent="0.25">
      <c r="A44" s="416" t="s">
        <v>39</v>
      </c>
      <c r="B44" s="416"/>
      <c r="C44" s="416"/>
      <c r="D44" s="416"/>
      <c r="E44" s="416"/>
    </row>
    <row r="45" spans="1:6" ht="15.75" x14ac:dyDescent="0.25">
      <c r="A45" s="424" t="str">
        <f>A4</f>
        <v>Washington Docket No. UG-190335  2018 Compliance Filing</v>
      </c>
      <c r="B45" s="424"/>
      <c r="C45" s="424"/>
      <c r="D45" s="424"/>
      <c r="E45" s="424"/>
    </row>
    <row r="46" spans="1:6" ht="15.75" x14ac:dyDescent="0.25">
      <c r="A46" s="40"/>
      <c r="B46" s="40"/>
      <c r="C46" s="40"/>
      <c r="D46" s="40"/>
      <c r="E46" s="40"/>
    </row>
    <row r="47" spans="1:6" ht="63" x14ac:dyDescent="0.25">
      <c r="A47" s="41" t="s">
        <v>40</v>
      </c>
      <c r="B47" s="42"/>
      <c r="C47" s="41" t="s">
        <v>41</v>
      </c>
      <c r="D47" s="41" t="s">
        <v>42</v>
      </c>
      <c r="E47" s="41" t="s">
        <v>43</v>
      </c>
    </row>
    <row r="48" spans="1:6" ht="15.75" x14ac:dyDescent="0.25">
      <c r="A48" s="40"/>
      <c r="B48" s="43" t="s">
        <v>44</v>
      </c>
      <c r="C48" s="43" t="s">
        <v>45</v>
      </c>
      <c r="D48" s="43" t="s">
        <v>46</v>
      </c>
      <c r="E48" s="43" t="s">
        <v>47</v>
      </c>
    </row>
    <row r="49" spans="1:5" ht="15.75" x14ac:dyDescent="0.25">
      <c r="A49" s="43"/>
      <c r="B49" s="44"/>
      <c r="C49" s="43"/>
      <c r="D49" s="43"/>
      <c r="E49" s="43"/>
    </row>
    <row r="50" spans="1:5" ht="15.75" x14ac:dyDescent="0.25">
      <c r="A50" s="43">
        <v>1</v>
      </c>
      <c r="B50" s="44" t="s">
        <v>48</v>
      </c>
      <c r="C50" s="43" t="s">
        <v>367</v>
      </c>
      <c r="D50" s="45">
        <f>D23</f>
        <v>58874797.5</v>
      </c>
      <c r="E50" s="45">
        <f>SUM(E23:G23)</f>
        <v>14966617.439999999</v>
      </c>
    </row>
    <row r="51" spans="1:5" ht="15.75" x14ac:dyDescent="0.25">
      <c r="A51" s="43"/>
      <c r="B51" s="44"/>
      <c r="C51" s="43"/>
      <c r="D51" s="43"/>
      <c r="E51" s="43"/>
    </row>
    <row r="52" spans="1:5" ht="15.75" x14ac:dyDescent="0.25">
      <c r="A52" s="43">
        <v>2</v>
      </c>
      <c r="B52" s="40" t="s">
        <v>368</v>
      </c>
      <c r="C52" s="43" t="s">
        <v>50</v>
      </c>
      <c r="D52" s="46">
        <f>D26</f>
        <v>161791.25</v>
      </c>
      <c r="E52" s="46">
        <f>E26</f>
        <v>3073</v>
      </c>
    </row>
    <row r="53" spans="1:5" ht="15.75" x14ac:dyDescent="0.25">
      <c r="A53" s="43"/>
      <c r="B53" s="44"/>
      <c r="C53" s="43"/>
      <c r="D53" s="43"/>
      <c r="E53" s="43"/>
    </row>
    <row r="54" spans="1:5" ht="15.75" x14ac:dyDescent="0.25">
      <c r="A54" s="43">
        <v>3</v>
      </c>
      <c r="B54" s="44" t="s">
        <v>51</v>
      </c>
      <c r="C54" s="43" t="str">
        <f>"("&amp;A50&amp;") / ("&amp;A$11&amp;")"</f>
        <v>(1) / (3)</v>
      </c>
      <c r="D54" s="47">
        <f>ROUND(D50/D52,2)</f>
        <v>363.89</v>
      </c>
      <c r="E54" s="47">
        <f>ROUND(E50/E52,2)</f>
        <v>4870.3599999999997</v>
      </c>
    </row>
    <row r="55" spans="1:5" ht="15.75" x14ac:dyDescent="0.25">
      <c r="A55" s="43"/>
      <c r="B55" s="44"/>
      <c r="C55" s="43"/>
      <c r="D55" s="43"/>
      <c r="E55" s="43"/>
    </row>
    <row r="56" spans="1:5" ht="15.75" x14ac:dyDescent="0.25">
      <c r="A56" s="43"/>
      <c r="B56" s="44"/>
      <c r="C56" s="43"/>
      <c r="D56" s="43"/>
      <c r="E56" s="43"/>
    </row>
    <row r="57" spans="1:5" ht="15.75" x14ac:dyDescent="0.25">
      <c r="A57" s="43"/>
      <c r="B57" s="48" t="s">
        <v>52</v>
      </c>
      <c r="C57" s="40"/>
      <c r="D57" s="49"/>
      <c r="E57" s="49"/>
    </row>
    <row r="58" spans="1:5" ht="15.75" x14ac:dyDescent="0.25">
      <c r="A58" s="43"/>
      <c r="B58" s="48" t="s">
        <v>373</v>
      </c>
      <c r="C58" s="40"/>
      <c r="D58" s="40"/>
      <c r="E58" s="40"/>
    </row>
    <row r="59" spans="1:5" ht="15.75" x14ac:dyDescent="0.25">
      <c r="A59" s="30"/>
      <c r="B59" s="30"/>
      <c r="C59" s="30"/>
      <c r="D59" s="30"/>
      <c r="E59" s="30"/>
    </row>
    <row r="60" spans="1:5" ht="15.75" x14ac:dyDescent="0.25">
      <c r="A60" s="30"/>
      <c r="B60" s="30"/>
      <c r="C60" s="30"/>
      <c r="D60" s="30"/>
      <c r="E60" s="30"/>
    </row>
    <row r="61" spans="1:5" ht="18.75" x14ac:dyDescent="0.3">
      <c r="A61" s="36" t="s">
        <v>369</v>
      </c>
      <c r="B61" s="30"/>
      <c r="C61" s="30"/>
      <c r="D61" s="30"/>
      <c r="E61" s="30"/>
    </row>
    <row r="62" spans="1:5" ht="15.75" x14ac:dyDescent="0.25">
      <c r="A62" s="30"/>
      <c r="B62" s="30"/>
      <c r="C62" s="30"/>
      <c r="D62" s="30"/>
      <c r="E62" s="30"/>
    </row>
    <row r="63" spans="1:5" ht="15.75" x14ac:dyDescent="0.25">
      <c r="A63" s="30"/>
      <c r="B63" s="30"/>
      <c r="C63" s="50" t="s">
        <v>55</v>
      </c>
      <c r="D63" s="30"/>
      <c r="E63" s="30"/>
    </row>
    <row r="64" spans="1:5" ht="15.75" x14ac:dyDescent="0.25">
      <c r="A64" s="30"/>
      <c r="B64" s="30"/>
      <c r="C64" s="50" t="s">
        <v>56</v>
      </c>
      <c r="D64" s="51">
        <f>D54*D52</f>
        <v>58874217.962499999</v>
      </c>
      <c r="E64" s="51">
        <f>E54*E52</f>
        <v>14966616.279999999</v>
      </c>
    </row>
    <row r="65" spans="1:16" ht="15.75" x14ac:dyDescent="0.25">
      <c r="A65" s="30"/>
      <c r="B65" s="30"/>
      <c r="C65" s="50" t="s">
        <v>57</v>
      </c>
      <c r="D65" s="51">
        <f>D28</f>
        <v>18444202.5</v>
      </c>
      <c r="E65" s="51">
        <f>E28</f>
        <v>3966382.56</v>
      </c>
    </row>
    <row r="66" spans="1:16" ht="15.75" x14ac:dyDescent="0.25">
      <c r="A66" s="30"/>
      <c r="B66" s="30"/>
      <c r="C66" s="50" t="s">
        <v>58</v>
      </c>
      <c r="D66" s="51">
        <f>D15</f>
        <v>0</v>
      </c>
      <c r="E66" s="51">
        <f>SUM(E15:G15)</f>
        <v>0</v>
      </c>
    </row>
    <row r="67" spans="1:16" ht="15.75" x14ac:dyDescent="0.25">
      <c r="A67" s="30"/>
      <c r="B67" s="30"/>
      <c r="C67" s="50" t="s">
        <v>59</v>
      </c>
      <c r="D67" s="52">
        <f>SUM(D64:D66)</f>
        <v>77318420.462500006</v>
      </c>
      <c r="E67" s="52">
        <f>SUM(E64:E66)</f>
        <v>18932998.84</v>
      </c>
    </row>
    <row r="70" spans="1:16" ht="18.75" x14ac:dyDescent="0.3">
      <c r="A70" s="423" t="s">
        <v>0</v>
      </c>
      <c r="B70" s="423"/>
      <c r="C70" s="423"/>
      <c r="D70" s="423"/>
      <c r="E70" s="423"/>
      <c r="F70" s="423"/>
      <c r="G70" s="423"/>
      <c r="H70" s="423"/>
      <c r="I70" s="423"/>
      <c r="J70" s="423"/>
      <c r="K70" s="423"/>
      <c r="L70" s="423"/>
      <c r="M70" s="423"/>
      <c r="N70" s="423"/>
      <c r="O70" s="423"/>
      <c r="P70" s="423"/>
    </row>
    <row r="71" spans="1:16" ht="18.75" x14ac:dyDescent="0.3">
      <c r="A71" s="423" t="str">
        <f>A2</f>
        <v>Natural Gas Decoupling Mechanism</v>
      </c>
      <c r="B71" s="423"/>
      <c r="C71" s="423"/>
      <c r="D71" s="423"/>
      <c r="E71" s="423"/>
      <c r="F71" s="423"/>
      <c r="G71" s="423"/>
      <c r="H71" s="423"/>
      <c r="I71" s="423"/>
      <c r="J71" s="423"/>
      <c r="K71" s="423"/>
      <c r="L71" s="423"/>
      <c r="M71" s="423"/>
      <c r="N71" s="423"/>
      <c r="O71" s="423"/>
      <c r="P71" s="423"/>
    </row>
    <row r="72" spans="1:16" ht="18.75" x14ac:dyDescent="0.3">
      <c r="A72" s="425" t="s">
        <v>61</v>
      </c>
      <c r="B72" s="425"/>
      <c r="C72" s="425"/>
      <c r="D72" s="425"/>
      <c r="E72" s="425"/>
      <c r="F72" s="425"/>
      <c r="G72" s="425"/>
      <c r="H72" s="425"/>
      <c r="I72" s="425"/>
      <c r="J72" s="425"/>
      <c r="K72" s="425"/>
      <c r="L72" s="425"/>
      <c r="M72" s="425"/>
      <c r="N72" s="425"/>
      <c r="O72" s="425"/>
      <c r="P72" s="425"/>
    </row>
    <row r="73" spans="1:16" ht="18.75" x14ac:dyDescent="0.3">
      <c r="A73" s="423" t="str">
        <f>A4</f>
        <v>Washington Docket No. UG-190335  2018 Compliance Filing</v>
      </c>
      <c r="B73" s="423"/>
      <c r="C73" s="423"/>
      <c r="D73" s="423"/>
      <c r="E73" s="423"/>
      <c r="F73" s="423"/>
      <c r="G73" s="423"/>
      <c r="H73" s="423"/>
      <c r="I73" s="423"/>
      <c r="J73" s="423"/>
      <c r="K73" s="423"/>
      <c r="L73" s="423"/>
      <c r="M73" s="423"/>
      <c r="N73" s="423"/>
      <c r="O73" s="423"/>
      <c r="P73" s="423"/>
    </row>
    <row r="74" spans="1:16" x14ac:dyDescent="0.25">
      <c r="A74" s="55"/>
      <c r="B74" s="55"/>
      <c r="C74" s="56"/>
      <c r="D74" s="56"/>
      <c r="E74" s="56"/>
      <c r="F74" s="56"/>
      <c r="G74" s="56"/>
      <c r="H74" s="55"/>
      <c r="I74" s="55"/>
      <c r="J74" s="55"/>
      <c r="K74" s="55"/>
      <c r="L74" s="55"/>
      <c r="M74" s="55"/>
      <c r="N74" s="55"/>
      <c r="O74" s="55"/>
      <c r="P74" s="55"/>
    </row>
    <row r="75" spans="1:16" ht="38.25" x14ac:dyDescent="0.25">
      <c r="A75" s="57" t="s">
        <v>40</v>
      </c>
      <c r="B75" s="58"/>
      <c r="C75" s="59" t="s">
        <v>41</v>
      </c>
      <c r="D75" s="60" t="s">
        <v>62</v>
      </c>
      <c r="E75" s="60" t="s">
        <v>63</v>
      </c>
      <c r="F75" s="60" t="s">
        <v>64</v>
      </c>
      <c r="G75" s="60" t="s">
        <v>65</v>
      </c>
      <c r="H75" s="60" t="s">
        <v>66</v>
      </c>
      <c r="I75" s="60" t="s">
        <v>67</v>
      </c>
      <c r="J75" s="60" t="s">
        <v>68</v>
      </c>
      <c r="K75" s="60" t="s">
        <v>69</v>
      </c>
      <c r="L75" s="60" t="s">
        <v>70</v>
      </c>
      <c r="M75" s="60" t="s">
        <v>71</v>
      </c>
      <c r="N75" s="60" t="s">
        <v>72</v>
      </c>
      <c r="O75" s="60" t="s">
        <v>73</v>
      </c>
      <c r="P75" s="57" t="s">
        <v>10</v>
      </c>
    </row>
    <row r="76" spans="1:16" x14ac:dyDescent="0.25">
      <c r="A76" s="55"/>
      <c r="B76" s="56" t="s">
        <v>44</v>
      </c>
      <c r="C76" s="56" t="s">
        <v>45</v>
      </c>
      <c r="D76" s="56" t="s">
        <v>46</v>
      </c>
      <c r="E76" s="56" t="s">
        <v>47</v>
      </c>
      <c r="F76" s="56" t="s">
        <v>74</v>
      </c>
      <c r="G76" s="56" t="s">
        <v>75</v>
      </c>
      <c r="H76" s="56" t="s">
        <v>76</v>
      </c>
      <c r="I76" s="56" t="s">
        <v>77</v>
      </c>
      <c r="J76" s="56" t="s">
        <v>78</v>
      </c>
      <c r="K76" s="56" t="s">
        <v>79</v>
      </c>
      <c r="L76" s="56" t="s">
        <v>80</v>
      </c>
      <c r="M76" s="56" t="s">
        <v>81</v>
      </c>
      <c r="N76" s="56" t="s">
        <v>82</v>
      </c>
      <c r="O76" s="56" t="s">
        <v>83</v>
      </c>
      <c r="P76" s="56" t="s">
        <v>84</v>
      </c>
    </row>
    <row r="77" spans="1:16" x14ac:dyDescent="0.25">
      <c r="A77" s="56">
        <v>1</v>
      </c>
      <c r="B77" s="61"/>
      <c r="C77" s="56"/>
      <c r="D77" s="56"/>
      <c r="E77" s="56"/>
      <c r="F77" s="56"/>
      <c r="G77" s="56"/>
      <c r="H77" s="56"/>
      <c r="I77" s="56"/>
      <c r="J77" s="55"/>
      <c r="K77" s="55"/>
      <c r="L77" s="55"/>
      <c r="M77" s="55"/>
      <c r="N77" s="55"/>
      <c r="O77" s="55"/>
      <c r="P77" s="55"/>
    </row>
    <row r="78" spans="1:16" x14ac:dyDescent="0.25">
      <c r="A78" s="56">
        <f t="shared" ref="A78:A97" si="1">A77+1</f>
        <v>2</v>
      </c>
      <c r="B78" s="62" t="s">
        <v>85</v>
      </c>
      <c r="C78" s="56"/>
      <c r="D78" s="55"/>
      <c r="E78" s="55"/>
      <c r="F78" s="55"/>
      <c r="G78" s="55"/>
      <c r="H78" s="63"/>
      <c r="I78" s="63"/>
      <c r="J78" s="55"/>
      <c r="K78" s="55"/>
      <c r="L78" s="55"/>
      <c r="M78" s="55"/>
      <c r="N78" s="55"/>
      <c r="O78" s="55"/>
      <c r="P78" s="64"/>
    </row>
    <row r="79" spans="1:16" x14ac:dyDescent="0.25">
      <c r="A79" s="56">
        <f t="shared" si="1"/>
        <v>3</v>
      </c>
      <c r="B79" s="65" t="s">
        <v>86</v>
      </c>
      <c r="C79" s="56"/>
      <c r="D79" s="55"/>
      <c r="E79" s="55"/>
      <c r="F79" s="55"/>
      <c r="G79" s="55"/>
      <c r="H79" s="55"/>
      <c r="I79" s="55"/>
      <c r="J79" s="55"/>
      <c r="K79" s="55"/>
      <c r="L79" s="55"/>
      <c r="M79" s="55"/>
      <c r="N79" s="55"/>
      <c r="O79" s="55"/>
      <c r="P79" s="64"/>
    </row>
    <row r="80" spans="1:16" x14ac:dyDescent="0.25">
      <c r="A80" s="56">
        <f t="shared" si="1"/>
        <v>4</v>
      </c>
      <c r="B80" s="66" t="s">
        <v>87</v>
      </c>
      <c r="C80" s="56" t="s">
        <v>88</v>
      </c>
      <c r="D80" s="67">
        <f>D149</f>
        <v>22749974.40532</v>
      </c>
      <c r="E80" s="67">
        <f t="shared" ref="E80:O80" si="2">E149</f>
        <v>17283079.844430003</v>
      </c>
      <c r="F80" s="67">
        <f t="shared" si="2"/>
        <v>15602672.955779996</v>
      </c>
      <c r="G80" s="67">
        <f t="shared" si="2"/>
        <v>9757851.2954200003</v>
      </c>
      <c r="H80" s="67">
        <f t="shared" si="2"/>
        <v>5768556.9053499997</v>
      </c>
      <c r="I80" s="67">
        <f t="shared" si="2"/>
        <v>3089807.1433300003</v>
      </c>
      <c r="J80" s="67">
        <f t="shared" si="2"/>
        <v>2296430.2068100004</v>
      </c>
      <c r="K80" s="67">
        <f t="shared" si="2"/>
        <v>2216074.0266</v>
      </c>
      <c r="L80" s="67">
        <f t="shared" si="2"/>
        <v>3080267.8390500001</v>
      </c>
      <c r="M80" s="67">
        <f t="shared" si="2"/>
        <v>8570191.9442299996</v>
      </c>
      <c r="N80" s="67">
        <f t="shared" si="2"/>
        <v>15967978.47535</v>
      </c>
      <c r="O80" s="67">
        <f t="shared" si="2"/>
        <v>22603095.04854</v>
      </c>
      <c r="P80" s="68">
        <f>SUM(D80:O80)</f>
        <v>128985980.09021002</v>
      </c>
    </row>
    <row r="81" spans="1:16" x14ac:dyDescent="0.25">
      <c r="A81" s="56">
        <f t="shared" si="1"/>
        <v>5</v>
      </c>
      <c r="B81" s="55" t="s">
        <v>89</v>
      </c>
      <c r="C81" s="69" t="s">
        <v>90</v>
      </c>
      <c r="D81" s="70">
        <f t="shared" ref="D81:M81" si="3">D80/$P80</f>
        <v>0.17637555949421135</v>
      </c>
      <c r="E81" s="70">
        <f t="shared" si="3"/>
        <v>0.13399192557472206</v>
      </c>
      <c r="F81" s="70">
        <f t="shared" si="3"/>
        <v>0.12096409970190421</v>
      </c>
      <c r="G81" s="70">
        <f t="shared" si="3"/>
        <v>7.5650479909487603E-2</v>
      </c>
      <c r="H81" s="70">
        <f t="shared" si="3"/>
        <v>4.4722355881744627E-2</v>
      </c>
      <c r="I81" s="70">
        <f t="shared" si="3"/>
        <v>2.39545967799683E-2</v>
      </c>
      <c r="J81" s="70">
        <f t="shared" si="3"/>
        <v>1.7803719483341727E-2</v>
      </c>
      <c r="K81" s="70">
        <f t="shared" si="3"/>
        <v>1.7180735650883339E-2</v>
      </c>
      <c r="L81" s="70">
        <f t="shared" si="3"/>
        <v>2.3880640647113174E-2</v>
      </c>
      <c r="M81" s="70">
        <f t="shared" si="3"/>
        <v>6.6442817570066079E-2</v>
      </c>
      <c r="N81" s="70">
        <f t="shared" ref="N81:O81" si="4">N80/$P80</f>
        <v>0.12379623323544418</v>
      </c>
      <c r="O81" s="70">
        <f t="shared" si="4"/>
        <v>0.17523683607111318</v>
      </c>
      <c r="P81" s="70">
        <f>SUM(D81:O81)</f>
        <v>0.99999999999999978</v>
      </c>
    </row>
    <row r="82" spans="1:16" x14ac:dyDescent="0.25">
      <c r="A82" s="56">
        <f t="shared" si="1"/>
        <v>6</v>
      </c>
      <c r="B82" s="55"/>
      <c r="C82" s="71"/>
      <c r="D82" s="72"/>
      <c r="E82" s="72"/>
      <c r="F82" s="72"/>
      <c r="G82" s="72"/>
      <c r="H82" s="72"/>
      <c r="I82" s="72"/>
      <c r="J82" s="72"/>
      <c r="K82" s="72"/>
      <c r="L82" s="72"/>
      <c r="M82" s="72"/>
      <c r="N82" s="72"/>
      <c r="O82" s="72"/>
      <c r="P82" s="72"/>
    </row>
    <row r="83" spans="1:16" x14ac:dyDescent="0.25">
      <c r="A83" s="56">
        <f t="shared" si="1"/>
        <v>7</v>
      </c>
      <c r="B83" s="65" t="s">
        <v>91</v>
      </c>
      <c r="C83" s="72"/>
      <c r="D83" s="72"/>
      <c r="E83" s="72"/>
      <c r="F83" s="72"/>
      <c r="G83" s="72"/>
      <c r="H83" s="72"/>
      <c r="I83" s="72"/>
      <c r="J83" s="72"/>
      <c r="K83" s="72"/>
      <c r="L83" s="72"/>
      <c r="M83" s="72"/>
      <c r="N83" s="72"/>
      <c r="O83" s="72"/>
      <c r="P83" s="72"/>
    </row>
    <row r="84" spans="1:16" x14ac:dyDescent="0.25">
      <c r="A84" s="56">
        <f t="shared" si="1"/>
        <v>8</v>
      </c>
      <c r="B84" s="66" t="s">
        <v>87</v>
      </c>
      <c r="C84" s="56" t="s">
        <v>88</v>
      </c>
      <c r="D84" s="67">
        <f>D154</f>
        <v>7868879.8314100001</v>
      </c>
      <c r="E84" s="67">
        <f t="shared" ref="E84:O84" si="5">E154</f>
        <v>7414470.7568700006</v>
      </c>
      <c r="F84" s="67">
        <f t="shared" si="5"/>
        <v>5947208.9858100004</v>
      </c>
      <c r="G84" s="67">
        <f t="shared" si="5"/>
        <v>4624106.7723699994</v>
      </c>
      <c r="H84" s="67">
        <f t="shared" si="5"/>
        <v>3350493.2149800006</v>
      </c>
      <c r="I84" s="67">
        <f t="shared" si="5"/>
        <v>2437871.6305</v>
      </c>
      <c r="J84" s="67">
        <f t="shared" si="5"/>
        <v>1760019.38356</v>
      </c>
      <c r="K84" s="67">
        <f t="shared" si="5"/>
        <v>1925464.61497</v>
      </c>
      <c r="L84" s="67">
        <f t="shared" si="5"/>
        <v>2291323.42368</v>
      </c>
      <c r="M84" s="67">
        <f t="shared" si="5"/>
        <v>4176692.7944399994</v>
      </c>
      <c r="N84" s="67">
        <f t="shared" si="5"/>
        <v>6339582.8774500005</v>
      </c>
      <c r="O84" s="67">
        <f t="shared" si="5"/>
        <v>7748762.6948600374</v>
      </c>
      <c r="P84" s="68">
        <f>SUM(D84:O84)</f>
        <v>55884876.980900034</v>
      </c>
    </row>
    <row r="85" spans="1:16" x14ac:dyDescent="0.25">
      <c r="A85" s="56">
        <f t="shared" si="1"/>
        <v>9</v>
      </c>
      <c r="B85" s="55" t="s">
        <v>89</v>
      </c>
      <c r="C85" s="69" t="s">
        <v>90</v>
      </c>
      <c r="D85" s="73">
        <f t="shared" ref="D85:M85" si="6">D84/$P84</f>
        <v>0.14080517407418422</v>
      </c>
      <c r="E85" s="73">
        <f t="shared" si="6"/>
        <v>0.13267401052710681</v>
      </c>
      <c r="F85" s="73">
        <f t="shared" si="6"/>
        <v>0.10641893311928732</v>
      </c>
      <c r="G85" s="73">
        <f t="shared" si="6"/>
        <v>8.2743436546355756E-2</v>
      </c>
      <c r="H85" s="73">
        <f t="shared" si="6"/>
        <v>5.9953486452607029E-2</v>
      </c>
      <c r="I85" s="73">
        <f t="shared" si="6"/>
        <v>4.3623100956868881E-2</v>
      </c>
      <c r="J85" s="73">
        <f t="shared" si="6"/>
        <v>3.1493661230774968E-2</v>
      </c>
      <c r="K85" s="73">
        <f t="shared" si="6"/>
        <v>3.4454126393229291E-2</v>
      </c>
      <c r="L85" s="73">
        <f t="shared" si="6"/>
        <v>4.1000777803682262E-2</v>
      </c>
      <c r="M85" s="73">
        <f t="shared" si="6"/>
        <v>7.4737442758753533E-2</v>
      </c>
      <c r="N85" s="73">
        <f t="shared" ref="N85:O85" si="7">N84/$P84</f>
        <v>0.11344004353121689</v>
      </c>
      <c r="O85" s="73">
        <f t="shared" si="7"/>
        <v>0.1386558066059331</v>
      </c>
      <c r="P85" s="73">
        <f>SUM(D85:O85)</f>
        <v>1</v>
      </c>
    </row>
    <row r="86" spans="1:16" x14ac:dyDescent="0.25">
      <c r="A86" s="56">
        <f t="shared" si="1"/>
        <v>10</v>
      </c>
      <c r="B86" s="55"/>
      <c r="C86" s="56"/>
      <c r="D86" s="73"/>
      <c r="E86" s="64"/>
      <c r="F86" s="64"/>
      <c r="G86" s="64"/>
      <c r="H86" s="64"/>
      <c r="I86" s="64"/>
      <c r="J86" s="64"/>
      <c r="K86" s="64"/>
      <c r="L86" s="64"/>
      <c r="M86" s="64"/>
      <c r="N86" s="64"/>
      <c r="O86" s="64"/>
      <c r="P86" s="64"/>
    </row>
    <row r="87" spans="1:16" x14ac:dyDescent="0.25">
      <c r="A87" s="56">
        <f t="shared" si="1"/>
        <v>11</v>
      </c>
      <c r="B87" s="62" t="s">
        <v>92</v>
      </c>
      <c r="C87" s="56"/>
      <c r="D87" s="73"/>
      <c r="E87" s="64"/>
      <c r="F87" s="64"/>
      <c r="G87" s="64"/>
      <c r="H87" s="64"/>
      <c r="I87" s="64"/>
      <c r="J87" s="64"/>
      <c r="K87" s="64"/>
      <c r="L87" s="64"/>
      <c r="M87" s="64"/>
      <c r="N87" s="64"/>
      <c r="O87" s="64"/>
      <c r="P87" s="64"/>
    </row>
    <row r="88" spans="1:16" x14ac:dyDescent="0.25">
      <c r="A88" s="56">
        <f t="shared" si="1"/>
        <v>12</v>
      </c>
      <c r="B88" s="65" t="s">
        <v>86</v>
      </c>
      <c r="C88" s="56"/>
      <c r="D88" s="73"/>
      <c r="E88" s="55"/>
      <c r="F88" s="55"/>
      <c r="G88" s="55"/>
      <c r="H88" s="55"/>
      <c r="I88" s="55"/>
      <c r="J88" s="55"/>
      <c r="K88" s="55"/>
      <c r="L88" s="55"/>
      <c r="M88" s="55"/>
      <c r="N88" s="55"/>
      <c r="O88" s="55"/>
      <c r="P88" s="55"/>
    </row>
    <row r="89" spans="1:16" x14ac:dyDescent="0.25">
      <c r="A89" s="56">
        <f t="shared" si="1"/>
        <v>13</v>
      </c>
      <c r="B89" s="55" t="s">
        <v>371</v>
      </c>
      <c r="C89" s="56" t="s">
        <v>94</v>
      </c>
      <c r="D89" s="55"/>
      <c r="E89" s="55"/>
      <c r="F89" s="55"/>
      <c r="G89" s="55"/>
      <c r="H89" s="55"/>
      <c r="I89" s="55"/>
      <c r="J89" s="55"/>
      <c r="K89" s="55"/>
      <c r="L89" s="55"/>
      <c r="M89" s="55"/>
      <c r="N89" s="55"/>
      <c r="O89" s="55"/>
      <c r="P89" s="74">
        <f>D54</f>
        <v>363.89</v>
      </c>
    </row>
    <row r="90" spans="1:16" x14ac:dyDescent="0.25">
      <c r="A90" s="56">
        <f t="shared" si="1"/>
        <v>14</v>
      </c>
      <c r="B90" s="55" t="s">
        <v>95</v>
      </c>
      <c r="C90" s="56" t="str">
        <f>"("&amp;A$12&amp;") x ("&amp;A89&amp;")"</f>
        <v>() x (13)</v>
      </c>
      <c r="D90" s="75">
        <f t="shared" ref="D90:O90" si="8">$P89*D$81</f>
        <v>64.181302344348566</v>
      </c>
      <c r="E90" s="75">
        <f t="shared" si="8"/>
        <v>48.758321797385605</v>
      </c>
      <c r="F90" s="75">
        <f t="shared" si="8"/>
        <v>44.017626240525921</v>
      </c>
      <c r="G90" s="75">
        <f t="shared" si="8"/>
        <v>27.528453134263444</v>
      </c>
      <c r="H90" s="75">
        <f t="shared" si="8"/>
        <v>16.274018081808052</v>
      </c>
      <c r="I90" s="75">
        <f t="shared" si="8"/>
        <v>8.7168382222626644</v>
      </c>
      <c r="J90" s="75">
        <f t="shared" si="8"/>
        <v>6.4785954827932208</v>
      </c>
      <c r="K90" s="75">
        <f t="shared" si="8"/>
        <v>6.2518978959999378</v>
      </c>
      <c r="L90" s="75">
        <f t="shared" si="8"/>
        <v>8.6899263250780123</v>
      </c>
      <c r="M90" s="75">
        <f t="shared" si="8"/>
        <v>24.177876885571344</v>
      </c>
      <c r="N90" s="75">
        <f t="shared" si="8"/>
        <v>45.04821131204578</v>
      </c>
      <c r="O90" s="75">
        <f t="shared" si="8"/>
        <v>63.76693227791737</v>
      </c>
      <c r="P90" s="74">
        <f>SUM(D90:O90)</f>
        <v>363.88999999999987</v>
      </c>
    </row>
    <row r="91" spans="1:16" x14ac:dyDescent="0.25">
      <c r="A91" s="56">
        <f t="shared" si="1"/>
        <v>15</v>
      </c>
      <c r="B91" s="55"/>
      <c r="C91" s="76"/>
      <c r="D91" s="55"/>
      <c r="E91" s="55"/>
      <c r="F91" s="55"/>
      <c r="G91" s="55"/>
      <c r="H91" s="55"/>
      <c r="I91" s="55"/>
      <c r="J91" s="55"/>
      <c r="K91" s="55"/>
      <c r="L91" s="55"/>
      <c r="M91" s="55"/>
      <c r="N91" s="55"/>
      <c r="O91" s="55"/>
      <c r="P91" s="74"/>
    </row>
    <row r="92" spans="1:16" x14ac:dyDescent="0.25">
      <c r="A92" s="56">
        <f t="shared" si="1"/>
        <v>16</v>
      </c>
      <c r="B92" s="65" t="s">
        <v>91</v>
      </c>
      <c r="C92" s="76"/>
      <c r="D92" s="55"/>
      <c r="E92" s="55"/>
      <c r="F92" s="55"/>
      <c r="G92" s="55"/>
      <c r="H92" s="55"/>
      <c r="I92" s="55"/>
      <c r="J92" s="55"/>
      <c r="K92" s="55"/>
      <c r="L92" s="55"/>
      <c r="M92" s="55"/>
      <c r="N92" s="55"/>
      <c r="O92" s="55"/>
      <c r="P92" s="74"/>
    </row>
    <row r="93" spans="1:16" x14ac:dyDescent="0.25">
      <c r="A93" s="56">
        <f t="shared" si="1"/>
        <v>17</v>
      </c>
      <c r="B93" s="55" t="s">
        <v>372</v>
      </c>
      <c r="C93" s="56" t="s">
        <v>94</v>
      </c>
      <c r="D93" s="55"/>
      <c r="E93" s="55"/>
      <c r="F93" s="55"/>
      <c r="G93" s="55"/>
      <c r="H93" s="55"/>
      <c r="I93" s="55"/>
      <c r="J93" s="55"/>
      <c r="K93" s="55"/>
      <c r="L93" s="55"/>
      <c r="M93" s="55"/>
      <c r="N93" s="55"/>
      <c r="O93" s="55"/>
      <c r="P93" s="74">
        <f>E54</f>
        <v>4870.3599999999997</v>
      </c>
    </row>
    <row r="94" spans="1:16" x14ac:dyDescent="0.25">
      <c r="A94" s="56">
        <f t="shared" si="1"/>
        <v>18</v>
      </c>
      <c r="B94" s="55" t="s">
        <v>95</v>
      </c>
      <c r="C94" s="56" t="str">
        <f>"("&amp;A$16&amp;") x ("&amp;A93&amp;")"</f>
        <v>() x (17)</v>
      </c>
      <c r="D94" s="75">
        <f t="shared" ref="D94:O94" si="9">$P93*D$85</f>
        <v>685.77188760394381</v>
      </c>
      <c r="E94" s="75">
        <f t="shared" si="9"/>
        <v>646.17019391079987</v>
      </c>
      <c r="F94" s="75">
        <f t="shared" si="9"/>
        <v>518.29851510685216</v>
      </c>
      <c r="G94" s="75">
        <f t="shared" si="9"/>
        <v>402.99032361790921</v>
      </c>
      <c r="H94" s="75">
        <f t="shared" si="9"/>
        <v>291.99506227931914</v>
      </c>
      <c r="I94" s="75">
        <f t="shared" si="9"/>
        <v>212.4602059762959</v>
      </c>
      <c r="J94" s="75">
        <f t="shared" si="9"/>
        <v>153.38546791191717</v>
      </c>
      <c r="K94" s="75">
        <f t="shared" si="9"/>
        <v>167.80399902052821</v>
      </c>
      <c r="L94" s="75">
        <f t="shared" si="9"/>
        <v>199.68854818394192</v>
      </c>
      <c r="M94" s="75">
        <f t="shared" si="9"/>
        <v>363.99825171452284</v>
      </c>
      <c r="N94" s="75">
        <f t="shared" si="9"/>
        <v>552.4938504126975</v>
      </c>
      <c r="O94" s="75">
        <f t="shared" si="9"/>
        <v>675.30369426127231</v>
      </c>
      <c r="P94" s="74">
        <f>SUM(D94:O94)</f>
        <v>4870.3599999999997</v>
      </c>
    </row>
    <row r="95" spans="1:16" x14ac:dyDescent="0.25">
      <c r="A95" s="56">
        <f t="shared" si="1"/>
        <v>19</v>
      </c>
      <c r="B95" s="55"/>
      <c r="C95" s="76"/>
      <c r="D95" s="56"/>
      <c r="E95" s="56"/>
      <c r="F95" s="56"/>
      <c r="G95" s="56"/>
      <c r="H95" s="55"/>
      <c r="I95" s="55"/>
      <c r="J95" s="55"/>
      <c r="K95" s="55"/>
      <c r="L95" s="55"/>
      <c r="M95" s="55"/>
      <c r="N95" s="55"/>
      <c r="O95" s="55"/>
      <c r="P95" s="74"/>
    </row>
    <row r="96" spans="1:16" x14ac:dyDescent="0.25">
      <c r="A96" s="56">
        <f t="shared" si="1"/>
        <v>20</v>
      </c>
      <c r="B96" s="55" t="str">
        <f>B57</f>
        <v xml:space="preserve">*Rate Schedules 101, 102.  </v>
      </c>
      <c r="C96" s="76"/>
      <c r="D96" s="56"/>
      <c r="E96" s="56"/>
      <c r="F96" s="56"/>
      <c r="G96" s="56"/>
      <c r="H96" s="55"/>
      <c r="I96" s="55"/>
      <c r="J96" s="55"/>
      <c r="K96" s="55"/>
      <c r="L96" s="55"/>
      <c r="M96" s="55"/>
      <c r="N96" s="55"/>
      <c r="O96" s="55"/>
      <c r="P96" s="74"/>
    </row>
    <row r="97" spans="1:16" x14ac:dyDescent="0.25">
      <c r="A97" s="56">
        <f t="shared" si="1"/>
        <v>21</v>
      </c>
      <c r="B97" s="55" t="str">
        <f>B58</f>
        <v xml:space="preserve">**Rate Schedules 111, 112, 116, 131.  </v>
      </c>
      <c r="C97" s="56"/>
      <c r="D97" s="56"/>
      <c r="E97" s="56"/>
      <c r="F97" s="56"/>
      <c r="G97" s="56"/>
      <c r="H97" s="55"/>
      <c r="I97" s="55"/>
      <c r="J97" s="55"/>
      <c r="K97" s="55"/>
      <c r="L97" s="55"/>
      <c r="M97" s="55"/>
      <c r="N97" s="55"/>
      <c r="O97" s="55"/>
      <c r="P97" s="55"/>
    </row>
    <row r="98" spans="1:16" x14ac:dyDescent="0.25">
      <c r="A98" s="77"/>
      <c r="B98" s="77"/>
      <c r="C98" s="77"/>
      <c r="D98" s="77"/>
      <c r="E98" s="77"/>
      <c r="F98" s="77"/>
      <c r="G98" s="77"/>
      <c r="H98" s="77"/>
      <c r="I98" s="77"/>
      <c r="J98" s="77"/>
      <c r="K98" s="77"/>
      <c r="L98" s="77"/>
      <c r="M98" s="77"/>
      <c r="N98" s="77"/>
      <c r="O98" s="77"/>
      <c r="P98" s="77"/>
    </row>
    <row r="99" spans="1:16" ht="18.75" x14ac:dyDescent="0.3">
      <c r="A99" s="36" t="s">
        <v>359</v>
      </c>
    </row>
    <row r="101" spans="1:16" x14ac:dyDescent="0.25">
      <c r="A101" t="s">
        <v>321</v>
      </c>
    </row>
    <row r="102" spans="1:16" x14ac:dyDescent="0.25">
      <c r="A102" t="s">
        <v>98</v>
      </c>
    </row>
    <row r="103" spans="1:16" x14ac:dyDescent="0.25">
      <c r="A103" t="s">
        <v>322</v>
      </c>
    </row>
    <row r="105" spans="1:16" x14ac:dyDescent="0.25">
      <c r="A105" s="78" t="s">
        <v>100</v>
      </c>
      <c r="B105" s="78"/>
      <c r="C105" s="78"/>
      <c r="D105" s="78"/>
      <c r="E105" s="78"/>
      <c r="F105" s="78"/>
      <c r="G105" s="78"/>
      <c r="H105" s="78"/>
      <c r="I105" s="78"/>
      <c r="J105" s="78"/>
      <c r="K105" s="78"/>
      <c r="L105" s="78"/>
      <c r="M105" s="78"/>
      <c r="N105" s="78"/>
      <c r="O105" s="78"/>
      <c r="P105" s="78"/>
    </row>
    <row r="106" spans="1:16" x14ac:dyDescent="0.25">
      <c r="A106" s="78"/>
      <c r="B106" s="78"/>
      <c r="C106" s="78"/>
      <c r="D106" s="79">
        <v>43101</v>
      </c>
      <c r="E106" s="79">
        <v>43132</v>
      </c>
      <c r="F106" s="79">
        <v>43160</v>
      </c>
      <c r="G106" s="79">
        <v>43191</v>
      </c>
      <c r="H106" s="79">
        <v>43221</v>
      </c>
      <c r="I106" s="79">
        <v>43252</v>
      </c>
      <c r="J106" s="79">
        <v>43282</v>
      </c>
      <c r="K106" s="79">
        <v>43313</v>
      </c>
      <c r="L106" s="79">
        <v>43344</v>
      </c>
      <c r="M106" s="79">
        <v>43374</v>
      </c>
      <c r="N106" s="79">
        <v>43405</v>
      </c>
      <c r="O106" s="79">
        <v>43435</v>
      </c>
      <c r="P106" s="80" t="s">
        <v>101</v>
      </c>
    </row>
    <row r="107" spans="1:16" x14ac:dyDescent="0.25">
      <c r="A107" s="78" t="s">
        <v>102</v>
      </c>
      <c r="B107" s="78"/>
      <c r="C107" s="78"/>
      <c r="D107" s="78"/>
      <c r="E107" s="78"/>
      <c r="F107" s="78"/>
      <c r="G107" s="78"/>
      <c r="H107" s="78"/>
      <c r="I107" s="78"/>
      <c r="J107" s="78"/>
      <c r="K107" s="78"/>
      <c r="L107" s="78"/>
      <c r="M107" s="78"/>
      <c r="N107" s="78"/>
      <c r="O107" s="78"/>
      <c r="P107" s="78"/>
    </row>
    <row r="108" spans="1:16" x14ac:dyDescent="0.25">
      <c r="A108" s="78"/>
      <c r="B108" s="78" t="s">
        <v>103</v>
      </c>
      <c r="C108" s="78"/>
      <c r="D108" s="81">
        <v>23907481.40532</v>
      </c>
      <c r="E108" s="81">
        <v>17408468.844430003</v>
      </c>
      <c r="F108" s="81">
        <v>18772678.955779996</v>
      </c>
      <c r="G108" s="81">
        <v>12814031.29542</v>
      </c>
      <c r="H108" s="81">
        <v>6121244.9053499997</v>
      </c>
      <c r="I108" s="81">
        <v>2888718.1433300003</v>
      </c>
      <c r="J108" s="81">
        <v>2443732.2068100004</v>
      </c>
      <c r="K108" s="81">
        <v>2085808.0266</v>
      </c>
      <c r="L108" s="81">
        <v>2442167.8390500001</v>
      </c>
      <c r="M108" s="81">
        <v>5295338.9442299996</v>
      </c>
      <c r="N108" s="81">
        <v>10842675.47535</v>
      </c>
      <c r="O108" s="81">
        <v>18945996.04854</v>
      </c>
      <c r="P108" s="82">
        <f t="shared" ref="P108:P113" si="10">SUM(D108:O108)</f>
        <v>123968342.09021002</v>
      </c>
    </row>
    <row r="109" spans="1:16" x14ac:dyDescent="0.25">
      <c r="A109" s="78"/>
      <c r="B109" s="78" t="s">
        <v>323</v>
      </c>
      <c r="C109" s="78"/>
      <c r="D109" s="81">
        <v>8018208.2324099997</v>
      </c>
      <c r="E109" s="81">
        <v>6561360.7318700003</v>
      </c>
      <c r="F109" s="81">
        <v>6797194.94881</v>
      </c>
      <c r="G109" s="81">
        <v>5166624.3463699995</v>
      </c>
      <c r="H109" s="81">
        <v>3145531.1909800004</v>
      </c>
      <c r="I109" s="81">
        <v>1896315.6935000003</v>
      </c>
      <c r="J109" s="81">
        <v>1581289.0838300001</v>
      </c>
      <c r="K109" s="81">
        <v>1451036.2879699999</v>
      </c>
      <c r="L109" s="81">
        <v>1613677.3076800001</v>
      </c>
      <c r="M109" s="81">
        <v>2564277.13344</v>
      </c>
      <c r="N109" s="81">
        <v>4331827.7364500007</v>
      </c>
      <c r="O109" s="81">
        <v>9510569.9868700001</v>
      </c>
      <c r="P109" s="82">
        <f t="shared" si="10"/>
        <v>52637912.680180006</v>
      </c>
    </row>
    <row r="110" spans="1:16" x14ac:dyDescent="0.25">
      <c r="A110" s="78"/>
      <c r="B110" s="78" t="s">
        <v>324</v>
      </c>
      <c r="C110" s="78"/>
      <c r="D110" s="81">
        <v>547570.59900000005</v>
      </c>
      <c r="E110" s="81">
        <v>455180.02499999997</v>
      </c>
      <c r="F110" s="81">
        <v>474318.03700000001</v>
      </c>
      <c r="G110" s="81">
        <v>397963.42600000004</v>
      </c>
      <c r="H110" s="81">
        <v>332257.02400000003</v>
      </c>
      <c r="I110" s="81">
        <v>303322.93700000003</v>
      </c>
      <c r="J110" s="81">
        <v>280882.29972999997</v>
      </c>
      <c r="K110" s="81">
        <v>293436.32699999999</v>
      </c>
      <c r="L110" s="81">
        <v>292153.11600000004</v>
      </c>
      <c r="M110" s="81">
        <v>342720.66100000002</v>
      </c>
      <c r="N110" s="81">
        <v>412245.14099999995</v>
      </c>
      <c r="O110" s="81">
        <v>-2363729.2920099623</v>
      </c>
      <c r="P110" s="82">
        <f t="shared" si="10"/>
        <v>1768320.3007200374</v>
      </c>
    </row>
    <row r="111" spans="1:16" x14ac:dyDescent="0.25">
      <c r="A111" s="78"/>
      <c r="B111" s="78" t="s">
        <v>106</v>
      </c>
      <c r="C111" s="78"/>
      <c r="D111" s="81">
        <v>139102.27900000001</v>
      </c>
      <c r="E111" s="81">
        <v>117327.56</v>
      </c>
      <c r="F111" s="81">
        <v>113117.076</v>
      </c>
      <c r="G111" s="81">
        <v>93219.127999999997</v>
      </c>
      <c r="H111" s="81">
        <v>72900.841</v>
      </c>
      <c r="I111" s="81">
        <v>47469.584999999992</v>
      </c>
      <c r="J111" s="81">
        <v>41737.258000000002</v>
      </c>
      <c r="K111" s="81">
        <v>43515.435999999994</v>
      </c>
      <c r="L111" s="81">
        <v>44833.752</v>
      </c>
      <c r="M111" s="81">
        <v>68693.988999999987</v>
      </c>
      <c r="N111" s="81">
        <v>88518.618999999992</v>
      </c>
      <c r="O111" s="81">
        <v>114831.204</v>
      </c>
      <c r="P111" s="82">
        <f t="shared" si="10"/>
        <v>985266.72699999996</v>
      </c>
    </row>
    <row r="112" spans="1:16" x14ac:dyDescent="0.25">
      <c r="A112" s="78"/>
      <c r="B112" s="78" t="s">
        <v>107</v>
      </c>
      <c r="C112" s="78"/>
      <c r="D112" s="81">
        <v>3967685</v>
      </c>
      <c r="E112" s="81">
        <v>3629622</v>
      </c>
      <c r="F112" s="81">
        <v>3567188</v>
      </c>
      <c r="G112" s="81">
        <v>3349134</v>
      </c>
      <c r="H112" s="81">
        <v>3031743</v>
      </c>
      <c r="I112" s="81">
        <v>2500055</v>
      </c>
      <c r="J112" s="81">
        <v>2416869</v>
      </c>
      <c r="K112" s="81">
        <v>2200204</v>
      </c>
      <c r="L112" s="81">
        <v>2275935</v>
      </c>
      <c r="M112" s="81">
        <v>2340543</v>
      </c>
      <c r="N112" s="81">
        <v>3067907</v>
      </c>
      <c r="O112" s="81">
        <v>3261051</v>
      </c>
      <c r="P112" s="82">
        <f t="shared" si="10"/>
        <v>35607936</v>
      </c>
    </row>
    <row r="113" spans="1:18" x14ac:dyDescent="0.25">
      <c r="A113" s="78"/>
      <c r="B113" s="78" t="s">
        <v>108</v>
      </c>
      <c r="C113" s="78"/>
      <c r="D113" s="81">
        <v>5265223</v>
      </c>
      <c r="E113" s="81">
        <v>4912508</v>
      </c>
      <c r="F113" s="81">
        <v>4547047</v>
      </c>
      <c r="G113" s="81">
        <v>4301458</v>
      </c>
      <c r="H113" s="81">
        <v>4021819</v>
      </c>
      <c r="I113" s="81">
        <v>3930521</v>
      </c>
      <c r="J113" s="81">
        <v>3756231</v>
      </c>
      <c r="K113" s="81">
        <v>4538638</v>
      </c>
      <c r="L113" s="81">
        <v>4562727</v>
      </c>
      <c r="M113" s="81">
        <v>4393442</v>
      </c>
      <c r="N113" s="81">
        <v>5173852</v>
      </c>
      <c r="O113" s="81">
        <v>5114139</v>
      </c>
      <c r="P113" s="82">
        <f t="shared" si="10"/>
        <v>54517605</v>
      </c>
    </row>
    <row r="114" spans="1:18" x14ac:dyDescent="0.25">
      <c r="A114" s="78" t="s">
        <v>109</v>
      </c>
      <c r="B114" s="78"/>
      <c r="C114" s="78"/>
      <c r="D114" s="83">
        <f t="shared" ref="D114:L114" si="11">SUM(D108:D113)</f>
        <v>41845270.515729994</v>
      </c>
      <c r="E114" s="83">
        <f t="shared" si="11"/>
        <v>33084467.1613</v>
      </c>
      <c r="F114" s="83">
        <f t="shared" si="11"/>
        <v>34271544.017590001</v>
      </c>
      <c r="G114" s="83">
        <f t="shared" si="11"/>
        <v>26122430.195789997</v>
      </c>
      <c r="H114" s="83">
        <f t="shared" si="11"/>
        <v>16725495.96133</v>
      </c>
      <c r="I114" s="83">
        <f t="shared" si="11"/>
        <v>11566402.358830001</v>
      </c>
      <c r="J114" s="83">
        <f t="shared" si="11"/>
        <v>10520740.848370001</v>
      </c>
      <c r="K114" s="83">
        <f t="shared" si="11"/>
        <v>10612638.077570001</v>
      </c>
      <c r="L114" s="83">
        <f t="shared" si="11"/>
        <v>11231494.014730001</v>
      </c>
      <c r="M114" s="83">
        <f>SUM(M108:M113)</f>
        <v>15005015.727669999</v>
      </c>
      <c r="N114" s="83">
        <f t="shared" ref="N114:P114" si="12">SUM(N108:N113)</f>
        <v>23917025.971800003</v>
      </c>
      <c r="O114" s="83">
        <f t="shared" si="12"/>
        <v>34582857.947400041</v>
      </c>
      <c r="P114" s="83">
        <f t="shared" si="12"/>
        <v>269485382.79811007</v>
      </c>
    </row>
    <row r="115" spans="1:18" x14ac:dyDescent="0.25">
      <c r="A115" s="78"/>
      <c r="B115" s="78"/>
      <c r="C115" s="78"/>
      <c r="D115" s="81"/>
      <c r="E115" s="81"/>
      <c r="F115" s="81"/>
      <c r="G115" s="81"/>
      <c r="H115" s="81"/>
      <c r="I115" s="81"/>
      <c r="J115" s="81"/>
      <c r="K115" s="81"/>
      <c r="L115" s="81"/>
      <c r="M115" s="81"/>
      <c r="N115" s="81"/>
      <c r="O115" s="81"/>
      <c r="P115" s="81"/>
    </row>
    <row r="116" spans="1:18" x14ac:dyDescent="0.25">
      <c r="A116" s="78" t="s">
        <v>110</v>
      </c>
      <c r="B116" s="78"/>
      <c r="C116" s="78"/>
      <c r="D116" s="81"/>
      <c r="E116" s="81"/>
      <c r="F116" s="81"/>
      <c r="G116" s="81"/>
      <c r="H116" s="81"/>
      <c r="I116" s="81"/>
      <c r="J116" s="81"/>
      <c r="K116" s="81"/>
      <c r="L116" s="81"/>
      <c r="M116" s="81"/>
      <c r="N116" s="81"/>
      <c r="O116" s="81"/>
      <c r="P116" s="81"/>
    </row>
    <row r="117" spans="1:18" x14ac:dyDescent="0.25">
      <c r="A117" s="78"/>
      <c r="B117" s="78" t="s">
        <v>325</v>
      </c>
      <c r="C117" s="78"/>
      <c r="D117" s="81">
        <v>310813</v>
      </c>
      <c r="E117" s="81">
        <v>271139</v>
      </c>
      <c r="F117" s="81">
        <v>287680</v>
      </c>
      <c r="G117" s="81">
        <v>236730</v>
      </c>
      <c r="H117" s="81">
        <v>223368</v>
      </c>
      <c r="I117" s="81">
        <v>191219</v>
      </c>
      <c r="J117" s="81">
        <v>179209</v>
      </c>
      <c r="K117" s="81">
        <v>175800</v>
      </c>
      <c r="L117" s="81">
        <v>195692</v>
      </c>
      <c r="M117" s="81">
        <v>211707</v>
      </c>
      <c r="N117" s="81">
        <v>246977</v>
      </c>
      <c r="O117" s="81">
        <v>-2530334</v>
      </c>
      <c r="P117" s="81">
        <f>SUM(D117:O117)</f>
        <v>0</v>
      </c>
    </row>
    <row r="118" spans="1:18" x14ac:dyDescent="0.25">
      <c r="A118" s="78"/>
      <c r="B118" s="78" t="s">
        <v>326</v>
      </c>
      <c r="C118" s="78"/>
      <c r="D118" s="81">
        <f>-D117</f>
        <v>-310813</v>
      </c>
      <c r="E118" s="81">
        <f t="shared" ref="E118:N118" si="13">-E117</f>
        <v>-271139</v>
      </c>
      <c r="F118" s="81">
        <f t="shared" si="13"/>
        <v>-287680</v>
      </c>
      <c r="G118" s="81">
        <f t="shared" si="13"/>
        <v>-236730</v>
      </c>
      <c r="H118" s="81">
        <f t="shared" si="13"/>
        <v>-223368</v>
      </c>
      <c r="I118" s="81">
        <f t="shared" si="13"/>
        <v>-191219</v>
      </c>
      <c r="J118" s="81">
        <f t="shared" si="13"/>
        <v>-179209</v>
      </c>
      <c r="K118" s="81">
        <f t="shared" si="13"/>
        <v>-175800</v>
      </c>
      <c r="L118" s="81">
        <f t="shared" si="13"/>
        <v>-195692</v>
      </c>
      <c r="M118" s="81">
        <f t="shared" si="13"/>
        <v>-211707</v>
      </c>
      <c r="N118" s="81">
        <f t="shared" si="13"/>
        <v>-246977</v>
      </c>
      <c r="O118" s="81">
        <f>-O117-128508</f>
        <v>2401826</v>
      </c>
      <c r="P118" s="81">
        <f>SUM(D118:O118)</f>
        <v>-128508</v>
      </c>
    </row>
    <row r="119" spans="1:18" x14ac:dyDescent="0.25">
      <c r="A119" s="78"/>
      <c r="B119" s="78" t="s">
        <v>327</v>
      </c>
      <c r="C119" s="78"/>
      <c r="D119" s="81">
        <v>0</v>
      </c>
      <c r="E119" s="81">
        <v>0</v>
      </c>
      <c r="F119" s="81">
        <v>0</v>
      </c>
      <c r="G119" s="81">
        <v>0</v>
      </c>
      <c r="H119" s="81">
        <v>0</v>
      </c>
      <c r="I119" s="81">
        <v>0</v>
      </c>
      <c r="J119" s="81">
        <v>0</v>
      </c>
      <c r="K119" s="81">
        <v>0</v>
      </c>
      <c r="L119" s="81">
        <v>0</v>
      </c>
      <c r="M119" s="81">
        <v>0</v>
      </c>
      <c r="N119" s="81"/>
      <c r="O119" s="81"/>
      <c r="P119" s="81">
        <f>SUM(D119:O119)</f>
        <v>0</v>
      </c>
    </row>
    <row r="120" spans="1:18" x14ac:dyDescent="0.25">
      <c r="A120" s="78" t="s">
        <v>114</v>
      </c>
      <c r="B120" s="78"/>
      <c r="C120" s="78"/>
      <c r="D120" s="83">
        <f t="shared" ref="D120:L120" si="14">SUM(D117:D119)</f>
        <v>0</v>
      </c>
      <c r="E120" s="83">
        <f t="shared" si="14"/>
        <v>0</v>
      </c>
      <c r="F120" s="83">
        <f t="shared" si="14"/>
        <v>0</v>
      </c>
      <c r="G120" s="83">
        <f t="shared" si="14"/>
        <v>0</v>
      </c>
      <c r="H120" s="83">
        <f t="shared" si="14"/>
        <v>0</v>
      </c>
      <c r="I120" s="83">
        <f t="shared" si="14"/>
        <v>0</v>
      </c>
      <c r="J120" s="83">
        <f t="shared" si="14"/>
        <v>0</v>
      </c>
      <c r="K120" s="83">
        <f t="shared" si="14"/>
        <v>0</v>
      </c>
      <c r="L120" s="83">
        <f t="shared" si="14"/>
        <v>0</v>
      </c>
      <c r="M120" s="83">
        <f>SUM(M117:M119)</f>
        <v>0</v>
      </c>
      <c r="N120" s="83">
        <f t="shared" ref="N120:P120" si="15">SUM(N117:N119)</f>
        <v>0</v>
      </c>
      <c r="O120" s="83">
        <f t="shared" si="15"/>
        <v>-128508</v>
      </c>
      <c r="P120" s="83">
        <f t="shared" si="15"/>
        <v>-128508</v>
      </c>
    </row>
    <row r="121" spans="1:18" x14ac:dyDescent="0.25">
      <c r="A121" s="78"/>
      <c r="B121" s="78"/>
      <c r="C121" s="78"/>
      <c r="D121" s="81"/>
      <c r="E121" s="81"/>
      <c r="F121" s="81"/>
      <c r="G121" s="81"/>
      <c r="H121" s="81"/>
      <c r="I121" s="81"/>
      <c r="J121" s="81"/>
      <c r="K121" s="81"/>
      <c r="L121" s="81"/>
      <c r="M121" s="81"/>
      <c r="N121" s="81"/>
      <c r="O121" s="81"/>
      <c r="P121" s="81"/>
    </row>
    <row r="122" spans="1:18" x14ac:dyDescent="0.25">
      <c r="A122" s="78" t="s">
        <v>115</v>
      </c>
      <c r="B122" s="78"/>
      <c r="C122" s="78"/>
      <c r="D122" s="78"/>
      <c r="E122" s="78"/>
      <c r="F122" s="78"/>
      <c r="G122" s="78"/>
      <c r="H122" s="78"/>
      <c r="I122" s="78"/>
      <c r="J122" s="78"/>
      <c r="K122" s="78"/>
      <c r="L122" s="78"/>
      <c r="M122" s="78"/>
      <c r="N122" s="78"/>
      <c r="O122" s="78"/>
      <c r="P122" s="78"/>
    </row>
    <row r="123" spans="1:18" x14ac:dyDescent="0.25">
      <c r="A123" s="78"/>
      <c r="B123" s="78" t="s">
        <v>103</v>
      </c>
      <c r="C123" s="78"/>
      <c r="D123" s="81">
        <v>-3627217</v>
      </c>
      <c r="E123" s="81">
        <v>792412</v>
      </c>
      <c r="F123" s="81">
        <v>-2982167</v>
      </c>
      <c r="G123" s="81">
        <v>-3042381</v>
      </c>
      <c r="H123" s="81">
        <v>-2830192</v>
      </c>
      <c r="I123" s="81">
        <v>-255260</v>
      </c>
      <c r="J123" s="81">
        <v>-147302</v>
      </c>
      <c r="K123" s="81">
        <v>130266</v>
      </c>
      <c r="L123" s="81">
        <v>638100</v>
      </c>
      <c r="M123" s="81">
        <v>3105368</v>
      </c>
      <c r="N123" s="81">
        <v>4733169</v>
      </c>
      <c r="O123" s="81">
        <v>1645863</v>
      </c>
      <c r="P123" s="82">
        <f t="shared" ref="P123:P128" si="16">SUM(D123:O123)</f>
        <v>-1839341</v>
      </c>
      <c r="R123" s="82">
        <v>-1839341</v>
      </c>
    </row>
    <row r="124" spans="1:18" x14ac:dyDescent="0.25">
      <c r="A124" s="78"/>
      <c r="B124" s="78" t="s">
        <v>323</v>
      </c>
      <c r="C124" s="78"/>
      <c r="D124" s="81">
        <v>-1398759</v>
      </c>
      <c r="E124" s="81">
        <v>663173</v>
      </c>
      <c r="F124" s="81">
        <v>-1183036</v>
      </c>
      <c r="G124" s="81">
        <v>-889852</v>
      </c>
      <c r="H124" s="81">
        <v>-931502</v>
      </c>
      <c r="I124" s="81">
        <v>32961</v>
      </c>
      <c r="J124" s="81">
        <v>-100104</v>
      </c>
      <c r="K124" s="81">
        <v>142574</v>
      </c>
      <c r="L124" s="81">
        <v>344478</v>
      </c>
      <c r="M124" s="81">
        <v>1123980</v>
      </c>
      <c r="N124" s="81">
        <v>1417730</v>
      </c>
      <c r="O124" s="81">
        <v>231177</v>
      </c>
      <c r="P124" s="82">
        <f t="shared" si="16"/>
        <v>-547180</v>
      </c>
      <c r="R124" s="82">
        <v>-547180</v>
      </c>
    </row>
    <row r="125" spans="1:18" x14ac:dyDescent="0.25">
      <c r="A125" s="78"/>
      <c r="B125" s="78" t="s">
        <v>324</v>
      </c>
      <c r="C125" s="78"/>
      <c r="D125" s="81">
        <v>-119441</v>
      </c>
      <c r="E125" s="81">
        <v>42521</v>
      </c>
      <c r="F125" s="81">
        <v>-77373</v>
      </c>
      <c r="G125" s="81">
        <v>-45834</v>
      </c>
      <c r="H125" s="81">
        <v>-48353</v>
      </c>
      <c r="I125" s="81">
        <v>46913</v>
      </c>
      <c r="J125" s="81">
        <v>-2048</v>
      </c>
      <c r="K125" s="81">
        <v>38418</v>
      </c>
      <c r="L125" s="81">
        <v>41015</v>
      </c>
      <c r="M125" s="81">
        <v>86853</v>
      </c>
      <c r="N125" s="81">
        <v>43909</v>
      </c>
      <c r="O125" s="81">
        <v>-159399</v>
      </c>
      <c r="P125" s="82">
        <f t="shared" si="16"/>
        <v>-152819</v>
      </c>
      <c r="R125" s="82">
        <v>-152819</v>
      </c>
    </row>
    <row r="126" spans="1:18" x14ac:dyDescent="0.25">
      <c r="A126" s="78"/>
      <c r="B126" s="78" t="s">
        <v>106</v>
      </c>
      <c r="C126" s="78"/>
      <c r="D126" s="81">
        <v>0</v>
      </c>
      <c r="E126" s="81">
        <v>0</v>
      </c>
      <c r="F126" s="81">
        <v>0</v>
      </c>
      <c r="G126" s="81">
        <v>0</v>
      </c>
      <c r="H126" s="81">
        <v>0</v>
      </c>
      <c r="I126" s="81">
        <v>0</v>
      </c>
      <c r="J126" s="81">
        <v>0</v>
      </c>
      <c r="K126" s="81">
        <v>0</v>
      </c>
      <c r="L126" s="81">
        <v>0</v>
      </c>
      <c r="M126" s="81">
        <v>0</v>
      </c>
      <c r="N126" s="81">
        <v>0</v>
      </c>
      <c r="O126" s="81">
        <v>0</v>
      </c>
      <c r="P126" s="82">
        <f t="shared" si="16"/>
        <v>0</v>
      </c>
    </row>
    <row r="127" spans="1:18" x14ac:dyDescent="0.25">
      <c r="A127" s="78"/>
      <c r="B127" s="78" t="s">
        <v>107</v>
      </c>
      <c r="C127" s="78"/>
      <c r="D127" s="81">
        <v>0</v>
      </c>
      <c r="E127" s="81">
        <v>0</v>
      </c>
      <c r="F127" s="81">
        <v>0</v>
      </c>
      <c r="G127" s="81">
        <v>0</v>
      </c>
      <c r="H127" s="81">
        <v>0</v>
      </c>
      <c r="I127" s="81">
        <v>0</v>
      </c>
      <c r="J127" s="81">
        <v>0</v>
      </c>
      <c r="K127" s="81">
        <v>0</v>
      </c>
      <c r="L127" s="81">
        <v>0</v>
      </c>
      <c r="M127" s="81">
        <v>0</v>
      </c>
      <c r="N127" s="81">
        <v>0</v>
      </c>
      <c r="O127" s="81">
        <v>0</v>
      </c>
      <c r="P127" s="82">
        <f t="shared" si="16"/>
        <v>0</v>
      </c>
    </row>
    <row r="128" spans="1:18" x14ac:dyDescent="0.25">
      <c r="A128" s="78"/>
      <c r="B128" s="78" t="s">
        <v>108</v>
      </c>
      <c r="C128" s="78"/>
      <c r="D128" s="81">
        <v>0</v>
      </c>
      <c r="E128" s="81">
        <v>0</v>
      </c>
      <c r="F128" s="81">
        <v>0</v>
      </c>
      <c r="G128" s="81">
        <v>0</v>
      </c>
      <c r="H128" s="81">
        <v>0</v>
      </c>
      <c r="I128" s="81">
        <v>0</v>
      </c>
      <c r="J128" s="81">
        <v>0</v>
      </c>
      <c r="K128" s="81">
        <v>0</v>
      </c>
      <c r="L128" s="81">
        <v>0</v>
      </c>
      <c r="M128" s="81">
        <v>0</v>
      </c>
      <c r="N128" s="81">
        <v>0</v>
      </c>
      <c r="O128" s="81">
        <v>0</v>
      </c>
      <c r="P128" s="82">
        <f t="shared" si="16"/>
        <v>0</v>
      </c>
    </row>
    <row r="129" spans="1:19" x14ac:dyDescent="0.25">
      <c r="A129" s="78" t="s">
        <v>115</v>
      </c>
      <c r="B129" s="78"/>
      <c r="C129" s="78"/>
      <c r="D129" s="84">
        <f t="shared" ref="D129:L129" si="17">SUM(D123:D128)</f>
        <v>-5145417</v>
      </c>
      <c r="E129" s="84">
        <f t="shared" si="17"/>
        <v>1498106</v>
      </c>
      <c r="F129" s="84">
        <f t="shared" si="17"/>
        <v>-4242576</v>
      </c>
      <c r="G129" s="84">
        <f t="shared" si="17"/>
        <v>-3978067</v>
      </c>
      <c r="H129" s="84">
        <f t="shared" si="17"/>
        <v>-3810047</v>
      </c>
      <c r="I129" s="84">
        <f t="shared" si="17"/>
        <v>-175386</v>
      </c>
      <c r="J129" s="84">
        <f t="shared" si="17"/>
        <v>-249454</v>
      </c>
      <c r="K129" s="84">
        <f t="shared" si="17"/>
        <v>311258</v>
      </c>
      <c r="L129" s="84">
        <f t="shared" si="17"/>
        <v>1023593</v>
      </c>
      <c r="M129" s="84">
        <f>SUM(M123:M128)</f>
        <v>4316201</v>
      </c>
      <c r="N129" s="84">
        <f t="shared" ref="N129:P129" si="18">SUM(N123:N128)</f>
        <v>6194808</v>
      </c>
      <c r="O129" s="84">
        <f t="shared" si="18"/>
        <v>1717641</v>
      </c>
      <c r="P129" s="84">
        <f t="shared" si="18"/>
        <v>-2539340</v>
      </c>
    </row>
    <row r="130" spans="1:19" x14ac:dyDescent="0.25">
      <c r="A130" s="78"/>
      <c r="B130" s="78"/>
      <c r="C130" s="78"/>
      <c r="D130" s="78"/>
      <c r="E130" s="78"/>
      <c r="F130" s="78"/>
      <c r="G130" s="78"/>
      <c r="H130" s="78"/>
      <c r="I130" s="78"/>
      <c r="J130" s="78"/>
      <c r="K130" s="78"/>
      <c r="L130" s="78"/>
      <c r="M130" s="78"/>
      <c r="N130" s="78"/>
      <c r="O130" s="78"/>
      <c r="P130" s="78"/>
    </row>
    <row r="131" spans="1:19" x14ac:dyDescent="0.25">
      <c r="A131" s="78" t="s">
        <v>116</v>
      </c>
      <c r="B131" s="78"/>
      <c r="C131" s="78"/>
      <c r="D131" s="78"/>
      <c r="E131" s="78"/>
      <c r="F131" s="78"/>
      <c r="G131" s="78"/>
      <c r="H131" s="78"/>
      <c r="I131" s="78"/>
      <c r="J131" s="78"/>
      <c r="K131" s="78"/>
      <c r="L131" s="78"/>
      <c r="M131" s="78"/>
      <c r="N131" s="78"/>
      <c r="O131" s="78"/>
      <c r="P131" s="78"/>
    </row>
    <row r="132" spans="1:19" x14ac:dyDescent="0.25">
      <c r="A132" s="78"/>
      <c r="B132" s="78" t="s">
        <v>103</v>
      </c>
      <c r="C132" s="78"/>
      <c r="D132" s="81">
        <v>2469710</v>
      </c>
      <c r="E132" s="81">
        <v>-917801</v>
      </c>
      <c r="F132" s="81">
        <v>-187839</v>
      </c>
      <c r="G132" s="81">
        <v>-13799</v>
      </c>
      <c r="H132" s="81">
        <v>2477504</v>
      </c>
      <c r="I132" s="81">
        <v>456349</v>
      </c>
      <c r="J132" s="81">
        <v>0</v>
      </c>
      <c r="K132" s="81">
        <v>0</v>
      </c>
      <c r="L132" s="81">
        <v>0</v>
      </c>
      <c r="M132" s="81">
        <v>169485</v>
      </c>
      <c r="N132" s="81">
        <v>392134</v>
      </c>
      <c r="O132" s="81">
        <v>2011236</v>
      </c>
      <c r="P132" s="82">
        <f t="shared" ref="P132:P137" si="19">SUM(D132:O132)</f>
        <v>6856979</v>
      </c>
      <c r="R132" s="82">
        <v>6856979</v>
      </c>
    </row>
    <row r="133" spans="1:19" x14ac:dyDescent="0.25">
      <c r="A133" s="78"/>
      <c r="B133" s="78" t="s">
        <v>323</v>
      </c>
      <c r="C133" s="78"/>
      <c r="D133" s="81">
        <v>792369</v>
      </c>
      <c r="E133" s="81">
        <v>-296989</v>
      </c>
      <c r="F133" s="81">
        <v>-61700</v>
      </c>
      <c r="G133" s="81">
        <v>-4598</v>
      </c>
      <c r="H133" s="81">
        <v>817214</v>
      </c>
      <c r="I133" s="81">
        <v>151843</v>
      </c>
      <c r="J133" s="81">
        <v>0</v>
      </c>
      <c r="K133" s="81">
        <v>0</v>
      </c>
      <c r="L133" s="81">
        <v>0</v>
      </c>
      <c r="M133" s="81">
        <v>56255</v>
      </c>
      <c r="N133" s="81">
        <v>128342</v>
      </c>
      <c r="O133" s="81">
        <v>656337</v>
      </c>
      <c r="P133" s="82">
        <f t="shared" si="19"/>
        <v>2239073</v>
      </c>
      <c r="R133" s="82">
        <v>2239073</v>
      </c>
    </row>
    <row r="134" spans="1:19" x14ac:dyDescent="0.25">
      <c r="A134" s="78"/>
      <c r="B134" s="78" t="s">
        <v>324</v>
      </c>
      <c r="C134" s="78"/>
      <c r="D134" s="81">
        <v>28932</v>
      </c>
      <c r="E134" s="81">
        <v>-10775</v>
      </c>
      <c r="F134" s="81">
        <v>-2195</v>
      </c>
      <c r="G134" s="81">
        <v>-197</v>
      </c>
      <c r="H134" s="81">
        <v>35346</v>
      </c>
      <c r="I134" s="81">
        <v>6516</v>
      </c>
      <c r="J134" s="81">
        <v>0</v>
      </c>
      <c r="K134" s="81">
        <v>0</v>
      </c>
      <c r="L134" s="81">
        <v>0</v>
      </c>
      <c r="M134" s="81">
        <v>2607</v>
      </c>
      <c r="N134" s="81">
        <v>5529</v>
      </c>
      <c r="O134" s="81">
        <v>2315</v>
      </c>
      <c r="P134" s="82">
        <f t="shared" si="19"/>
        <v>68078</v>
      </c>
      <c r="R134" s="82">
        <v>68078</v>
      </c>
    </row>
    <row r="135" spans="1:19" x14ac:dyDescent="0.25">
      <c r="A135" s="78"/>
      <c r="B135" s="78" t="s">
        <v>106</v>
      </c>
      <c r="C135" s="78"/>
      <c r="D135" s="81">
        <v>0</v>
      </c>
      <c r="E135" s="81">
        <v>0</v>
      </c>
      <c r="F135" s="81">
        <v>0</v>
      </c>
      <c r="G135" s="81">
        <v>0</v>
      </c>
      <c r="H135" s="81">
        <v>0</v>
      </c>
      <c r="I135" s="81">
        <v>0</v>
      </c>
      <c r="J135" s="81">
        <v>0</v>
      </c>
      <c r="K135" s="81">
        <v>0</v>
      </c>
      <c r="L135" s="81">
        <v>0</v>
      </c>
      <c r="M135" s="81">
        <v>0</v>
      </c>
      <c r="N135" s="81">
        <v>0</v>
      </c>
      <c r="O135" s="81">
        <v>0</v>
      </c>
      <c r="P135" s="82">
        <f t="shared" si="19"/>
        <v>0</v>
      </c>
    </row>
    <row r="136" spans="1:19" x14ac:dyDescent="0.25">
      <c r="A136" s="78"/>
      <c r="B136" s="78" t="s">
        <v>107</v>
      </c>
      <c r="C136" s="78"/>
      <c r="D136" s="81">
        <v>0</v>
      </c>
      <c r="E136" s="81">
        <v>0</v>
      </c>
      <c r="F136" s="81">
        <v>0</v>
      </c>
      <c r="G136" s="81">
        <v>0</v>
      </c>
      <c r="H136" s="81">
        <v>0</v>
      </c>
      <c r="I136" s="81">
        <v>0</v>
      </c>
      <c r="J136" s="81">
        <v>0</v>
      </c>
      <c r="K136" s="81">
        <v>0</v>
      </c>
      <c r="L136" s="81">
        <v>0</v>
      </c>
      <c r="M136" s="81">
        <v>0</v>
      </c>
      <c r="N136" s="81">
        <v>0</v>
      </c>
      <c r="O136" s="81">
        <v>0</v>
      </c>
      <c r="P136" s="82">
        <f t="shared" si="19"/>
        <v>0</v>
      </c>
    </row>
    <row r="137" spans="1:19" x14ac:dyDescent="0.25">
      <c r="A137" s="78"/>
      <c r="B137" s="78" t="s">
        <v>108</v>
      </c>
      <c r="C137" s="78"/>
      <c r="D137" s="81">
        <v>0</v>
      </c>
      <c r="E137" s="81">
        <v>0</v>
      </c>
      <c r="F137" s="81">
        <v>0</v>
      </c>
      <c r="G137" s="81">
        <v>0</v>
      </c>
      <c r="H137" s="81">
        <v>0</v>
      </c>
      <c r="I137" s="81">
        <v>0</v>
      </c>
      <c r="J137" s="81">
        <v>0</v>
      </c>
      <c r="K137" s="81">
        <v>0</v>
      </c>
      <c r="L137" s="81">
        <v>0</v>
      </c>
      <c r="M137" s="81">
        <v>0</v>
      </c>
      <c r="N137" s="81">
        <v>0</v>
      </c>
      <c r="O137" s="81">
        <v>0</v>
      </c>
      <c r="P137" s="82">
        <f t="shared" si="19"/>
        <v>0</v>
      </c>
    </row>
    <row r="138" spans="1:19" x14ac:dyDescent="0.25">
      <c r="A138" s="78" t="s">
        <v>117</v>
      </c>
      <c r="B138" s="78"/>
      <c r="C138" s="78"/>
      <c r="D138" s="84">
        <f t="shared" ref="D138:P138" si="20">SUM(D132:D137)</f>
        <v>3291011</v>
      </c>
      <c r="E138" s="84">
        <f t="shared" si="20"/>
        <v>-1225565</v>
      </c>
      <c r="F138" s="84">
        <f t="shared" si="20"/>
        <v>-251734</v>
      </c>
      <c r="G138" s="84">
        <f t="shared" si="20"/>
        <v>-18594</v>
      </c>
      <c r="H138" s="84">
        <f t="shared" si="20"/>
        <v>3330064</v>
      </c>
      <c r="I138" s="84">
        <f t="shared" si="20"/>
        <v>614708</v>
      </c>
      <c r="J138" s="84">
        <f t="shared" si="20"/>
        <v>0</v>
      </c>
      <c r="K138" s="84">
        <f t="shared" si="20"/>
        <v>0</v>
      </c>
      <c r="L138" s="84">
        <f t="shared" si="20"/>
        <v>0</v>
      </c>
      <c r="M138" s="84">
        <f t="shared" si="20"/>
        <v>228347</v>
      </c>
      <c r="N138" s="84">
        <f t="shared" si="20"/>
        <v>526005</v>
      </c>
      <c r="O138" s="84">
        <f t="shared" si="20"/>
        <v>2669888</v>
      </c>
      <c r="P138" s="84">
        <f t="shared" si="20"/>
        <v>9164130</v>
      </c>
    </row>
    <row r="139" spans="1:19" x14ac:dyDescent="0.25">
      <c r="A139" s="78"/>
      <c r="B139" s="78"/>
      <c r="C139" s="78"/>
      <c r="D139" s="78"/>
      <c r="E139" s="78"/>
      <c r="F139" s="78"/>
      <c r="G139" s="78"/>
      <c r="H139" s="78"/>
      <c r="I139" s="78"/>
      <c r="J139" s="78"/>
      <c r="K139" s="78"/>
      <c r="L139" s="78"/>
      <c r="M139" s="78"/>
      <c r="N139" s="78"/>
      <c r="O139" s="78"/>
      <c r="P139" s="78"/>
    </row>
    <row r="140" spans="1:19" x14ac:dyDescent="0.25">
      <c r="A140" s="78" t="s">
        <v>118</v>
      </c>
      <c r="B140" s="78"/>
      <c r="C140" s="78"/>
      <c r="D140" s="78"/>
      <c r="E140" s="78"/>
      <c r="F140" s="78"/>
      <c r="G140" s="78"/>
      <c r="H140" s="78"/>
      <c r="I140" s="78"/>
      <c r="J140" s="78"/>
      <c r="K140" s="78"/>
      <c r="L140" s="78"/>
      <c r="M140" s="78"/>
      <c r="N140" s="78"/>
      <c r="O140" s="78"/>
      <c r="P140" s="78"/>
      <c r="R140" s="85" t="s">
        <v>328</v>
      </c>
    </row>
    <row r="141" spans="1:19" x14ac:dyDescent="0.25">
      <c r="A141" s="78"/>
      <c r="B141" s="78" t="s">
        <v>103</v>
      </c>
      <c r="C141" s="78"/>
      <c r="D141" s="82">
        <f t="shared" ref="D141:L141" si="21">D108+D123+D132</f>
        <v>22749974.40532</v>
      </c>
      <c r="E141" s="82">
        <f t="shared" si="21"/>
        <v>17283079.844430003</v>
      </c>
      <c r="F141" s="82">
        <f t="shared" si="21"/>
        <v>15602672.955779996</v>
      </c>
      <c r="G141" s="82">
        <f t="shared" si="21"/>
        <v>9757851.2954200003</v>
      </c>
      <c r="H141" s="82">
        <f t="shared" si="21"/>
        <v>5768556.9053499997</v>
      </c>
      <c r="I141" s="82">
        <f t="shared" si="21"/>
        <v>3089807.1433300003</v>
      </c>
      <c r="J141" s="82">
        <f t="shared" si="21"/>
        <v>2296430.2068100004</v>
      </c>
      <c r="K141" s="82">
        <f t="shared" si="21"/>
        <v>2216074.0266</v>
      </c>
      <c r="L141" s="82">
        <f t="shared" si="21"/>
        <v>3080267.8390500001</v>
      </c>
      <c r="M141" s="82">
        <f>M108+M123+M132</f>
        <v>8570191.9442299996</v>
      </c>
      <c r="N141" s="82">
        <f t="shared" ref="N141:O141" si="22">N108+N123+N132</f>
        <v>15967978.47535</v>
      </c>
      <c r="O141" s="82">
        <f t="shared" si="22"/>
        <v>22603095.04854</v>
      </c>
      <c r="P141" s="82">
        <f t="shared" ref="P141:P146" si="23">SUM(D141:O141)</f>
        <v>128985980.09021002</v>
      </c>
      <c r="R141" s="54">
        <v>128985980</v>
      </c>
      <c r="S141" s="86"/>
    </row>
    <row r="142" spans="1:19" x14ac:dyDescent="0.25">
      <c r="A142" s="78"/>
      <c r="B142" s="78" t="s">
        <v>323</v>
      </c>
      <c r="C142" s="78"/>
      <c r="D142" s="82">
        <f>D109+D124+D133+D117</f>
        <v>7722631.2324099997</v>
      </c>
      <c r="E142" s="82">
        <f t="shared" ref="E142:O143" si="24">E109+E124+E133+E117</f>
        <v>7198683.7318700003</v>
      </c>
      <c r="F142" s="82">
        <f t="shared" si="24"/>
        <v>5840138.94881</v>
      </c>
      <c r="G142" s="82">
        <f t="shared" si="24"/>
        <v>4508904.3463699995</v>
      </c>
      <c r="H142" s="82">
        <f t="shared" si="24"/>
        <v>3254611.1909800004</v>
      </c>
      <c r="I142" s="82">
        <f t="shared" si="24"/>
        <v>2272338.6935000001</v>
      </c>
      <c r="J142" s="82">
        <f t="shared" si="24"/>
        <v>1660394.0838300001</v>
      </c>
      <c r="K142" s="82">
        <f t="shared" si="24"/>
        <v>1769410.2879699999</v>
      </c>
      <c r="L142" s="82">
        <f t="shared" si="24"/>
        <v>2153847.3076800001</v>
      </c>
      <c r="M142" s="82">
        <f t="shared" si="24"/>
        <v>3956219.13344</v>
      </c>
      <c r="N142" s="82">
        <f t="shared" si="24"/>
        <v>6124876.7364500007</v>
      </c>
      <c r="O142" s="82">
        <f t="shared" si="24"/>
        <v>7867749.9868700001</v>
      </c>
      <c r="P142" s="82">
        <f t="shared" si="23"/>
        <v>54329805.680180006</v>
      </c>
      <c r="R142" s="54">
        <v>54329806</v>
      </c>
      <c r="S142" s="86"/>
    </row>
    <row r="143" spans="1:19" x14ac:dyDescent="0.25">
      <c r="A143" s="78"/>
      <c r="B143" s="78" t="s">
        <v>324</v>
      </c>
      <c r="C143" s="78"/>
      <c r="D143" s="82">
        <f>D110+D125+D134+D118</f>
        <v>146248.59900000005</v>
      </c>
      <c r="E143" s="82">
        <f t="shared" si="24"/>
        <v>215787.02499999997</v>
      </c>
      <c r="F143" s="82">
        <f t="shared" si="24"/>
        <v>107070.03700000001</v>
      </c>
      <c r="G143" s="82">
        <f t="shared" si="24"/>
        <v>115202.42600000004</v>
      </c>
      <c r="H143" s="82">
        <f t="shared" si="24"/>
        <v>95882.024000000034</v>
      </c>
      <c r="I143" s="82">
        <f t="shared" si="24"/>
        <v>165532.93700000003</v>
      </c>
      <c r="J143" s="82">
        <f t="shared" si="24"/>
        <v>99625.29972999997</v>
      </c>
      <c r="K143" s="82">
        <f t="shared" si="24"/>
        <v>156054.32699999999</v>
      </c>
      <c r="L143" s="82">
        <f t="shared" si="24"/>
        <v>137476.11600000004</v>
      </c>
      <c r="M143" s="82">
        <f t="shared" si="24"/>
        <v>220473.66100000002</v>
      </c>
      <c r="N143" s="82">
        <f t="shared" si="24"/>
        <v>214706.14099999995</v>
      </c>
      <c r="O143" s="82">
        <f t="shared" si="24"/>
        <v>-118987.29200996226</v>
      </c>
      <c r="P143" s="82">
        <f t="shared" si="23"/>
        <v>1555071.3007200379</v>
      </c>
      <c r="R143" s="54">
        <v>1555071</v>
      </c>
      <c r="S143" s="86"/>
    </row>
    <row r="144" spans="1:19" x14ac:dyDescent="0.25">
      <c r="A144" s="78"/>
      <c r="B144" s="78" t="s">
        <v>106</v>
      </c>
      <c r="C144" s="78"/>
      <c r="D144" s="82">
        <f>D111+D126+D135+0</f>
        <v>139102.27900000001</v>
      </c>
      <c r="E144" s="82">
        <f t="shared" ref="E144:O144" si="25">E111+E126+E135+0</f>
        <v>117327.56</v>
      </c>
      <c r="F144" s="82">
        <f t="shared" si="25"/>
        <v>113117.076</v>
      </c>
      <c r="G144" s="82">
        <f t="shared" si="25"/>
        <v>93219.127999999997</v>
      </c>
      <c r="H144" s="82">
        <f t="shared" si="25"/>
        <v>72900.841</v>
      </c>
      <c r="I144" s="82">
        <f t="shared" si="25"/>
        <v>47469.584999999992</v>
      </c>
      <c r="J144" s="82">
        <f t="shared" si="25"/>
        <v>41737.258000000002</v>
      </c>
      <c r="K144" s="82">
        <f t="shared" si="25"/>
        <v>43515.435999999994</v>
      </c>
      <c r="L144" s="82">
        <f t="shared" si="25"/>
        <v>44833.752</v>
      </c>
      <c r="M144" s="82">
        <f t="shared" si="25"/>
        <v>68693.988999999987</v>
      </c>
      <c r="N144" s="82">
        <f t="shared" si="25"/>
        <v>88518.618999999992</v>
      </c>
      <c r="O144" s="82">
        <f t="shared" si="25"/>
        <v>114831.204</v>
      </c>
      <c r="P144" s="82">
        <f t="shared" si="23"/>
        <v>985266.72699999996</v>
      </c>
      <c r="R144" s="54">
        <v>985267</v>
      </c>
      <c r="S144" s="86"/>
    </row>
    <row r="145" spans="1:19" x14ac:dyDescent="0.25">
      <c r="A145" s="78"/>
      <c r="B145" s="78" t="s">
        <v>107</v>
      </c>
      <c r="C145" s="78"/>
      <c r="D145" s="82">
        <f>D112+D127+D136+D119</f>
        <v>3967685</v>
      </c>
      <c r="E145" s="82">
        <f t="shared" ref="E145:L145" si="26">E112+E127+E136+E119</f>
        <v>3629622</v>
      </c>
      <c r="F145" s="82">
        <f t="shared" si="26"/>
        <v>3567188</v>
      </c>
      <c r="G145" s="82">
        <f t="shared" si="26"/>
        <v>3349134</v>
      </c>
      <c r="H145" s="82">
        <f t="shared" si="26"/>
        <v>3031743</v>
      </c>
      <c r="I145" s="82">
        <f t="shared" si="26"/>
        <v>2500055</v>
      </c>
      <c r="J145" s="82">
        <f t="shared" si="26"/>
        <v>2416869</v>
      </c>
      <c r="K145" s="82">
        <f t="shared" si="26"/>
        <v>2200204</v>
      </c>
      <c r="L145" s="82">
        <f t="shared" si="26"/>
        <v>2275935</v>
      </c>
      <c r="M145" s="82">
        <f>M112+M127+M136+M119</f>
        <v>2340543</v>
      </c>
      <c r="N145" s="82">
        <f t="shared" ref="N145:O145" si="27">N112+N127+N136+N119</f>
        <v>3067907</v>
      </c>
      <c r="O145" s="82">
        <f t="shared" si="27"/>
        <v>3261051</v>
      </c>
      <c r="P145" s="82">
        <f t="shared" si="23"/>
        <v>35607936</v>
      </c>
      <c r="R145" s="54">
        <v>35607936</v>
      </c>
      <c r="S145" s="86"/>
    </row>
    <row r="146" spans="1:19" x14ac:dyDescent="0.25">
      <c r="A146" s="78"/>
      <c r="B146" s="78" t="s">
        <v>108</v>
      </c>
      <c r="C146" s="78"/>
      <c r="D146" s="82">
        <f t="shared" ref="D146:L146" si="28">D113+D128+D137</f>
        <v>5265223</v>
      </c>
      <c r="E146" s="82">
        <f t="shared" si="28"/>
        <v>4912508</v>
      </c>
      <c r="F146" s="82">
        <f t="shared" si="28"/>
        <v>4547047</v>
      </c>
      <c r="G146" s="82">
        <f t="shared" si="28"/>
        <v>4301458</v>
      </c>
      <c r="H146" s="82">
        <f t="shared" si="28"/>
        <v>4021819</v>
      </c>
      <c r="I146" s="82">
        <f t="shared" si="28"/>
        <v>3930521</v>
      </c>
      <c r="J146" s="82">
        <f t="shared" si="28"/>
        <v>3756231</v>
      </c>
      <c r="K146" s="82">
        <f t="shared" si="28"/>
        <v>4538638</v>
      </c>
      <c r="L146" s="82">
        <f t="shared" si="28"/>
        <v>4562727</v>
      </c>
      <c r="M146" s="82">
        <f>M113+M128+M137</f>
        <v>4393442</v>
      </c>
      <c r="N146" s="82">
        <f t="shared" ref="N146:O146" si="29">N113+N128+N137</f>
        <v>5173852</v>
      </c>
      <c r="O146" s="82">
        <f t="shared" si="29"/>
        <v>5114139</v>
      </c>
      <c r="P146" s="82">
        <f t="shared" si="23"/>
        <v>54517605</v>
      </c>
      <c r="R146" s="86">
        <f>43918147+10599458</f>
        <v>54517605</v>
      </c>
      <c r="S146" s="86"/>
    </row>
    <row r="147" spans="1:19" x14ac:dyDescent="0.25">
      <c r="A147" s="78" t="s">
        <v>120</v>
      </c>
      <c r="B147" s="78"/>
      <c r="C147" s="78"/>
      <c r="D147" s="84">
        <f t="shared" ref="D147:L147" si="30">SUM(D141:D146)</f>
        <v>39990864.515729994</v>
      </c>
      <c r="E147" s="84">
        <f t="shared" si="30"/>
        <v>33357008.1613</v>
      </c>
      <c r="F147" s="84">
        <f t="shared" si="30"/>
        <v>29777234.017589998</v>
      </c>
      <c r="G147" s="84">
        <f t="shared" si="30"/>
        <v>22125769.19579</v>
      </c>
      <c r="H147" s="84">
        <f t="shared" si="30"/>
        <v>16245512.96133</v>
      </c>
      <c r="I147" s="84">
        <f t="shared" si="30"/>
        <v>12005724.358830001</v>
      </c>
      <c r="J147" s="84">
        <f t="shared" si="30"/>
        <v>10271286.848370001</v>
      </c>
      <c r="K147" s="84">
        <f t="shared" si="30"/>
        <v>10923896.077570001</v>
      </c>
      <c r="L147" s="84">
        <f t="shared" si="30"/>
        <v>12255087.014730001</v>
      </c>
      <c r="M147" s="84">
        <f>SUM(M141:M146)</f>
        <v>19549563.727669999</v>
      </c>
      <c r="N147" s="84">
        <f t="shared" ref="N147:P147" si="31">SUM(N141:N146)</f>
        <v>30637838.971799999</v>
      </c>
      <c r="O147" s="84">
        <f t="shared" si="31"/>
        <v>38841878.947400041</v>
      </c>
      <c r="P147" s="84">
        <f t="shared" si="31"/>
        <v>275981664.79811007</v>
      </c>
      <c r="R147" s="87">
        <f>SUM(R141:R146)</f>
        <v>275981665</v>
      </c>
    </row>
    <row r="148" spans="1:19" x14ac:dyDescent="0.25">
      <c r="A148" s="78"/>
      <c r="B148" s="78"/>
      <c r="C148" s="78"/>
      <c r="D148" s="82"/>
      <c r="E148" s="82"/>
      <c r="F148" s="82"/>
      <c r="G148" s="82"/>
      <c r="H148" s="82"/>
      <c r="I148" s="82"/>
      <c r="J148" s="82"/>
      <c r="K148" s="82"/>
      <c r="L148" s="82"/>
      <c r="M148" s="82"/>
      <c r="N148" s="82"/>
      <c r="O148" s="82"/>
      <c r="P148" s="82"/>
    </row>
    <row r="149" spans="1:19" x14ac:dyDescent="0.25">
      <c r="A149" s="78"/>
      <c r="B149" s="78" t="s">
        <v>121</v>
      </c>
      <c r="C149" s="78"/>
      <c r="D149" s="82">
        <f t="shared" ref="D149:L149" si="32">D141</f>
        <v>22749974.40532</v>
      </c>
      <c r="E149" s="82">
        <f t="shared" si="32"/>
        <v>17283079.844430003</v>
      </c>
      <c r="F149" s="82">
        <f t="shared" si="32"/>
        <v>15602672.955779996</v>
      </c>
      <c r="G149" s="82">
        <f t="shared" si="32"/>
        <v>9757851.2954200003</v>
      </c>
      <c r="H149" s="82">
        <f t="shared" si="32"/>
        <v>5768556.9053499997</v>
      </c>
      <c r="I149" s="82">
        <f t="shared" si="32"/>
        <v>3089807.1433300003</v>
      </c>
      <c r="J149" s="82">
        <f t="shared" si="32"/>
        <v>2296430.2068100004</v>
      </c>
      <c r="K149" s="82">
        <f t="shared" si="32"/>
        <v>2216074.0266</v>
      </c>
      <c r="L149" s="82">
        <f t="shared" si="32"/>
        <v>3080267.8390500001</v>
      </c>
      <c r="M149" s="82">
        <f>M141</f>
        <v>8570191.9442299996</v>
      </c>
      <c r="N149" s="82">
        <f t="shared" ref="N149:O149" si="33">N141</f>
        <v>15967978.47535</v>
      </c>
      <c r="O149" s="82">
        <f t="shared" si="33"/>
        <v>22603095.04854</v>
      </c>
      <c r="P149" s="82">
        <f>SUM(D149:O149)</f>
        <v>128985980.09021002</v>
      </c>
    </row>
    <row r="150" spans="1:19" x14ac:dyDescent="0.25">
      <c r="A150" s="78"/>
      <c r="B150" s="78" t="s">
        <v>122</v>
      </c>
      <c r="C150" s="78"/>
      <c r="D150" s="82">
        <v>160611</v>
      </c>
      <c r="E150" s="82">
        <v>160378</v>
      </c>
      <c r="F150" s="82">
        <v>161228</v>
      </c>
      <c r="G150" s="82">
        <v>160935</v>
      </c>
      <c r="H150" s="82">
        <v>161371</v>
      </c>
      <c r="I150" s="82">
        <v>161247</v>
      </c>
      <c r="J150" s="82">
        <v>161588</v>
      </c>
      <c r="K150" s="82">
        <v>161900</v>
      </c>
      <c r="L150" s="82">
        <v>160395</v>
      </c>
      <c r="M150" s="82">
        <v>164606</v>
      </c>
      <c r="N150" s="82">
        <v>163386</v>
      </c>
      <c r="O150" s="82">
        <v>163850</v>
      </c>
      <c r="P150" s="82">
        <f>SUM(D150:O150)</f>
        <v>1941495</v>
      </c>
      <c r="R150" s="86">
        <v>1941495</v>
      </c>
      <c r="S150" t="s">
        <v>123</v>
      </c>
    </row>
    <row r="151" spans="1:19" x14ac:dyDescent="0.25">
      <c r="A151" s="78"/>
      <c r="B151" s="78" t="s">
        <v>124</v>
      </c>
      <c r="C151" s="78"/>
      <c r="D151" s="82">
        <f t="shared" ref="D151:L151" si="34">D149/D150</f>
        <v>141.64642773732808</v>
      </c>
      <c r="E151" s="82">
        <f t="shared" si="34"/>
        <v>107.76465503017873</v>
      </c>
      <c r="F151" s="82">
        <f t="shared" si="34"/>
        <v>96.773965786215769</v>
      </c>
      <c r="G151" s="82">
        <f t="shared" si="34"/>
        <v>60.632250880293292</v>
      </c>
      <c r="H151" s="82">
        <f t="shared" si="34"/>
        <v>35.747172077696732</v>
      </c>
      <c r="I151" s="82">
        <f t="shared" si="34"/>
        <v>19.161951188735298</v>
      </c>
      <c r="J151" s="82">
        <f t="shared" si="34"/>
        <v>14.211638282607622</v>
      </c>
      <c r="K151" s="82">
        <f t="shared" si="34"/>
        <v>13.687918632489191</v>
      </c>
      <c r="L151" s="82">
        <f t="shared" si="34"/>
        <v>19.204263468624333</v>
      </c>
      <c r="M151" s="82">
        <f>M149/M150</f>
        <v>52.06488186475584</v>
      </c>
      <c r="N151" s="82">
        <f t="shared" ref="N151:P151" si="35">N149/N150</f>
        <v>97.731620061388369</v>
      </c>
      <c r="O151" s="82">
        <f t="shared" si="35"/>
        <v>137.94992400695759</v>
      </c>
      <c r="P151" s="82">
        <f t="shared" si="35"/>
        <v>66.436421463980082</v>
      </c>
    </row>
    <row r="152" spans="1:19" x14ac:dyDescent="0.25">
      <c r="A152" s="78"/>
      <c r="B152" s="78" t="s">
        <v>125</v>
      </c>
      <c r="C152" s="78"/>
      <c r="D152" s="82">
        <f>D144</f>
        <v>139102.27900000001</v>
      </c>
      <c r="E152" s="82">
        <f t="shared" ref="E152:O152" si="36">E144</f>
        <v>117327.56</v>
      </c>
      <c r="F152" s="82">
        <f t="shared" si="36"/>
        <v>113117.076</v>
      </c>
      <c r="G152" s="82">
        <f t="shared" si="36"/>
        <v>93219.127999999997</v>
      </c>
      <c r="H152" s="82">
        <f t="shared" si="36"/>
        <v>72900.841</v>
      </c>
      <c r="I152" s="82">
        <f t="shared" si="36"/>
        <v>47469.584999999992</v>
      </c>
      <c r="J152" s="82">
        <f t="shared" si="36"/>
        <v>41737.258000000002</v>
      </c>
      <c r="K152" s="82">
        <f t="shared" si="36"/>
        <v>43515.435999999994</v>
      </c>
      <c r="L152" s="82">
        <f t="shared" si="36"/>
        <v>44833.752</v>
      </c>
      <c r="M152" s="82">
        <f t="shared" si="36"/>
        <v>68693.988999999987</v>
      </c>
      <c r="N152" s="82">
        <f t="shared" si="36"/>
        <v>88518.618999999992</v>
      </c>
      <c r="O152" s="82">
        <f t="shared" si="36"/>
        <v>114831.204</v>
      </c>
      <c r="P152" s="82">
        <f>SUM(D152:O152)</f>
        <v>985266.72699999996</v>
      </c>
      <c r="R152" s="54">
        <v>36840</v>
      </c>
      <c r="S152" t="s">
        <v>126</v>
      </c>
    </row>
    <row r="153" spans="1:19" x14ac:dyDescent="0.25">
      <c r="A153" s="78"/>
      <c r="B153" s="78" t="s">
        <v>127</v>
      </c>
      <c r="C153" s="78"/>
      <c r="D153" s="82">
        <f>D165</f>
        <v>2</v>
      </c>
      <c r="E153" s="82">
        <f t="shared" ref="E153:O153" si="37">E165</f>
        <v>2</v>
      </c>
      <c r="F153" s="82">
        <f t="shared" si="37"/>
        <v>2</v>
      </c>
      <c r="G153" s="82">
        <f t="shared" si="37"/>
        <v>2</v>
      </c>
      <c r="H153" s="82">
        <f t="shared" si="37"/>
        <v>2</v>
      </c>
      <c r="I153" s="82">
        <f t="shared" si="37"/>
        <v>2</v>
      </c>
      <c r="J153" s="82">
        <f t="shared" si="37"/>
        <v>2</v>
      </c>
      <c r="K153" s="82">
        <f t="shared" si="37"/>
        <v>2</v>
      </c>
      <c r="L153" s="82">
        <f t="shared" si="37"/>
        <v>2</v>
      </c>
      <c r="M153" s="82">
        <f t="shared" si="37"/>
        <v>2</v>
      </c>
      <c r="N153" s="82">
        <f t="shared" si="37"/>
        <v>2</v>
      </c>
      <c r="O153" s="82">
        <f t="shared" si="37"/>
        <v>2</v>
      </c>
      <c r="P153" s="82">
        <f>SUM(D153:O153)</f>
        <v>24</v>
      </c>
      <c r="R153" s="54">
        <v>36</v>
      </c>
      <c r="S153" t="s">
        <v>128</v>
      </c>
    </row>
    <row r="154" spans="1:19" x14ac:dyDescent="0.25">
      <c r="A154" s="78"/>
      <c r="B154" s="78" t="s">
        <v>129</v>
      </c>
      <c r="C154" s="78"/>
      <c r="D154" s="82">
        <f>SUM(D142:D144)-D152</f>
        <v>7868879.8314100001</v>
      </c>
      <c r="E154" s="82">
        <f t="shared" ref="E154:L154" si="38">SUM(E142:E144)-E152</f>
        <v>7414470.7568700006</v>
      </c>
      <c r="F154" s="82">
        <f t="shared" si="38"/>
        <v>5947208.9858100004</v>
      </c>
      <c r="G154" s="82">
        <f t="shared" si="38"/>
        <v>4624106.7723699994</v>
      </c>
      <c r="H154" s="82">
        <f t="shared" si="38"/>
        <v>3350493.2149800006</v>
      </c>
      <c r="I154" s="82">
        <f t="shared" si="38"/>
        <v>2437871.6305</v>
      </c>
      <c r="J154" s="82">
        <f t="shared" si="38"/>
        <v>1760019.38356</v>
      </c>
      <c r="K154" s="82">
        <f t="shared" si="38"/>
        <v>1925464.61497</v>
      </c>
      <c r="L154" s="82">
        <f t="shared" si="38"/>
        <v>2291323.42368</v>
      </c>
      <c r="M154" s="82">
        <f>SUM(M142:M144)-M152</f>
        <v>4176692.7944399994</v>
      </c>
      <c r="N154" s="82">
        <f t="shared" ref="N154:O154" si="39">SUM(N142:N144)-N152</f>
        <v>6339582.8774500005</v>
      </c>
      <c r="O154" s="82">
        <f t="shared" si="39"/>
        <v>7748762.6948600374</v>
      </c>
      <c r="P154" s="82">
        <f>SUM(D154:O154)</f>
        <v>55884876.980900034</v>
      </c>
      <c r="R154" s="54">
        <v>24</v>
      </c>
      <c r="S154" t="s">
        <v>130</v>
      </c>
    </row>
    <row r="155" spans="1:19" x14ac:dyDescent="0.25">
      <c r="A155" s="78"/>
      <c r="B155" s="78" t="s">
        <v>131</v>
      </c>
      <c r="C155" s="78"/>
      <c r="D155" s="82">
        <f t="shared" ref="D155" si="40">D166-D153</f>
        <v>3023</v>
      </c>
      <c r="E155" s="82">
        <f>E166-E153</f>
        <v>3037</v>
      </c>
      <c r="F155" s="82">
        <f t="shared" ref="F155:L155" si="41">F166-F153</f>
        <v>3097</v>
      </c>
      <c r="G155" s="82">
        <f t="shared" si="41"/>
        <v>3086</v>
      </c>
      <c r="H155" s="82">
        <f t="shared" si="41"/>
        <v>3066</v>
      </c>
      <c r="I155" s="82">
        <f t="shared" si="41"/>
        <v>3089</v>
      </c>
      <c r="J155" s="82">
        <f t="shared" si="41"/>
        <v>3078</v>
      </c>
      <c r="K155" s="82">
        <f t="shared" si="41"/>
        <v>3070</v>
      </c>
      <c r="L155" s="82">
        <f t="shared" si="41"/>
        <v>2996</v>
      </c>
      <c r="M155" s="82">
        <f>M166-M153</f>
        <v>3147</v>
      </c>
      <c r="N155" s="82">
        <f t="shared" ref="N155:O155" si="42">N166-N153</f>
        <v>3078</v>
      </c>
      <c r="O155" s="82">
        <f t="shared" si="42"/>
        <v>3109</v>
      </c>
      <c r="P155" s="82">
        <f>SUM(D155:O155)</f>
        <v>36876</v>
      </c>
      <c r="R155" s="54">
        <f>SUM(R152:R154)</f>
        <v>36900</v>
      </c>
      <c r="S155" t="s">
        <v>132</v>
      </c>
    </row>
    <row r="156" spans="1:19" x14ac:dyDescent="0.25">
      <c r="A156" s="78"/>
      <c r="B156" s="78" t="s">
        <v>133</v>
      </c>
      <c r="C156" s="78"/>
      <c r="D156" s="82">
        <f t="shared" ref="D156:L156" si="43">D154/D155</f>
        <v>2603.0035830003308</v>
      </c>
      <c r="E156" s="82">
        <f t="shared" si="43"/>
        <v>2441.3799001876855</v>
      </c>
      <c r="F156" s="82">
        <f t="shared" si="43"/>
        <v>1920.3128788537297</v>
      </c>
      <c r="G156" s="82">
        <f t="shared" si="43"/>
        <v>1498.4143786033699</v>
      </c>
      <c r="H156" s="82">
        <f t="shared" si="43"/>
        <v>1092.7896982974562</v>
      </c>
      <c r="I156" s="82">
        <f t="shared" si="43"/>
        <v>789.21062819682743</v>
      </c>
      <c r="J156" s="82">
        <f t="shared" si="43"/>
        <v>571.80616749837554</v>
      </c>
      <c r="K156" s="82">
        <f t="shared" si="43"/>
        <v>627.18717100000003</v>
      </c>
      <c r="L156" s="82">
        <f t="shared" si="43"/>
        <v>764.79420016021368</v>
      </c>
      <c r="M156" s="82">
        <f>M154/M155</f>
        <v>1327.1982187607243</v>
      </c>
      <c r="N156" s="82">
        <f t="shared" ref="N156:P156" si="44">N154/N155</f>
        <v>2059.6435599252763</v>
      </c>
      <c r="O156" s="82">
        <f t="shared" si="44"/>
        <v>2492.3649710067666</v>
      </c>
      <c r="P156" s="82">
        <f t="shared" si="44"/>
        <v>1515.4809898280735</v>
      </c>
      <c r="R156" s="54">
        <v>-24</v>
      </c>
      <c r="S156" t="s">
        <v>134</v>
      </c>
    </row>
    <row r="157" spans="1:19" x14ac:dyDescent="0.25">
      <c r="A157" s="78"/>
      <c r="B157" s="78"/>
      <c r="C157" s="78"/>
      <c r="D157" s="78"/>
      <c r="E157" s="78"/>
      <c r="F157" s="78"/>
      <c r="G157" s="78"/>
      <c r="H157" s="78"/>
      <c r="I157" s="78"/>
      <c r="J157" s="78"/>
      <c r="K157" s="78"/>
      <c r="L157" s="78"/>
      <c r="M157" s="78"/>
      <c r="N157" s="78"/>
      <c r="O157" s="78"/>
      <c r="P157" s="78"/>
      <c r="R157" s="54">
        <f>R155+R156</f>
        <v>36876</v>
      </c>
      <c r="S157" t="s">
        <v>135</v>
      </c>
    </row>
    <row r="158" spans="1:19" x14ac:dyDescent="0.25">
      <c r="A158" s="78"/>
      <c r="B158" s="78" t="s">
        <v>136</v>
      </c>
      <c r="C158" s="78"/>
      <c r="D158" s="88">
        <f>D147/$P147</f>
        <v>0.14490406290209412</v>
      </c>
      <c r="E158" s="88">
        <f t="shared" ref="E158:O158" si="45">E147/$P147</f>
        <v>0.12086675462915908</v>
      </c>
      <c r="F158" s="88">
        <f t="shared" si="45"/>
        <v>0.10789569676439575</v>
      </c>
      <c r="G158" s="88">
        <f t="shared" si="45"/>
        <v>8.01711563410408E-2</v>
      </c>
      <c r="H158" s="88">
        <f t="shared" si="45"/>
        <v>5.8864464685413585E-2</v>
      </c>
      <c r="I158" s="88">
        <f t="shared" si="45"/>
        <v>4.3501891212999945E-2</v>
      </c>
      <c r="J158" s="88">
        <f t="shared" si="45"/>
        <v>3.7217279835904296E-2</v>
      </c>
      <c r="K158" s="88">
        <f t="shared" si="45"/>
        <v>3.9581963119039811E-2</v>
      </c>
      <c r="L158" s="88">
        <f t="shared" si="45"/>
        <v>4.4405439121091655E-2</v>
      </c>
      <c r="M158" s="88">
        <f t="shared" si="45"/>
        <v>7.0836458436364477E-2</v>
      </c>
      <c r="N158" s="88">
        <f t="shared" si="45"/>
        <v>0.11101403781375338</v>
      </c>
      <c r="O158" s="88">
        <f t="shared" si="45"/>
        <v>0.14074079513874296</v>
      </c>
      <c r="P158" s="89">
        <f>SUM(D158:O158)</f>
        <v>0.99999999999999989</v>
      </c>
    </row>
    <row r="160" spans="1:19" x14ac:dyDescent="0.25">
      <c r="B160" t="s">
        <v>137</v>
      </c>
      <c r="D160" s="86">
        <f>D152-D144</f>
        <v>0</v>
      </c>
      <c r="E160" s="86">
        <f t="shared" ref="E160:L160" si="46">E152-E144</f>
        <v>0</v>
      </c>
      <c r="F160" s="86">
        <f t="shared" si="46"/>
        <v>0</v>
      </c>
      <c r="G160" s="86">
        <f t="shared" si="46"/>
        <v>0</v>
      </c>
      <c r="H160" s="86">
        <f t="shared" si="46"/>
        <v>0</v>
      </c>
      <c r="I160" s="86">
        <f t="shared" si="46"/>
        <v>0</v>
      </c>
      <c r="J160" s="86">
        <f t="shared" si="46"/>
        <v>0</v>
      </c>
      <c r="K160" s="86">
        <f t="shared" si="46"/>
        <v>0</v>
      </c>
      <c r="L160" s="86">
        <f t="shared" si="46"/>
        <v>0</v>
      </c>
      <c r="M160" s="86">
        <f>M152-M144</f>
        <v>0</v>
      </c>
      <c r="N160" s="86">
        <f t="shared" ref="N160:O160" si="47">N152-N144</f>
        <v>0</v>
      </c>
      <c r="O160" s="86">
        <f t="shared" si="47"/>
        <v>0</v>
      </c>
      <c r="P160" s="86">
        <f>SUM(D160:O160)</f>
        <v>0</v>
      </c>
    </row>
    <row r="162" spans="2:16" x14ac:dyDescent="0.25">
      <c r="B162" t="s">
        <v>138</v>
      </c>
      <c r="D162" s="54">
        <v>3000</v>
      </c>
      <c r="E162" s="82">
        <v>3014</v>
      </c>
      <c r="F162" s="54">
        <v>3074</v>
      </c>
      <c r="G162" s="54">
        <v>3063</v>
      </c>
      <c r="H162" s="54">
        <v>3043</v>
      </c>
      <c r="I162" s="54">
        <v>3066</v>
      </c>
      <c r="J162" s="54">
        <v>3055</v>
      </c>
      <c r="K162" s="54">
        <v>3046</v>
      </c>
      <c r="L162" s="54">
        <v>2976</v>
      </c>
      <c r="M162" s="54">
        <v>3122</v>
      </c>
      <c r="N162" s="54">
        <v>3055</v>
      </c>
      <c r="O162" s="54">
        <v>3326</v>
      </c>
      <c r="P162" s="86">
        <f>SUM(D162:O162)</f>
        <v>36840</v>
      </c>
    </row>
    <row r="163" spans="2:16" x14ac:dyDescent="0.25">
      <c r="B163" t="s">
        <v>139</v>
      </c>
      <c r="D163" s="54">
        <v>23</v>
      </c>
      <c r="E163" s="54">
        <v>23</v>
      </c>
      <c r="F163" s="54">
        <v>23</v>
      </c>
      <c r="G163" s="54">
        <v>23</v>
      </c>
      <c r="H163" s="54">
        <v>23</v>
      </c>
      <c r="I163" s="54">
        <v>23</v>
      </c>
      <c r="J163" s="54">
        <v>23</v>
      </c>
      <c r="K163" s="54">
        <v>24</v>
      </c>
      <c r="L163" s="54">
        <v>20</v>
      </c>
      <c r="M163" s="54">
        <v>25</v>
      </c>
      <c r="N163" s="54">
        <v>23</v>
      </c>
      <c r="O163" s="54">
        <f>-208-9</f>
        <v>-217</v>
      </c>
      <c r="P163" s="54">
        <f>SUM(D163:O163)</f>
        <v>36</v>
      </c>
    </row>
    <row r="164" spans="2:16" x14ac:dyDescent="0.25">
      <c r="B164" t="s">
        <v>140</v>
      </c>
      <c r="D164" s="54">
        <v>0</v>
      </c>
      <c r="E164" s="54">
        <v>0</v>
      </c>
      <c r="F164" s="54">
        <v>0</v>
      </c>
      <c r="G164" s="54">
        <v>0</v>
      </c>
      <c r="H164" s="54">
        <v>0</v>
      </c>
      <c r="I164" s="54">
        <v>0</v>
      </c>
      <c r="J164" s="54">
        <v>0</v>
      </c>
      <c r="K164" s="54">
        <v>0</v>
      </c>
      <c r="L164" s="54">
        <v>0</v>
      </c>
      <c r="M164" s="54">
        <v>0</v>
      </c>
      <c r="N164" s="54">
        <v>0</v>
      </c>
      <c r="O164" s="54">
        <v>0</v>
      </c>
      <c r="P164" s="54">
        <f>SUM(D164:O164)</f>
        <v>0</v>
      </c>
    </row>
    <row r="165" spans="2:16" x14ac:dyDescent="0.25">
      <c r="B165" t="s">
        <v>141</v>
      </c>
      <c r="D165" s="54">
        <f>3-1</f>
        <v>2</v>
      </c>
      <c r="E165" s="54">
        <v>2</v>
      </c>
      <c r="F165" s="54">
        <v>2</v>
      </c>
      <c r="G165" s="54">
        <v>2</v>
      </c>
      <c r="H165" s="54">
        <v>2</v>
      </c>
      <c r="I165" s="54">
        <v>2</v>
      </c>
      <c r="J165" s="54">
        <v>2</v>
      </c>
      <c r="K165" s="54">
        <v>2</v>
      </c>
      <c r="L165" s="54">
        <v>2</v>
      </c>
      <c r="M165" s="54">
        <v>2</v>
      </c>
      <c r="N165" s="54">
        <v>2</v>
      </c>
      <c r="O165" s="54">
        <v>2</v>
      </c>
      <c r="P165" s="54">
        <f>SUM(D165:O165)</f>
        <v>24</v>
      </c>
    </row>
    <row r="166" spans="2:16" x14ac:dyDescent="0.25">
      <c r="D166" s="87">
        <f t="shared" ref="D166:L166" si="48">SUM(D162:D165)</f>
        <v>3025</v>
      </c>
      <c r="E166" s="87">
        <f t="shared" si="48"/>
        <v>3039</v>
      </c>
      <c r="F166" s="87">
        <f t="shared" si="48"/>
        <v>3099</v>
      </c>
      <c r="G166" s="87">
        <f t="shared" si="48"/>
        <v>3088</v>
      </c>
      <c r="H166" s="87">
        <f t="shared" si="48"/>
        <v>3068</v>
      </c>
      <c r="I166" s="87">
        <f t="shared" si="48"/>
        <v>3091</v>
      </c>
      <c r="J166" s="87">
        <f t="shared" si="48"/>
        <v>3080</v>
      </c>
      <c r="K166" s="87">
        <f t="shared" si="48"/>
        <v>3072</v>
      </c>
      <c r="L166" s="87">
        <f t="shared" si="48"/>
        <v>2998</v>
      </c>
      <c r="M166" s="87">
        <f>SUM(M162:M165)</f>
        <v>3149</v>
      </c>
      <c r="N166" s="87">
        <f t="shared" ref="N166:P166" si="49">SUM(N162:N165)</f>
        <v>3080</v>
      </c>
      <c r="O166" s="87">
        <f t="shared" si="49"/>
        <v>3111</v>
      </c>
      <c r="P166" s="87">
        <f t="shared" si="49"/>
        <v>36900</v>
      </c>
    </row>
  </sheetData>
  <mergeCells count="19">
    <mergeCell ref="A73:P73"/>
    <mergeCell ref="A43:E43"/>
    <mergeCell ref="A44:E44"/>
    <mergeCell ref="A45:E45"/>
    <mergeCell ref="A70:P70"/>
    <mergeCell ref="A71:P71"/>
    <mergeCell ref="A72:P72"/>
    <mergeCell ref="A42:E42"/>
    <mergeCell ref="A1:I1"/>
    <mergeCell ref="S1:W1"/>
    <mergeCell ref="A2:I2"/>
    <mergeCell ref="S2:W2"/>
    <mergeCell ref="A3:I3"/>
    <mergeCell ref="S3:W3"/>
    <mergeCell ref="A4:I4"/>
    <mergeCell ref="S4:W4"/>
    <mergeCell ref="S5:W5"/>
    <mergeCell ref="S6:W6"/>
    <mergeCell ref="H22:I2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66"/>
  <sheetViews>
    <sheetView workbookViewId="0">
      <selection sqref="A1:I1"/>
    </sheetView>
  </sheetViews>
  <sheetFormatPr defaultRowHeight="15" x14ac:dyDescent="0.25"/>
  <cols>
    <col min="1" max="1" width="4.5703125" customWidth="1"/>
    <col min="2" max="2" width="48.7109375" customWidth="1"/>
    <col min="3" max="3" width="19.42578125" customWidth="1"/>
    <col min="4" max="4" width="18.42578125" customWidth="1"/>
    <col min="5" max="5" width="19.42578125" customWidth="1"/>
    <col min="6" max="6" width="18.140625" customWidth="1"/>
    <col min="7" max="7" width="16.42578125" customWidth="1"/>
    <col min="8" max="8" width="14.42578125" customWidth="1"/>
    <col min="9" max="9" width="13.7109375" customWidth="1"/>
    <col min="10" max="10" width="11.7109375" customWidth="1"/>
    <col min="11" max="11" width="12" customWidth="1"/>
    <col min="12" max="12" width="11.85546875" customWidth="1"/>
    <col min="13" max="13" width="11.42578125" customWidth="1"/>
    <col min="15" max="15" width="6.5703125" customWidth="1"/>
    <col min="16" max="16" width="42" customWidth="1"/>
    <col min="18" max="18" width="20.140625" customWidth="1"/>
  </cols>
  <sheetData>
    <row r="1" spans="1:18" ht="15.75" x14ac:dyDescent="0.25">
      <c r="A1" s="414" t="s">
        <v>0</v>
      </c>
      <c r="B1" s="414"/>
      <c r="C1" s="414"/>
      <c r="D1" s="414"/>
      <c r="E1" s="414"/>
      <c r="F1" s="414"/>
      <c r="G1" s="414"/>
      <c r="H1" s="414"/>
      <c r="I1" s="414"/>
      <c r="N1" s="415" t="s">
        <v>142</v>
      </c>
      <c r="O1" s="415"/>
      <c r="P1" s="415"/>
      <c r="Q1" s="415"/>
      <c r="R1" s="415"/>
    </row>
    <row r="2" spans="1:18" ht="15.75" x14ac:dyDescent="0.25">
      <c r="A2" s="414" t="s">
        <v>1</v>
      </c>
      <c r="B2" s="414"/>
      <c r="C2" s="414"/>
      <c r="D2" s="414"/>
      <c r="E2" s="414"/>
      <c r="F2" s="414"/>
      <c r="G2" s="414"/>
      <c r="H2" s="414"/>
      <c r="I2" s="414"/>
      <c r="N2" s="415" t="s">
        <v>143</v>
      </c>
      <c r="O2" s="415"/>
      <c r="P2" s="415"/>
      <c r="Q2" s="415"/>
      <c r="R2" s="415"/>
    </row>
    <row r="3" spans="1:18" ht="15.75" x14ac:dyDescent="0.25">
      <c r="A3" s="416" t="s">
        <v>2</v>
      </c>
      <c r="B3" s="416"/>
      <c r="C3" s="416"/>
      <c r="D3" s="416"/>
      <c r="E3" s="416"/>
      <c r="F3" s="416"/>
      <c r="G3" s="416"/>
      <c r="H3" s="416"/>
      <c r="I3" s="416"/>
      <c r="N3" s="417" t="s">
        <v>144</v>
      </c>
      <c r="O3" s="417"/>
      <c r="P3" s="417"/>
      <c r="Q3" s="417"/>
      <c r="R3" s="417"/>
    </row>
    <row r="4" spans="1:18" ht="15.75" x14ac:dyDescent="0.25">
      <c r="A4" s="418" t="s">
        <v>3</v>
      </c>
      <c r="B4" s="418"/>
      <c r="C4" s="418"/>
      <c r="D4" s="418"/>
      <c r="E4" s="418"/>
      <c r="F4" s="418"/>
      <c r="G4" s="418"/>
      <c r="H4" s="418"/>
      <c r="I4" s="418"/>
      <c r="N4" s="419" t="s">
        <v>145</v>
      </c>
      <c r="O4" s="419"/>
      <c r="P4" s="419"/>
      <c r="Q4" s="419"/>
      <c r="R4" s="419"/>
    </row>
    <row r="5" spans="1:18" ht="15.75" x14ac:dyDescent="0.25">
      <c r="A5" s="1"/>
      <c r="B5" s="1"/>
      <c r="C5" s="1"/>
      <c r="D5" s="1"/>
      <c r="E5" s="1"/>
      <c r="F5" s="1"/>
      <c r="G5" s="1"/>
      <c r="H5" s="1"/>
      <c r="I5" s="1"/>
      <c r="N5" s="419" t="s">
        <v>146</v>
      </c>
      <c r="O5" s="419"/>
      <c r="P5" s="419"/>
      <c r="Q5" s="419"/>
      <c r="R5" s="419"/>
    </row>
    <row r="6" spans="1:18" ht="15.75" x14ac:dyDescent="0.25">
      <c r="A6" s="2"/>
      <c r="B6" s="2"/>
      <c r="C6" s="3" t="s">
        <v>4</v>
      </c>
      <c r="D6" s="3" t="s">
        <v>5</v>
      </c>
      <c r="E6" s="3" t="s">
        <v>6</v>
      </c>
      <c r="F6" s="3" t="s">
        <v>7</v>
      </c>
      <c r="G6" s="3" t="s">
        <v>8</v>
      </c>
      <c r="H6" s="4" t="s">
        <v>9</v>
      </c>
      <c r="I6" s="3" t="s">
        <v>9</v>
      </c>
      <c r="K6" s="3" t="s">
        <v>60</v>
      </c>
      <c r="N6" s="420" t="str">
        <f>A4</f>
        <v>Washington Docket No. UG-170486 Compliance Filing</v>
      </c>
      <c r="O6" s="420"/>
      <c r="P6" s="420"/>
      <c r="Q6" s="420"/>
      <c r="R6" s="420"/>
    </row>
    <row r="7" spans="1:18" ht="15.75" x14ac:dyDescent="0.25">
      <c r="A7" s="2"/>
      <c r="B7" s="2"/>
      <c r="C7" s="5" t="s">
        <v>10</v>
      </c>
      <c r="D7" s="5" t="s">
        <v>11</v>
      </c>
      <c r="E7" s="5" t="s">
        <v>12</v>
      </c>
      <c r="F7" s="5" t="s">
        <v>13</v>
      </c>
      <c r="G7" s="5" t="s">
        <v>14</v>
      </c>
      <c r="H7" s="6">
        <v>132</v>
      </c>
      <c r="I7" s="5" t="s">
        <v>15</v>
      </c>
      <c r="K7" s="3">
        <v>132</v>
      </c>
      <c r="N7" s="90"/>
      <c r="O7" s="91"/>
      <c r="P7" s="92"/>
      <c r="Q7" s="93"/>
      <c r="R7" s="94"/>
    </row>
    <row r="8" spans="1:18" ht="15.75" x14ac:dyDescent="0.25">
      <c r="A8" s="2"/>
      <c r="B8" s="2"/>
      <c r="C8" s="2"/>
      <c r="D8" s="2"/>
      <c r="E8" s="2"/>
      <c r="F8" s="2"/>
      <c r="G8" s="2"/>
      <c r="H8" s="7"/>
      <c r="I8" s="8"/>
      <c r="N8" s="90" t="s">
        <v>147</v>
      </c>
      <c r="O8" s="91"/>
      <c r="P8" s="90"/>
      <c r="Q8" s="93"/>
      <c r="R8" s="90"/>
    </row>
    <row r="9" spans="1:18" ht="15.75" x14ac:dyDescent="0.25">
      <c r="A9" s="2">
        <v>1</v>
      </c>
      <c r="B9" s="2" t="s">
        <v>16</v>
      </c>
      <c r="C9" s="9">
        <f>SUM(D9:I9)</f>
        <v>88831000</v>
      </c>
      <c r="D9" s="10">
        <v>67622000</v>
      </c>
      <c r="E9" s="10">
        <v>15462000</v>
      </c>
      <c r="F9" s="10">
        <f>1024000</f>
        <v>1024000</v>
      </c>
      <c r="G9" s="10">
        <f>190000-K9</f>
        <v>0</v>
      </c>
      <c r="H9" s="11">
        <f>K9</f>
        <v>190000</v>
      </c>
      <c r="I9" s="12">
        <f>2921000+1612000</f>
        <v>4533000</v>
      </c>
      <c r="K9" s="53">
        <v>190000</v>
      </c>
      <c r="N9" s="95" t="s">
        <v>148</v>
      </c>
      <c r="O9" s="91"/>
      <c r="P9" s="95" t="s">
        <v>149</v>
      </c>
      <c r="Q9" s="93"/>
      <c r="R9" s="95" t="s">
        <v>150</v>
      </c>
    </row>
    <row r="10" spans="1:18" ht="15.75" x14ac:dyDescent="0.25">
      <c r="A10" s="2">
        <v>2</v>
      </c>
      <c r="B10" s="13" t="s">
        <v>17</v>
      </c>
      <c r="C10" s="9">
        <f>SUM(D10:I10)</f>
        <v>-2145000</v>
      </c>
      <c r="D10" s="10">
        <v>-1663000</v>
      </c>
      <c r="E10" s="10">
        <v>-380000</v>
      </c>
      <c r="F10" s="10">
        <v>-25000</v>
      </c>
      <c r="G10" s="10">
        <f>-5000-K10</f>
        <v>0</v>
      </c>
      <c r="H10" s="11">
        <f>K10</f>
        <v>-5000</v>
      </c>
      <c r="I10" s="12">
        <v>-72000</v>
      </c>
      <c r="K10" s="53">
        <v>-5000</v>
      </c>
      <c r="N10" s="90"/>
      <c r="O10" s="91"/>
      <c r="P10" s="93"/>
      <c r="Q10" s="93"/>
      <c r="R10" s="93"/>
    </row>
    <row r="11" spans="1:18" ht="15.75" x14ac:dyDescent="0.25">
      <c r="A11" s="2">
        <v>3</v>
      </c>
      <c r="B11" s="2" t="s">
        <v>18</v>
      </c>
      <c r="C11" s="9">
        <f>SUM(D11:I11)</f>
        <v>86686000</v>
      </c>
      <c r="D11" s="14">
        <f t="shared" ref="D11:I11" si="0">D9+D10</f>
        <v>65959000</v>
      </c>
      <c r="E11" s="14">
        <f t="shared" si="0"/>
        <v>15082000</v>
      </c>
      <c r="F11" s="14">
        <f t="shared" si="0"/>
        <v>999000</v>
      </c>
      <c r="G11" s="14">
        <f>G9+G10</f>
        <v>0</v>
      </c>
      <c r="H11" s="15">
        <f t="shared" si="0"/>
        <v>185000</v>
      </c>
      <c r="I11" s="16">
        <f t="shared" si="0"/>
        <v>4461000</v>
      </c>
      <c r="K11" s="53">
        <f>K9+K10</f>
        <v>185000</v>
      </c>
      <c r="N11" s="96">
        <v>1</v>
      </c>
      <c r="O11" s="91"/>
      <c r="P11" s="94" t="s">
        <v>55</v>
      </c>
      <c r="Q11" s="93"/>
      <c r="R11" s="93">
        <v>1</v>
      </c>
    </row>
    <row r="12" spans="1:18" ht="15.75" x14ac:dyDescent="0.25">
      <c r="A12" s="2"/>
      <c r="B12" s="2"/>
      <c r="C12" s="2"/>
      <c r="D12" s="2"/>
      <c r="E12" s="2"/>
      <c r="F12" s="2"/>
      <c r="G12" s="2"/>
      <c r="H12" s="7"/>
      <c r="I12" s="8"/>
      <c r="N12" s="96"/>
      <c r="O12" s="91"/>
      <c r="P12" s="94"/>
      <c r="Q12" s="93"/>
      <c r="R12" s="93"/>
    </row>
    <row r="13" spans="1:18" ht="15.75" x14ac:dyDescent="0.25">
      <c r="A13" s="2">
        <v>4</v>
      </c>
      <c r="B13" s="2" t="s">
        <v>19</v>
      </c>
      <c r="C13" s="17">
        <f>SUM(D13:I13)</f>
        <v>252141683</v>
      </c>
      <c r="D13" s="18">
        <v>119446617</v>
      </c>
      <c r="E13" s="18">
        <v>47951720</v>
      </c>
      <c r="F13" s="18">
        <f>4115331</f>
        <v>4115331</v>
      </c>
      <c r="G13" s="18">
        <f>901267-K13</f>
        <v>0</v>
      </c>
      <c r="H13" s="19">
        <f>K13</f>
        <v>901267</v>
      </c>
      <c r="I13" s="20">
        <f>30719529+39386921+9620298</f>
        <v>79726748</v>
      </c>
      <c r="K13" s="54">
        <v>901267</v>
      </c>
      <c r="N13" s="96"/>
      <c r="O13" s="91"/>
      <c r="P13" s="94" t="s">
        <v>151</v>
      </c>
      <c r="Q13" s="93"/>
      <c r="R13" s="93"/>
    </row>
    <row r="14" spans="1:18" ht="15.75" x14ac:dyDescent="0.25">
      <c r="A14" s="2">
        <v>5</v>
      </c>
      <c r="B14" s="2" t="s">
        <v>20</v>
      </c>
      <c r="C14" s="21"/>
      <c r="D14" s="22">
        <v>0</v>
      </c>
      <c r="E14" s="22">
        <v>0</v>
      </c>
      <c r="F14" s="22">
        <v>0</v>
      </c>
      <c r="G14" s="22">
        <v>0</v>
      </c>
      <c r="H14" s="23"/>
      <c r="I14" s="24"/>
      <c r="K14" s="39">
        <f>G14</f>
        <v>0</v>
      </c>
      <c r="N14" s="96">
        <v>2</v>
      </c>
      <c r="O14" s="97"/>
      <c r="P14" s="93" t="s">
        <v>152</v>
      </c>
      <c r="Q14" s="93"/>
      <c r="R14" s="98">
        <v>6.1830000000000001E-3</v>
      </c>
    </row>
    <row r="15" spans="1:18" ht="15.75" x14ac:dyDescent="0.25">
      <c r="A15" s="2">
        <v>6</v>
      </c>
      <c r="B15" s="2" t="s">
        <v>21</v>
      </c>
      <c r="C15" s="9">
        <f>SUM(D15:G15)</f>
        <v>0</v>
      </c>
      <c r="D15" s="9">
        <f>D13*D14</f>
        <v>0</v>
      </c>
      <c r="E15" s="9">
        <f>E13*E14</f>
        <v>0</v>
      </c>
      <c r="F15" s="9">
        <f>F13*F14</f>
        <v>0</v>
      </c>
      <c r="G15" s="9">
        <f>G13*G14</f>
        <v>0</v>
      </c>
      <c r="H15" s="23"/>
      <c r="I15" s="24"/>
      <c r="K15" s="53">
        <f>K13*K14</f>
        <v>0</v>
      </c>
      <c r="N15" s="96"/>
      <c r="O15" s="91"/>
      <c r="P15" s="93"/>
      <c r="Q15" s="93"/>
      <c r="R15" s="98"/>
    </row>
    <row r="16" spans="1:18" ht="15.75" x14ac:dyDescent="0.25">
      <c r="A16" s="2"/>
      <c r="B16" s="2"/>
      <c r="C16" s="2"/>
      <c r="D16" s="2"/>
      <c r="E16" s="2"/>
      <c r="F16" s="2"/>
      <c r="G16" s="2"/>
      <c r="H16" s="23"/>
      <c r="I16" s="24"/>
      <c r="N16" s="96">
        <v>3</v>
      </c>
      <c r="O16" s="91"/>
      <c r="P16" s="93" t="s">
        <v>153</v>
      </c>
      <c r="Q16" s="93"/>
      <c r="R16" s="99">
        <v>2E-3</v>
      </c>
    </row>
    <row r="17" spans="1:18" ht="15.75" x14ac:dyDescent="0.25">
      <c r="A17" s="2">
        <v>7</v>
      </c>
      <c r="B17" s="2" t="s">
        <v>22</v>
      </c>
      <c r="C17" s="9">
        <f>SUM(D17:G17)</f>
        <v>82040000</v>
      </c>
      <c r="D17" s="14">
        <f>D11-D15</f>
        <v>65959000</v>
      </c>
      <c r="E17" s="14">
        <f>E11-E15</f>
        <v>15082000</v>
      </c>
      <c r="F17" s="14">
        <f>F11-F15</f>
        <v>999000</v>
      </c>
      <c r="G17" s="14">
        <f>G11-G15</f>
        <v>0</v>
      </c>
      <c r="H17" s="15"/>
      <c r="I17" s="8"/>
      <c r="K17" s="38">
        <f>K11-K15</f>
        <v>185000</v>
      </c>
      <c r="N17" s="96"/>
      <c r="O17" s="91"/>
      <c r="P17" s="93"/>
      <c r="Q17" s="93"/>
      <c r="R17" s="98"/>
    </row>
    <row r="18" spans="1:18" ht="15.75" x14ac:dyDescent="0.25">
      <c r="A18" s="2"/>
      <c r="B18" s="2"/>
      <c r="C18" s="2"/>
      <c r="D18" s="2"/>
      <c r="E18" s="2"/>
      <c r="F18" s="2"/>
      <c r="G18" s="2"/>
      <c r="H18" s="7"/>
      <c r="I18" s="8"/>
      <c r="N18" s="96">
        <v>4</v>
      </c>
      <c r="O18" s="91"/>
      <c r="P18" s="93" t="s">
        <v>154</v>
      </c>
      <c r="Q18" s="93"/>
      <c r="R18" s="98">
        <v>3.8281999999999997E-2</v>
      </c>
    </row>
    <row r="19" spans="1:18" ht="15.75" x14ac:dyDescent="0.25">
      <c r="A19" s="2">
        <v>8</v>
      </c>
      <c r="B19" s="2" t="s">
        <v>23</v>
      </c>
      <c r="C19" s="17">
        <f>SUM(D19:I19)</f>
        <v>1881282</v>
      </c>
      <c r="D19" s="25">
        <v>1847462</v>
      </c>
      <c r="E19" s="25">
        <v>32983</v>
      </c>
      <c r="F19" s="25">
        <f>273</f>
        <v>273</v>
      </c>
      <c r="G19" s="25">
        <f>24-K19</f>
        <v>0</v>
      </c>
      <c r="H19" s="19">
        <f>K19</f>
        <v>24</v>
      </c>
      <c r="I19" s="20">
        <f>480+48+12</f>
        <v>540</v>
      </c>
      <c r="K19">
        <v>24</v>
      </c>
      <c r="N19" s="96"/>
      <c r="O19" s="91"/>
      <c r="P19" s="93"/>
      <c r="Q19" s="93"/>
      <c r="R19" s="100"/>
    </row>
    <row r="20" spans="1:18" ht="15.75" x14ac:dyDescent="0.25">
      <c r="A20" s="2">
        <v>9</v>
      </c>
      <c r="B20" s="2" t="s">
        <v>24</v>
      </c>
      <c r="C20" s="9"/>
      <c r="D20" s="26">
        <v>9.5</v>
      </c>
      <c r="E20" s="26">
        <v>97.25</v>
      </c>
      <c r="F20" s="26">
        <v>240.44</v>
      </c>
      <c r="G20" s="27">
        <f>G19*G18</f>
        <v>0</v>
      </c>
      <c r="H20" s="28"/>
      <c r="I20" s="8"/>
      <c r="K20" s="34">
        <f>G20</f>
        <v>0</v>
      </c>
      <c r="N20" s="96">
        <v>6</v>
      </c>
      <c r="O20" s="91"/>
      <c r="P20" s="93" t="s">
        <v>155</v>
      </c>
      <c r="Q20" s="93"/>
      <c r="R20" s="101">
        <f>SUM(R14:R18)</f>
        <v>4.6464999999999992E-2</v>
      </c>
    </row>
    <row r="21" spans="1:18" ht="15.75" x14ac:dyDescent="0.25">
      <c r="A21" s="2">
        <v>10</v>
      </c>
      <c r="B21" s="2" t="s">
        <v>25</v>
      </c>
      <c r="C21" s="9">
        <f>SUM(D21:G21)</f>
        <v>20824125.870000001</v>
      </c>
      <c r="D21" s="29">
        <f>D20*D19</f>
        <v>17550889</v>
      </c>
      <c r="E21" s="29">
        <f>E20*E19</f>
        <v>3207596.75</v>
      </c>
      <c r="F21" s="29">
        <f>F20*F19</f>
        <v>65640.12</v>
      </c>
      <c r="G21" s="29">
        <f>G20*G19</f>
        <v>0</v>
      </c>
      <c r="H21" s="28"/>
      <c r="I21" s="8"/>
      <c r="K21" s="38">
        <f>K19*K20</f>
        <v>0</v>
      </c>
      <c r="N21" s="96"/>
      <c r="O21" s="91"/>
      <c r="P21" s="93"/>
      <c r="Q21" s="93"/>
      <c r="R21" s="93"/>
    </row>
    <row r="22" spans="1:18" ht="15.75" x14ac:dyDescent="0.25">
      <c r="A22" s="2"/>
      <c r="B22" s="2"/>
      <c r="C22" s="9"/>
      <c r="D22" s="29"/>
      <c r="E22" s="29"/>
      <c r="F22" s="29"/>
      <c r="G22" s="29"/>
      <c r="H22" s="421" t="s">
        <v>26</v>
      </c>
      <c r="I22" s="422"/>
      <c r="K22" s="38"/>
      <c r="N22" s="96">
        <v>7</v>
      </c>
      <c r="O22" s="91"/>
      <c r="P22" s="93" t="s">
        <v>156</v>
      </c>
      <c r="Q22" s="93"/>
      <c r="R22" s="93">
        <f>R11-R20</f>
        <v>0.95353500000000002</v>
      </c>
    </row>
    <row r="23" spans="1:18" ht="15.75" x14ac:dyDescent="0.25">
      <c r="A23" s="2">
        <v>11</v>
      </c>
      <c r="B23" s="2" t="s">
        <v>27</v>
      </c>
      <c r="C23" s="9">
        <f>SUM(D23:G23)</f>
        <v>61215874.130000003</v>
      </c>
      <c r="D23" s="29">
        <f>D17-D21</f>
        <v>48408111</v>
      </c>
      <c r="E23" s="29">
        <f>E17-E21</f>
        <v>11874403.25</v>
      </c>
      <c r="F23" s="29">
        <f>F17-F21</f>
        <v>933359.88</v>
      </c>
      <c r="G23" s="29">
        <f>G17-G21</f>
        <v>0</v>
      </c>
      <c r="H23" s="421"/>
      <c r="I23" s="422"/>
      <c r="K23" s="38">
        <f>K17-K21</f>
        <v>185000</v>
      </c>
      <c r="N23" s="96"/>
      <c r="O23" s="91"/>
      <c r="P23" s="93"/>
      <c r="Q23" s="93"/>
      <c r="R23" s="93"/>
    </row>
    <row r="24" spans="1:18" ht="15.75" x14ac:dyDescent="0.25">
      <c r="A24" s="30"/>
      <c r="B24" s="30"/>
      <c r="C24" s="30"/>
      <c r="D24" s="30"/>
      <c r="E24" s="30"/>
      <c r="F24" s="30"/>
      <c r="G24" s="30"/>
      <c r="H24" s="31"/>
      <c r="I24" s="32"/>
      <c r="N24" s="96">
        <v>8</v>
      </c>
      <c r="O24" s="91"/>
      <c r="P24" s="93" t="s">
        <v>157</v>
      </c>
      <c r="Q24" s="102"/>
      <c r="R24" s="93">
        <f>R22*0.21</f>
        <v>0.20024234999999999</v>
      </c>
    </row>
    <row r="25" spans="1:18" ht="15.75" x14ac:dyDescent="0.25">
      <c r="C25" s="2"/>
      <c r="D25" s="33" t="s">
        <v>28</v>
      </c>
      <c r="E25" s="2" t="s">
        <v>29</v>
      </c>
      <c r="N25" s="91"/>
      <c r="O25" s="91"/>
      <c r="P25" s="93"/>
      <c r="Q25" s="93"/>
      <c r="R25" s="93"/>
    </row>
    <row r="26" spans="1:18" ht="15.75" x14ac:dyDescent="0.25">
      <c r="A26" s="2">
        <v>12</v>
      </c>
      <c r="B26" s="2" t="s">
        <v>30</v>
      </c>
      <c r="C26" s="17"/>
      <c r="D26" s="17">
        <f>D19/12</f>
        <v>153955.16666666666</v>
      </c>
      <c r="E26" s="17">
        <f>(E19+F19+G19)/12</f>
        <v>2771.3333333333335</v>
      </c>
      <c r="N26" s="96">
        <v>9</v>
      </c>
      <c r="O26" s="91"/>
      <c r="P26" s="93" t="s">
        <v>143</v>
      </c>
      <c r="Q26" s="93"/>
      <c r="R26" s="93">
        <f>ROUND(R22-R24,6)</f>
        <v>0.75329299999999999</v>
      </c>
    </row>
    <row r="27" spans="1:18" ht="15.75" x14ac:dyDescent="0.25">
      <c r="A27" s="2">
        <v>13</v>
      </c>
      <c r="B27" s="2" t="s">
        <v>31</v>
      </c>
      <c r="C27" s="17"/>
      <c r="D27" s="17">
        <f>D13</f>
        <v>119446617</v>
      </c>
      <c r="E27" s="17">
        <f>E13+F13+G13</f>
        <v>52067051</v>
      </c>
      <c r="N27" s="91"/>
      <c r="O27" s="91"/>
      <c r="P27" s="93"/>
      <c r="Q27" s="93"/>
      <c r="R27" s="103"/>
    </row>
    <row r="28" spans="1:18" ht="15.75" x14ac:dyDescent="0.25">
      <c r="A28" s="2">
        <v>14</v>
      </c>
      <c r="B28" s="2" t="s">
        <v>32</v>
      </c>
      <c r="C28" s="9"/>
      <c r="D28" s="9">
        <f>D21</f>
        <v>17550889</v>
      </c>
      <c r="E28" s="9">
        <f>E21+F21+G21</f>
        <v>3273236.87</v>
      </c>
      <c r="F28" s="34"/>
      <c r="N28" s="91"/>
      <c r="O28" s="91"/>
      <c r="P28" s="104" t="s">
        <v>158</v>
      </c>
      <c r="Q28" s="93"/>
      <c r="R28" s="103"/>
    </row>
    <row r="29" spans="1:18" ht="15.75" x14ac:dyDescent="0.25">
      <c r="A29" s="2">
        <v>15</v>
      </c>
      <c r="B29" s="2" t="s">
        <v>33</v>
      </c>
      <c r="C29" s="17"/>
      <c r="D29" s="17">
        <f>D19</f>
        <v>1847462</v>
      </c>
      <c r="E29" s="17">
        <f>E19+F19+G19</f>
        <v>33256</v>
      </c>
      <c r="F29" s="34"/>
    </row>
    <row r="30" spans="1:18" ht="15.75" x14ac:dyDescent="0.25">
      <c r="A30" s="2">
        <v>16</v>
      </c>
      <c r="B30" s="2" t="s">
        <v>34</v>
      </c>
      <c r="C30" s="9"/>
      <c r="D30" s="35">
        <f>D28/D29</f>
        <v>9.5</v>
      </c>
      <c r="E30" s="35">
        <f>E28/E29</f>
        <v>98.425453151311046</v>
      </c>
      <c r="F30" s="34"/>
      <c r="N30" t="s">
        <v>159</v>
      </c>
    </row>
    <row r="31" spans="1:18" x14ac:dyDescent="0.25">
      <c r="D31" s="34"/>
    </row>
    <row r="32" spans="1:18" ht="18.75" x14ac:dyDescent="0.3">
      <c r="D32" s="34"/>
      <c r="N32" s="36" t="s">
        <v>160</v>
      </c>
    </row>
    <row r="33" spans="1:6" ht="18.75" x14ac:dyDescent="0.3">
      <c r="A33" s="36" t="s">
        <v>35</v>
      </c>
      <c r="B33" s="37"/>
      <c r="D33" s="34"/>
    </row>
    <row r="34" spans="1:6" x14ac:dyDescent="0.25">
      <c r="D34" s="34"/>
    </row>
    <row r="35" spans="1:6" x14ac:dyDescent="0.25">
      <c r="D35" s="34"/>
    </row>
    <row r="36" spans="1:6" x14ac:dyDescent="0.25">
      <c r="C36" t="s">
        <v>36</v>
      </c>
      <c r="D36" s="38"/>
      <c r="F36" s="38"/>
    </row>
    <row r="37" spans="1:6" x14ac:dyDescent="0.25">
      <c r="C37" t="s">
        <v>37</v>
      </c>
      <c r="D37" s="39">
        <f>D23/D13</f>
        <v>0.40526983698500224</v>
      </c>
      <c r="E37" s="39">
        <f>E23/E13</f>
        <v>0.24763247804249774</v>
      </c>
      <c r="F37" s="39">
        <f>F23/F13</f>
        <v>0.22680068261823896</v>
      </c>
    </row>
    <row r="38" spans="1:6" x14ac:dyDescent="0.25">
      <c r="C38" t="s">
        <v>38</v>
      </c>
      <c r="D38" s="39">
        <f>D37+D14</f>
        <v>0.40526983698500224</v>
      </c>
      <c r="E38" s="39">
        <f>E37+E14</f>
        <v>0.24763247804249774</v>
      </c>
      <c r="F38" s="39">
        <f>F37+F14</f>
        <v>0.22680068261823896</v>
      </c>
    </row>
    <row r="42" spans="1:6" ht="15.75" x14ac:dyDescent="0.25">
      <c r="A42" s="414" t="s">
        <v>0</v>
      </c>
      <c r="B42" s="414"/>
      <c r="C42" s="414"/>
      <c r="D42" s="414"/>
      <c r="E42" s="414"/>
    </row>
    <row r="43" spans="1:6" ht="15.75" x14ac:dyDescent="0.25">
      <c r="A43" s="414" t="s">
        <v>1</v>
      </c>
      <c r="B43" s="414"/>
      <c r="C43" s="414"/>
      <c r="D43" s="414"/>
      <c r="E43" s="414"/>
    </row>
    <row r="44" spans="1:6" ht="15.75" x14ac:dyDescent="0.25">
      <c r="A44" s="416" t="s">
        <v>39</v>
      </c>
      <c r="B44" s="416"/>
      <c r="C44" s="416"/>
      <c r="D44" s="416"/>
      <c r="E44" s="416"/>
    </row>
    <row r="45" spans="1:6" ht="15.75" x14ac:dyDescent="0.25">
      <c r="A45" s="424" t="str">
        <f>A4</f>
        <v>Washington Docket No. UG-170486 Compliance Filing</v>
      </c>
      <c r="B45" s="424"/>
      <c r="C45" s="424"/>
      <c r="D45" s="424"/>
      <c r="E45" s="424"/>
    </row>
    <row r="46" spans="1:6" ht="15.75" x14ac:dyDescent="0.25">
      <c r="A46" s="40"/>
      <c r="B46" s="40"/>
      <c r="C46" s="40"/>
      <c r="D46" s="40"/>
      <c r="E46" s="40"/>
    </row>
    <row r="47" spans="1:6" ht="63" x14ac:dyDescent="0.25">
      <c r="A47" s="41" t="s">
        <v>40</v>
      </c>
      <c r="B47" s="42"/>
      <c r="C47" s="41" t="s">
        <v>41</v>
      </c>
      <c r="D47" s="41" t="s">
        <v>42</v>
      </c>
      <c r="E47" s="41" t="s">
        <v>43</v>
      </c>
    </row>
    <row r="48" spans="1:6" ht="15.75" x14ac:dyDescent="0.25">
      <c r="A48" s="40"/>
      <c r="B48" s="43" t="s">
        <v>44</v>
      </c>
      <c r="C48" s="43" t="s">
        <v>45</v>
      </c>
      <c r="D48" s="43" t="s">
        <v>46</v>
      </c>
      <c r="E48" s="43" t="s">
        <v>47</v>
      </c>
    </row>
    <row r="49" spans="1:5" ht="15.75" x14ac:dyDescent="0.25">
      <c r="A49" s="43"/>
      <c r="B49" s="44"/>
      <c r="C49" s="43"/>
      <c r="D49" s="43"/>
      <c r="E49" s="43"/>
    </row>
    <row r="50" spans="1:5" ht="15.75" x14ac:dyDescent="0.25">
      <c r="A50" s="43">
        <v>1</v>
      </c>
      <c r="B50" s="44" t="s">
        <v>48</v>
      </c>
      <c r="C50" s="43" t="s">
        <v>35</v>
      </c>
      <c r="D50" s="45">
        <f>D23</f>
        <v>48408111</v>
      </c>
      <c r="E50" s="45">
        <f>SUM(E23:G23)</f>
        <v>12807763.130000001</v>
      </c>
    </row>
    <row r="51" spans="1:5" ht="15.75" x14ac:dyDescent="0.25">
      <c r="A51" s="43"/>
      <c r="B51" s="44"/>
      <c r="C51" s="43"/>
      <c r="D51" s="43"/>
      <c r="E51" s="43"/>
    </row>
    <row r="52" spans="1:5" ht="15.75" x14ac:dyDescent="0.25">
      <c r="A52" s="43">
        <v>2</v>
      </c>
      <c r="B52" s="40" t="s">
        <v>49</v>
      </c>
      <c r="C52" s="43" t="s">
        <v>50</v>
      </c>
      <c r="D52" s="46">
        <f>D26</f>
        <v>153955.16666666666</v>
      </c>
      <c r="E52" s="46">
        <f>E26</f>
        <v>2771.3333333333335</v>
      </c>
    </row>
    <row r="53" spans="1:5" ht="15.75" x14ac:dyDescent="0.25">
      <c r="A53" s="43"/>
      <c r="B53" s="44"/>
      <c r="C53" s="43"/>
      <c r="D53" s="43"/>
      <c r="E53" s="43"/>
    </row>
    <row r="54" spans="1:5" ht="15.75" x14ac:dyDescent="0.25">
      <c r="A54" s="43">
        <v>3</v>
      </c>
      <c r="B54" s="44" t="s">
        <v>51</v>
      </c>
      <c r="C54" s="43" t="str">
        <f>"("&amp;A50&amp;") / ("&amp;A$11&amp;")"</f>
        <v>(1) / (3)</v>
      </c>
      <c r="D54" s="47">
        <f>ROUND(D50/D52,2)</f>
        <v>314.43</v>
      </c>
      <c r="E54" s="47">
        <f>ROUND(E50/E52,2)</f>
        <v>4621.5200000000004</v>
      </c>
    </row>
    <row r="55" spans="1:5" ht="15.75" x14ac:dyDescent="0.25">
      <c r="A55" s="43"/>
      <c r="B55" s="44"/>
      <c r="C55" s="43"/>
      <c r="D55" s="43"/>
      <c r="E55" s="43"/>
    </row>
    <row r="56" spans="1:5" ht="15.75" x14ac:dyDescent="0.25">
      <c r="A56" s="43"/>
      <c r="B56" s="44"/>
      <c r="C56" s="43"/>
      <c r="D56" s="43"/>
      <c r="E56" s="43"/>
    </row>
    <row r="57" spans="1:5" ht="15.75" x14ac:dyDescent="0.25">
      <c r="A57" s="43"/>
      <c r="B57" s="48" t="s">
        <v>52</v>
      </c>
      <c r="C57" s="40"/>
      <c r="D57" s="49"/>
      <c r="E57" s="49"/>
    </row>
    <row r="58" spans="1:5" ht="15.75" x14ac:dyDescent="0.25">
      <c r="A58" s="43"/>
      <c r="B58" s="48" t="s">
        <v>53</v>
      </c>
      <c r="C58" s="40"/>
      <c r="D58" s="40"/>
      <c r="E58" s="40"/>
    </row>
    <row r="59" spans="1:5" ht="15.75" x14ac:dyDescent="0.25">
      <c r="A59" s="30"/>
      <c r="B59" s="30"/>
      <c r="C59" s="30"/>
      <c r="D59" s="30"/>
      <c r="E59" s="30"/>
    </row>
    <row r="60" spans="1:5" ht="15.75" x14ac:dyDescent="0.25">
      <c r="A60" s="30"/>
      <c r="B60" s="30"/>
      <c r="C60" s="30"/>
      <c r="D60" s="30"/>
      <c r="E60" s="30"/>
    </row>
    <row r="61" spans="1:5" ht="18.75" x14ac:dyDescent="0.3">
      <c r="A61" s="36" t="s">
        <v>54</v>
      </c>
      <c r="B61" s="30"/>
      <c r="C61" s="30"/>
      <c r="D61" s="30"/>
      <c r="E61" s="30"/>
    </row>
    <row r="62" spans="1:5" ht="15.75" x14ac:dyDescent="0.25">
      <c r="A62" s="30"/>
      <c r="B62" s="30"/>
      <c r="C62" s="30"/>
      <c r="D62" s="30"/>
      <c r="E62" s="30"/>
    </row>
    <row r="63" spans="1:5" ht="15.75" x14ac:dyDescent="0.25">
      <c r="A63" s="30"/>
      <c r="B63" s="30"/>
      <c r="C63" s="50" t="s">
        <v>55</v>
      </c>
      <c r="D63" s="30"/>
      <c r="E63" s="30"/>
    </row>
    <row r="64" spans="1:5" ht="15.75" x14ac:dyDescent="0.25">
      <c r="A64" s="30"/>
      <c r="B64" s="30"/>
      <c r="C64" s="50" t="s">
        <v>56</v>
      </c>
      <c r="D64" s="51">
        <f>D54*D52</f>
        <v>48408123.055</v>
      </c>
      <c r="E64" s="51">
        <f>E54*E52</f>
        <v>12807772.426666668</v>
      </c>
    </row>
    <row r="65" spans="1:16" ht="15.75" x14ac:dyDescent="0.25">
      <c r="A65" s="30"/>
      <c r="B65" s="30"/>
      <c r="C65" s="50" t="s">
        <v>57</v>
      </c>
      <c r="D65" s="51">
        <f>D28</f>
        <v>17550889</v>
      </c>
      <c r="E65" s="51">
        <f>E28</f>
        <v>3273236.87</v>
      </c>
    </row>
    <row r="66" spans="1:16" ht="15.75" x14ac:dyDescent="0.25">
      <c r="A66" s="30"/>
      <c r="B66" s="30"/>
      <c r="C66" s="50" t="s">
        <v>58</v>
      </c>
      <c r="D66" s="51">
        <f>D15</f>
        <v>0</v>
      </c>
      <c r="E66" s="51">
        <f>SUM(E15:G15)</f>
        <v>0</v>
      </c>
    </row>
    <row r="67" spans="1:16" ht="15.75" x14ac:dyDescent="0.25">
      <c r="A67" s="30"/>
      <c r="B67" s="30"/>
      <c r="C67" s="50" t="s">
        <v>59</v>
      </c>
      <c r="D67" s="52">
        <f>SUM(D64:D66)</f>
        <v>65959012.055</v>
      </c>
      <c r="E67" s="52">
        <f>SUM(E64:E66)</f>
        <v>16081009.296666667</v>
      </c>
    </row>
    <row r="70" spans="1:16" ht="18.75" x14ac:dyDescent="0.3">
      <c r="A70" s="423" t="s">
        <v>0</v>
      </c>
      <c r="B70" s="423"/>
      <c r="C70" s="423"/>
      <c r="D70" s="423"/>
      <c r="E70" s="423"/>
      <c r="F70" s="423"/>
      <c r="G70" s="423"/>
      <c r="H70" s="423"/>
      <c r="I70" s="423"/>
      <c r="J70" s="423"/>
      <c r="K70" s="423"/>
      <c r="L70" s="423"/>
      <c r="M70" s="423"/>
      <c r="N70" s="423"/>
      <c r="O70" s="423"/>
      <c r="P70" s="423"/>
    </row>
    <row r="71" spans="1:16" ht="18.75" x14ac:dyDescent="0.3">
      <c r="A71" s="423" t="str">
        <f>A2</f>
        <v>Natural Gas Decoupling Mechanism</v>
      </c>
      <c r="B71" s="423"/>
      <c r="C71" s="423"/>
      <c r="D71" s="423"/>
      <c r="E71" s="423"/>
      <c r="F71" s="423"/>
      <c r="G71" s="423"/>
      <c r="H71" s="423"/>
      <c r="I71" s="423"/>
      <c r="J71" s="423"/>
      <c r="K71" s="423"/>
      <c r="L71" s="423"/>
      <c r="M71" s="423"/>
      <c r="N71" s="423"/>
      <c r="O71" s="423"/>
      <c r="P71" s="423"/>
    </row>
    <row r="72" spans="1:16" ht="18.75" x14ac:dyDescent="0.3">
      <c r="A72" s="425" t="s">
        <v>61</v>
      </c>
      <c r="B72" s="423"/>
      <c r="C72" s="423"/>
      <c r="D72" s="423"/>
      <c r="E72" s="423"/>
      <c r="F72" s="423"/>
      <c r="G72" s="423"/>
      <c r="H72" s="423"/>
      <c r="I72" s="423"/>
      <c r="J72" s="423"/>
      <c r="K72" s="423"/>
      <c r="L72" s="423"/>
      <c r="M72" s="423"/>
      <c r="N72" s="423"/>
      <c r="O72" s="423"/>
      <c r="P72" s="423"/>
    </row>
    <row r="73" spans="1:16" ht="18.75" x14ac:dyDescent="0.3">
      <c r="A73" s="423" t="str">
        <f>A4</f>
        <v>Washington Docket No. UG-170486 Compliance Filing</v>
      </c>
      <c r="B73" s="423"/>
      <c r="C73" s="423"/>
      <c r="D73" s="423"/>
      <c r="E73" s="423"/>
      <c r="F73" s="423"/>
      <c r="G73" s="423"/>
      <c r="H73" s="423"/>
      <c r="I73" s="423"/>
      <c r="J73" s="423"/>
      <c r="K73" s="423"/>
      <c r="L73" s="423"/>
      <c r="M73" s="423"/>
      <c r="N73" s="423"/>
      <c r="O73" s="423"/>
      <c r="P73" s="423"/>
    </row>
    <row r="74" spans="1:16" x14ac:dyDescent="0.25">
      <c r="A74" s="55"/>
      <c r="B74" s="55"/>
      <c r="C74" s="56"/>
      <c r="D74" s="56"/>
      <c r="E74" s="56"/>
      <c r="F74" s="56"/>
      <c r="G74" s="56"/>
      <c r="H74" s="55"/>
      <c r="I74" s="55"/>
      <c r="J74" s="55"/>
      <c r="K74" s="55"/>
      <c r="L74" s="55"/>
      <c r="M74" s="55"/>
      <c r="N74" s="55"/>
      <c r="O74" s="55"/>
      <c r="P74" s="55"/>
    </row>
    <row r="75" spans="1:16" ht="38.25" x14ac:dyDescent="0.25">
      <c r="A75" s="57" t="s">
        <v>40</v>
      </c>
      <c r="B75" s="58"/>
      <c r="C75" s="59" t="s">
        <v>41</v>
      </c>
      <c r="D75" s="60" t="s">
        <v>62</v>
      </c>
      <c r="E75" s="60" t="s">
        <v>63</v>
      </c>
      <c r="F75" s="60" t="s">
        <v>64</v>
      </c>
      <c r="G75" s="60" t="s">
        <v>65</v>
      </c>
      <c r="H75" s="60" t="s">
        <v>66</v>
      </c>
      <c r="I75" s="60" t="s">
        <v>67</v>
      </c>
      <c r="J75" s="60" t="s">
        <v>68</v>
      </c>
      <c r="K75" s="60" t="s">
        <v>69</v>
      </c>
      <c r="L75" s="60" t="s">
        <v>70</v>
      </c>
      <c r="M75" s="60" t="s">
        <v>71</v>
      </c>
      <c r="N75" s="60" t="s">
        <v>72</v>
      </c>
      <c r="O75" s="60" t="s">
        <v>73</v>
      </c>
      <c r="P75" s="57" t="s">
        <v>10</v>
      </c>
    </row>
    <row r="76" spans="1:16" x14ac:dyDescent="0.25">
      <c r="A76" s="55"/>
      <c r="B76" s="56" t="s">
        <v>44</v>
      </c>
      <c r="C76" s="56" t="s">
        <v>45</v>
      </c>
      <c r="D76" s="56" t="s">
        <v>46</v>
      </c>
      <c r="E76" s="56" t="s">
        <v>47</v>
      </c>
      <c r="F76" s="56" t="s">
        <v>74</v>
      </c>
      <c r="G76" s="56" t="s">
        <v>75</v>
      </c>
      <c r="H76" s="56" t="s">
        <v>76</v>
      </c>
      <c r="I76" s="56" t="s">
        <v>77</v>
      </c>
      <c r="J76" s="56" t="s">
        <v>78</v>
      </c>
      <c r="K76" s="56" t="s">
        <v>79</v>
      </c>
      <c r="L76" s="56" t="s">
        <v>80</v>
      </c>
      <c r="M76" s="56" t="s">
        <v>81</v>
      </c>
      <c r="N76" s="56" t="s">
        <v>82</v>
      </c>
      <c r="O76" s="56" t="s">
        <v>83</v>
      </c>
      <c r="P76" s="56" t="s">
        <v>84</v>
      </c>
    </row>
    <row r="77" spans="1:16" x14ac:dyDescent="0.25">
      <c r="A77" s="56">
        <v>1</v>
      </c>
      <c r="B77" s="61"/>
      <c r="C77" s="56"/>
      <c r="D77" s="56"/>
      <c r="E77" s="56"/>
      <c r="F77" s="56"/>
      <c r="G77" s="56"/>
      <c r="H77" s="56"/>
      <c r="I77" s="56"/>
      <c r="J77" s="55"/>
      <c r="K77" s="55"/>
      <c r="L77" s="55"/>
      <c r="M77" s="55"/>
      <c r="N77" s="55"/>
      <c r="O77" s="55"/>
      <c r="P77" s="55"/>
    </row>
    <row r="78" spans="1:16" x14ac:dyDescent="0.25">
      <c r="A78" s="56">
        <f t="shared" ref="A78:A97" si="1">A77+1</f>
        <v>2</v>
      </c>
      <c r="B78" s="62" t="s">
        <v>85</v>
      </c>
      <c r="C78" s="56"/>
      <c r="D78" s="55"/>
      <c r="E78" s="55"/>
      <c r="F78" s="55"/>
      <c r="G78" s="55"/>
      <c r="H78" s="63"/>
      <c r="I78" s="63"/>
      <c r="J78" s="55"/>
      <c r="K78" s="55"/>
      <c r="L78" s="55"/>
      <c r="M78" s="55"/>
      <c r="N78" s="55"/>
      <c r="O78" s="55"/>
      <c r="P78" s="64"/>
    </row>
    <row r="79" spans="1:16" x14ac:dyDescent="0.25">
      <c r="A79" s="56">
        <f t="shared" si="1"/>
        <v>3</v>
      </c>
      <c r="B79" s="65" t="s">
        <v>86</v>
      </c>
      <c r="C79" s="56"/>
      <c r="D79" s="55"/>
      <c r="E79" s="55"/>
      <c r="F79" s="55"/>
      <c r="G79" s="55"/>
      <c r="H79" s="55"/>
      <c r="I79" s="55"/>
      <c r="J79" s="55"/>
      <c r="K79" s="55"/>
      <c r="L79" s="55"/>
      <c r="M79" s="55"/>
      <c r="N79" s="55"/>
      <c r="O79" s="55"/>
      <c r="P79" s="64"/>
    </row>
    <row r="80" spans="1:16" x14ac:dyDescent="0.25">
      <c r="A80" s="56">
        <f t="shared" si="1"/>
        <v>4</v>
      </c>
      <c r="B80" s="66" t="s">
        <v>87</v>
      </c>
      <c r="C80" s="56" t="s">
        <v>88</v>
      </c>
      <c r="D80" s="67">
        <f>D149</f>
        <v>21124002.23914</v>
      </c>
      <c r="E80" s="67">
        <f t="shared" ref="E80:O80" si="2">E149</f>
        <v>16814800.765939999</v>
      </c>
      <c r="F80" s="67">
        <f t="shared" si="2"/>
        <v>13702397.229009999</v>
      </c>
      <c r="G80" s="67">
        <f t="shared" si="2"/>
        <v>8379182.4339899998</v>
      </c>
      <c r="H80" s="67">
        <f t="shared" si="2"/>
        <v>4880475.12</v>
      </c>
      <c r="I80" s="67">
        <f t="shared" si="2"/>
        <v>3154867.2390000001</v>
      </c>
      <c r="J80" s="67">
        <f t="shared" si="2"/>
        <v>2296192.6940000001</v>
      </c>
      <c r="K80" s="67">
        <f t="shared" si="2"/>
        <v>2357533.6895300001</v>
      </c>
      <c r="L80" s="67">
        <f t="shared" si="2"/>
        <v>3002763.5796699999</v>
      </c>
      <c r="M80" s="67">
        <f t="shared" si="2"/>
        <v>7503054.3530000001</v>
      </c>
      <c r="N80" s="67">
        <f t="shared" si="2"/>
        <v>14548063.854</v>
      </c>
      <c r="O80" s="67">
        <f t="shared" si="2"/>
        <v>21683284.129999999</v>
      </c>
      <c r="P80" s="68">
        <f>SUM(D80:O80)</f>
        <v>119446617.32728</v>
      </c>
    </row>
    <row r="81" spans="1:16" x14ac:dyDescent="0.25">
      <c r="A81" s="56">
        <f t="shared" si="1"/>
        <v>5</v>
      </c>
      <c r="B81" s="55" t="s">
        <v>89</v>
      </c>
      <c r="C81" s="69" t="s">
        <v>90</v>
      </c>
      <c r="D81" s="70">
        <f t="shared" ref="D81:O81" si="3">D80/$P80</f>
        <v>0.17684889460922024</v>
      </c>
      <c r="E81" s="70">
        <f t="shared" si="3"/>
        <v>0.14077251530587903</v>
      </c>
      <c r="F81" s="70">
        <f t="shared" si="3"/>
        <v>0.11471565738413386</v>
      </c>
      <c r="G81" s="70">
        <f t="shared" si="3"/>
        <v>7.0150018656713414E-2</v>
      </c>
      <c r="H81" s="70">
        <f t="shared" si="3"/>
        <v>4.0859048411790944E-2</v>
      </c>
      <c r="I81" s="70">
        <f t="shared" si="3"/>
        <v>2.6412361518415899E-2</v>
      </c>
      <c r="J81" s="70">
        <f t="shared" si="3"/>
        <v>1.9223589126082189E-2</v>
      </c>
      <c r="K81" s="70">
        <f t="shared" si="3"/>
        <v>1.9737132304638076E-2</v>
      </c>
      <c r="L81" s="70">
        <f t="shared" si="3"/>
        <v>2.5138958698533265E-2</v>
      </c>
      <c r="M81" s="70">
        <f t="shared" si="3"/>
        <v>6.2815126295639373E-2</v>
      </c>
      <c r="N81" s="70">
        <f t="shared" si="3"/>
        <v>0.12179552824119548</v>
      </c>
      <c r="O81" s="70">
        <f t="shared" si="3"/>
        <v>0.18153116944775821</v>
      </c>
      <c r="P81" s="70">
        <f>SUM(D81:O81)</f>
        <v>0.99999999999999978</v>
      </c>
    </row>
    <row r="82" spans="1:16" x14ac:dyDescent="0.25">
      <c r="A82" s="56">
        <f t="shared" si="1"/>
        <v>6</v>
      </c>
      <c r="B82" s="55"/>
      <c r="C82" s="71"/>
      <c r="D82" s="72"/>
      <c r="E82" s="72"/>
      <c r="F82" s="72"/>
      <c r="G82" s="72"/>
      <c r="H82" s="72"/>
      <c r="I82" s="72"/>
      <c r="J82" s="72"/>
      <c r="K82" s="72"/>
      <c r="L82" s="72"/>
      <c r="M82" s="72"/>
      <c r="N82" s="72"/>
      <c r="O82" s="72"/>
      <c r="P82" s="72"/>
    </row>
    <row r="83" spans="1:16" x14ac:dyDescent="0.25">
      <c r="A83" s="56">
        <f t="shared" si="1"/>
        <v>7</v>
      </c>
      <c r="B83" s="65" t="s">
        <v>91</v>
      </c>
      <c r="C83" s="72"/>
      <c r="D83" s="72"/>
      <c r="E83" s="72"/>
      <c r="F83" s="72"/>
      <c r="G83" s="72"/>
      <c r="H83" s="72"/>
      <c r="I83" s="72"/>
      <c r="J83" s="72"/>
      <c r="K83" s="72"/>
      <c r="L83" s="72"/>
      <c r="M83" s="72"/>
      <c r="N83" s="72"/>
      <c r="O83" s="72"/>
      <c r="P83" s="72"/>
    </row>
    <row r="84" spans="1:16" x14ac:dyDescent="0.25">
      <c r="A84" s="56">
        <f t="shared" si="1"/>
        <v>8</v>
      </c>
      <c r="B84" s="66" t="s">
        <v>87</v>
      </c>
      <c r="C84" s="56" t="s">
        <v>88</v>
      </c>
      <c r="D84" s="67">
        <f>D154</f>
        <v>7263563.9881800003</v>
      </c>
      <c r="E84" s="67">
        <f t="shared" ref="E84:O84" si="4">E154</f>
        <v>6455069.4630899997</v>
      </c>
      <c r="F84" s="67">
        <f t="shared" si="4"/>
        <v>5655267.9929999998</v>
      </c>
      <c r="G84" s="67">
        <f t="shared" si="4"/>
        <v>3958870.5409999997</v>
      </c>
      <c r="H84" s="67">
        <f t="shared" si="4"/>
        <v>3051971.94</v>
      </c>
      <c r="I84" s="67">
        <f t="shared" si="4"/>
        <v>2050064.5120000003</v>
      </c>
      <c r="J84" s="67">
        <f t="shared" si="4"/>
        <v>1757089.7820000001</v>
      </c>
      <c r="K84" s="67">
        <f t="shared" si="4"/>
        <v>1837589.2420000001</v>
      </c>
      <c r="L84" s="67">
        <f t="shared" si="4"/>
        <v>2247269.2370000002</v>
      </c>
      <c r="M84" s="67">
        <f t="shared" si="4"/>
        <v>4164397.9169999999</v>
      </c>
      <c r="N84" s="67">
        <f t="shared" si="4"/>
        <v>5571303.8330000006</v>
      </c>
      <c r="O84" s="67">
        <f t="shared" si="4"/>
        <v>8054592.7859999994</v>
      </c>
      <c r="P84" s="68">
        <f>SUM(D84:O84)</f>
        <v>52067051.234270006</v>
      </c>
    </row>
    <row r="85" spans="1:16" x14ac:dyDescent="0.25">
      <c r="A85" s="56">
        <f t="shared" si="1"/>
        <v>9</v>
      </c>
      <c r="B85" s="55" t="s">
        <v>89</v>
      </c>
      <c r="C85" s="69" t="s">
        <v>90</v>
      </c>
      <c r="D85" s="73">
        <f t="shared" ref="D85:O85" si="5">D84/$P84</f>
        <v>0.13950403981009771</v>
      </c>
      <c r="E85" s="73">
        <f t="shared" si="5"/>
        <v>0.12397609063832173</v>
      </c>
      <c r="F85" s="73">
        <f t="shared" si="5"/>
        <v>0.10861510031660405</v>
      </c>
      <c r="G85" s="73">
        <f t="shared" si="5"/>
        <v>7.6034083881330136E-2</v>
      </c>
      <c r="H85" s="73">
        <f t="shared" si="5"/>
        <v>5.8616185623187794E-2</v>
      </c>
      <c r="I85" s="73">
        <f t="shared" si="5"/>
        <v>3.9373547443198945E-2</v>
      </c>
      <c r="J85" s="73">
        <f t="shared" si="5"/>
        <v>3.3746673574698259E-2</v>
      </c>
      <c r="K85" s="73">
        <f t="shared" si="5"/>
        <v>3.5292746534309541E-2</v>
      </c>
      <c r="L85" s="73">
        <f t="shared" si="5"/>
        <v>4.3161062202056691E-2</v>
      </c>
      <c r="M85" s="73">
        <f t="shared" si="5"/>
        <v>7.9981443509499831E-2</v>
      </c>
      <c r="N85" s="73">
        <f t="shared" si="5"/>
        <v>0.10700248431455293</v>
      </c>
      <c r="O85" s="73">
        <f t="shared" si="5"/>
        <v>0.15469654215214224</v>
      </c>
      <c r="P85" s="73">
        <f>SUM(D85:O85)</f>
        <v>1</v>
      </c>
    </row>
    <row r="86" spans="1:16" x14ac:dyDescent="0.25">
      <c r="A86" s="56">
        <f t="shared" si="1"/>
        <v>10</v>
      </c>
      <c r="B86" s="55"/>
      <c r="C86" s="56"/>
      <c r="D86" s="73"/>
      <c r="E86" s="64"/>
      <c r="F86" s="64"/>
      <c r="G86" s="64"/>
      <c r="H86" s="64"/>
      <c r="I86" s="64"/>
      <c r="J86" s="64"/>
      <c r="K86" s="64"/>
      <c r="L86" s="64"/>
      <c r="M86" s="64"/>
      <c r="N86" s="64"/>
      <c r="O86" s="64"/>
      <c r="P86" s="64"/>
    </row>
    <row r="87" spans="1:16" x14ac:dyDescent="0.25">
      <c r="A87" s="56">
        <f t="shared" si="1"/>
        <v>11</v>
      </c>
      <c r="B87" s="62" t="s">
        <v>92</v>
      </c>
      <c r="C87" s="56"/>
      <c r="D87" s="73"/>
      <c r="E87" s="64"/>
      <c r="F87" s="64"/>
      <c r="G87" s="64"/>
      <c r="H87" s="64"/>
      <c r="I87" s="64"/>
      <c r="J87" s="64"/>
      <c r="K87" s="64"/>
      <c r="L87" s="64"/>
      <c r="M87" s="64"/>
      <c r="N87" s="64"/>
      <c r="O87" s="64"/>
      <c r="P87" s="64"/>
    </row>
    <row r="88" spans="1:16" x14ac:dyDescent="0.25">
      <c r="A88" s="56">
        <f t="shared" si="1"/>
        <v>12</v>
      </c>
      <c r="B88" s="65" t="s">
        <v>86</v>
      </c>
      <c r="C88" s="56"/>
      <c r="D88" s="73"/>
      <c r="E88" s="55"/>
      <c r="F88" s="55"/>
      <c r="G88" s="55"/>
      <c r="H88" s="55"/>
      <c r="I88" s="55"/>
      <c r="J88" s="55"/>
      <c r="K88" s="55"/>
      <c r="L88" s="55"/>
      <c r="M88" s="55"/>
      <c r="N88" s="55"/>
      <c r="O88" s="55"/>
      <c r="P88" s="55"/>
    </row>
    <row r="89" spans="1:16" x14ac:dyDescent="0.25">
      <c r="A89" s="56">
        <f t="shared" si="1"/>
        <v>13</v>
      </c>
      <c r="B89" s="55" t="s">
        <v>93</v>
      </c>
      <c r="C89" s="56" t="s">
        <v>94</v>
      </c>
      <c r="D89" s="55"/>
      <c r="E89" s="55"/>
      <c r="F89" s="55"/>
      <c r="G89" s="55"/>
      <c r="H89" s="55"/>
      <c r="I89" s="55"/>
      <c r="J89" s="55"/>
      <c r="K89" s="55"/>
      <c r="L89" s="55"/>
      <c r="M89" s="55"/>
      <c r="N89" s="55"/>
      <c r="O89" s="55"/>
      <c r="P89" s="74">
        <f>D54</f>
        <v>314.43</v>
      </c>
    </row>
    <row r="90" spans="1:16" x14ac:dyDescent="0.25">
      <c r="A90" s="56">
        <f t="shared" si="1"/>
        <v>14</v>
      </c>
      <c r="B90" s="55" t="s">
        <v>95</v>
      </c>
      <c r="C90" s="56" t="str">
        <f>"("&amp;A$12&amp;") x ("&amp;A89&amp;")"</f>
        <v>() x (13)</v>
      </c>
      <c r="D90" s="75">
        <f>$P89*D$81</f>
        <v>55.60659793197712</v>
      </c>
      <c r="E90" s="75">
        <f t="shared" ref="E90:O90" si="6">$P89*E$81</f>
        <v>44.263101987627543</v>
      </c>
      <c r="F90" s="75">
        <f t="shared" si="6"/>
        <v>36.07004415129321</v>
      </c>
      <c r="G90" s="75">
        <f t="shared" si="6"/>
        <v>22.057270366230398</v>
      </c>
      <c r="H90" s="75">
        <f t="shared" si="6"/>
        <v>12.847310592119427</v>
      </c>
      <c r="I90" s="75">
        <f t="shared" si="6"/>
        <v>8.3048388322355109</v>
      </c>
      <c r="J90" s="75">
        <f t="shared" si="6"/>
        <v>6.0444731289140226</v>
      </c>
      <c r="K90" s="75">
        <f t="shared" si="6"/>
        <v>6.2059465105473501</v>
      </c>
      <c r="L90" s="75">
        <f t="shared" si="6"/>
        <v>7.9044427835798148</v>
      </c>
      <c r="M90" s="75">
        <f t="shared" si="6"/>
        <v>19.75096016113789</v>
      </c>
      <c r="N90" s="75">
        <f t="shared" si="6"/>
        <v>38.296167944879095</v>
      </c>
      <c r="O90" s="75">
        <f t="shared" si="6"/>
        <v>57.078845609458618</v>
      </c>
      <c r="P90" s="74">
        <f>SUM(D90:O90)</f>
        <v>314.43</v>
      </c>
    </row>
    <row r="91" spans="1:16" x14ac:dyDescent="0.25">
      <c r="A91" s="56">
        <f t="shared" si="1"/>
        <v>15</v>
      </c>
      <c r="B91" s="55"/>
      <c r="C91" s="76"/>
      <c r="D91" s="55"/>
      <c r="E91" s="55"/>
      <c r="F91" s="55"/>
      <c r="G91" s="55"/>
      <c r="H91" s="55"/>
      <c r="I91" s="55"/>
      <c r="J91" s="55"/>
      <c r="K91" s="55"/>
      <c r="L91" s="55"/>
      <c r="M91" s="55"/>
      <c r="N91" s="55"/>
      <c r="O91" s="55"/>
      <c r="P91" s="74"/>
    </row>
    <row r="92" spans="1:16" x14ac:dyDescent="0.25">
      <c r="A92" s="56">
        <f t="shared" si="1"/>
        <v>16</v>
      </c>
      <c r="B92" s="65" t="s">
        <v>91</v>
      </c>
      <c r="C92" s="76"/>
      <c r="D92" s="55"/>
      <c r="E92" s="55"/>
      <c r="F92" s="55"/>
      <c r="G92" s="55"/>
      <c r="H92" s="55"/>
      <c r="I92" s="55"/>
      <c r="J92" s="55"/>
      <c r="K92" s="55"/>
      <c r="L92" s="55"/>
      <c r="M92" s="55"/>
      <c r="N92" s="55"/>
      <c r="O92" s="55"/>
      <c r="P92" s="74"/>
    </row>
    <row r="93" spans="1:16" x14ac:dyDescent="0.25">
      <c r="A93" s="56">
        <f t="shared" si="1"/>
        <v>17</v>
      </c>
      <c r="B93" s="55" t="s">
        <v>93</v>
      </c>
      <c r="C93" s="56" t="s">
        <v>94</v>
      </c>
      <c r="D93" s="55"/>
      <c r="E93" s="55"/>
      <c r="F93" s="55"/>
      <c r="G93" s="55"/>
      <c r="H93" s="55"/>
      <c r="I93" s="55"/>
      <c r="J93" s="55"/>
      <c r="K93" s="55"/>
      <c r="L93" s="55"/>
      <c r="M93" s="55"/>
      <c r="N93" s="55"/>
      <c r="O93" s="55"/>
      <c r="P93" s="74">
        <f>E54</f>
        <v>4621.5200000000004</v>
      </c>
    </row>
    <row r="94" spans="1:16" x14ac:dyDescent="0.25">
      <c r="A94" s="56">
        <f t="shared" si="1"/>
        <v>18</v>
      </c>
      <c r="B94" s="55" t="s">
        <v>95</v>
      </c>
      <c r="C94" s="56" t="str">
        <f>"("&amp;A$16&amp;") x ("&amp;A93&amp;")"</f>
        <v>() x (17)</v>
      </c>
      <c r="D94" s="75">
        <f>$P93*D$85</f>
        <v>644.72071006316287</v>
      </c>
      <c r="E94" s="75">
        <f t="shared" ref="E94:O94" si="7">$P93*E$85</f>
        <v>572.95798240681665</v>
      </c>
      <c r="F94" s="75">
        <f t="shared" si="7"/>
        <v>501.96685841519201</v>
      </c>
      <c r="G94" s="75">
        <f t="shared" si="7"/>
        <v>351.39303933924487</v>
      </c>
      <c r="H94" s="75">
        <f t="shared" si="7"/>
        <v>270.89587418127491</v>
      </c>
      <c r="I94" s="75">
        <f t="shared" si="7"/>
        <v>181.96563697969282</v>
      </c>
      <c r="J94" s="75">
        <f t="shared" si="7"/>
        <v>155.9609268589395</v>
      </c>
      <c r="K94" s="75">
        <f t="shared" si="7"/>
        <v>163.10613396324226</v>
      </c>
      <c r="L94" s="75">
        <f t="shared" si="7"/>
        <v>199.46971218804904</v>
      </c>
      <c r="M94" s="75">
        <f t="shared" si="7"/>
        <v>369.63584080802372</v>
      </c>
      <c r="N94" s="75">
        <f t="shared" si="7"/>
        <v>494.51412130939275</v>
      </c>
      <c r="O94" s="75">
        <f t="shared" si="7"/>
        <v>714.9331634869684</v>
      </c>
      <c r="P94" s="74">
        <f>SUM(D94:O94)</f>
        <v>4621.5199999999995</v>
      </c>
    </row>
    <row r="95" spans="1:16" x14ac:dyDescent="0.25">
      <c r="A95" s="56">
        <f t="shared" si="1"/>
        <v>19</v>
      </c>
      <c r="B95" s="55"/>
      <c r="C95" s="76"/>
      <c r="D95" s="56"/>
      <c r="E95" s="56"/>
      <c r="F95" s="56"/>
      <c r="G95" s="56"/>
      <c r="H95" s="55"/>
      <c r="I95" s="55"/>
      <c r="J95" s="55"/>
      <c r="K95" s="55"/>
      <c r="L95" s="55"/>
      <c r="M95" s="55"/>
      <c r="N95" s="55"/>
      <c r="O95" s="55"/>
      <c r="P95" s="74"/>
    </row>
    <row r="96" spans="1:16" x14ac:dyDescent="0.25">
      <c r="A96" s="56">
        <f t="shared" si="1"/>
        <v>20</v>
      </c>
      <c r="B96" s="55" t="str">
        <f>B57</f>
        <v xml:space="preserve">*Rate Schedules 101, 102.  </v>
      </c>
      <c r="C96" s="76"/>
      <c r="D96" s="56"/>
      <c r="E96" s="56"/>
      <c r="F96" s="56"/>
      <c r="G96" s="56"/>
      <c r="H96" s="55"/>
      <c r="I96" s="55"/>
      <c r="J96" s="55"/>
      <c r="K96" s="55"/>
      <c r="L96" s="55"/>
      <c r="M96" s="55"/>
      <c r="N96" s="55"/>
      <c r="O96" s="55"/>
      <c r="P96" s="74"/>
    </row>
    <row r="97" spans="1:16" x14ac:dyDescent="0.25">
      <c r="A97" s="56">
        <f t="shared" si="1"/>
        <v>21</v>
      </c>
      <c r="B97" s="55" t="str">
        <f>B58</f>
        <v xml:space="preserve">**Rate Schedules 111, 112, 116, 121, 122, 126, 131.  </v>
      </c>
      <c r="C97" s="56"/>
      <c r="D97" s="56"/>
      <c r="E97" s="56"/>
      <c r="F97" s="56"/>
      <c r="G97" s="56"/>
      <c r="H97" s="55"/>
      <c r="I97" s="55"/>
      <c r="J97" s="55"/>
      <c r="K97" s="55"/>
      <c r="L97" s="55"/>
      <c r="M97" s="55"/>
      <c r="N97" s="55"/>
      <c r="O97" s="55"/>
      <c r="P97" s="55"/>
    </row>
    <row r="98" spans="1:16" x14ac:dyDescent="0.25">
      <c r="A98" s="77"/>
      <c r="B98" s="77"/>
      <c r="C98" s="77"/>
      <c r="D98" s="77"/>
      <c r="E98" s="77"/>
      <c r="F98" s="77"/>
      <c r="G98" s="77"/>
      <c r="H98" s="77"/>
      <c r="I98" s="77"/>
      <c r="J98" s="77"/>
      <c r="K98" s="77"/>
      <c r="L98" s="77"/>
      <c r="M98" s="77"/>
      <c r="N98" s="77"/>
      <c r="O98" s="77"/>
      <c r="P98" s="77"/>
    </row>
    <row r="99" spans="1:16" ht="18.75" x14ac:dyDescent="0.3">
      <c r="A99" s="36" t="s">
        <v>96</v>
      </c>
    </row>
    <row r="101" spans="1:16" x14ac:dyDescent="0.25">
      <c r="A101" t="s">
        <v>97</v>
      </c>
    </row>
    <row r="102" spans="1:16" x14ac:dyDescent="0.25">
      <c r="A102" t="s">
        <v>98</v>
      </c>
    </row>
    <row r="103" spans="1:16" x14ac:dyDescent="0.25">
      <c r="A103" t="s">
        <v>99</v>
      </c>
    </row>
    <row r="105" spans="1:16" x14ac:dyDescent="0.25">
      <c r="A105" s="78" t="s">
        <v>100</v>
      </c>
      <c r="B105" s="78"/>
      <c r="C105" s="78"/>
      <c r="D105" s="78"/>
      <c r="E105" s="78"/>
      <c r="F105" s="78"/>
      <c r="G105" s="78"/>
      <c r="H105" s="78"/>
      <c r="I105" s="78"/>
      <c r="J105" s="78"/>
      <c r="K105" s="78"/>
      <c r="L105" s="78"/>
      <c r="M105" s="78"/>
      <c r="N105" s="78"/>
      <c r="O105" s="78"/>
      <c r="P105" s="78"/>
    </row>
    <row r="106" spans="1:16" x14ac:dyDescent="0.25">
      <c r="A106" s="78"/>
      <c r="B106" s="78"/>
      <c r="C106" s="78"/>
      <c r="D106" s="79">
        <v>42370</v>
      </c>
      <c r="E106" s="79">
        <v>42401</v>
      </c>
      <c r="F106" s="79">
        <v>42430</v>
      </c>
      <c r="G106" s="79">
        <v>42461</v>
      </c>
      <c r="H106" s="79">
        <v>42491</v>
      </c>
      <c r="I106" s="79">
        <v>42522</v>
      </c>
      <c r="J106" s="79">
        <v>42552</v>
      </c>
      <c r="K106" s="79">
        <v>42583</v>
      </c>
      <c r="L106" s="79">
        <v>42614</v>
      </c>
      <c r="M106" s="79">
        <v>42644</v>
      </c>
      <c r="N106" s="79">
        <v>42675</v>
      </c>
      <c r="O106" s="79">
        <v>42705</v>
      </c>
      <c r="P106" s="80" t="s">
        <v>101</v>
      </c>
    </row>
    <row r="107" spans="1:16" x14ac:dyDescent="0.25">
      <c r="A107" s="78" t="s">
        <v>102</v>
      </c>
      <c r="B107" s="78"/>
      <c r="C107" s="78"/>
      <c r="D107" s="78"/>
      <c r="E107" s="78"/>
      <c r="F107" s="78"/>
      <c r="G107" s="78"/>
      <c r="H107" s="78"/>
      <c r="I107" s="78"/>
      <c r="J107" s="78"/>
      <c r="K107" s="78"/>
      <c r="L107" s="78"/>
      <c r="M107" s="78"/>
      <c r="N107" s="78"/>
      <c r="O107" s="78"/>
      <c r="P107" s="78"/>
    </row>
    <row r="108" spans="1:16" x14ac:dyDescent="0.25">
      <c r="A108" s="78"/>
      <c r="B108" s="78" t="s">
        <v>103</v>
      </c>
      <c r="C108" s="78"/>
      <c r="D108" s="81">
        <v>21914729.23914</v>
      </c>
      <c r="E108" s="81">
        <v>16787449.765939999</v>
      </c>
      <c r="F108" s="81">
        <v>12859745.229009999</v>
      </c>
      <c r="G108" s="81">
        <v>9114929.4339899998</v>
      </c>
      <c r="H108" s="81">
        <v>4269068.12</v>
      </c>
      <c r="I108" s="81">
        <v>3281704.2390000001</v>
      </c>
      <c r="J108" s="81">
        <v>2537765.6940000001</v>
      </c>
      <c r="K108" s="81">
        <v>2130641.6895300001</v>
      </c>
      <c r="L108" s="81">
        <v>2604713.5796699999</v>
      </c>
      <c r="M108" s="81">
        <v>4453518.3530000001</v>
      </c>
      <c r="N108" s="81">
        <v>8310384.8540000003</v>
      </c>
      <c r="O108" s="81">
        <v>17650621.129999999</v>
      </c>
      <c r="P108" s="82">
        <f>SUM(D108:O108)</f>
        <v>105915271.32728</v>
      </c>
    </row>
    <row r="109" spans="1:16" x14ac:dyDescent="0.25">
      <c r="A109" s="78"/>
      <c r="B109" s="78" t="s">
        <v>104</v>
      </c>
      <c r="C109" s="78"/>
      <c r="D109" s="81">
        <v>7250292.7141800001</v>
      </c>
      <c r="E109" s="81">
        <v>5863760.7960799998</v>
      </c>
      <c r="F109" s="81">
        <v>4834415.17</v>
      </c>
      <c r="G109" s="81">
        <v>3903602.0049999999</v>
      </c>
      <c r="H109" s="81">
        <v>2358420.5839999998</v>
      </c>
      <c r="I109" s="81">
        <v>1911146.3640000001</v>
      </c>
      <c r="J109" s="81">
        <v>1587532.0530000001</v>
      </c>
      <c r="K109" s="81">
        <v>1414488.3900000001</v>
      </c>
      <c r="L109" s="81">
        <v>1748017.9040000001</v>
      </c>
      <c r="M109" s="81">
        <v>2406576.8810000001</v>
      </c>
      <c r="N109" s="81">
        <v>3438048.264</v>
      </c>
      <c r="O109" s="81">
        <v>6539758.358</v>
      </c>
      <c r="P109" s="82">
        <f t="shared" ref="P109:P113" si="8">SUM(D109:O109)</f>
        <v>43256059.483260006</v>
      </c>
    </row>
    <row r="110" spans="1:16" x14ac:dyDescent="0.25">
      <c r="A110" s="78"/>
      <c r="B110" s="78" t="s">
        <v>105</v>
      </c>
      <c r="C110" s="78"/>
      <c r="D110" s="81">
        <v>529872.27399999998</v>
      </c>
      <c r="E110" s="81">
        <v>496446.66700999998</v>
      </c>
      <c r="F110" s="81">
        <v>424341.82299999997</v>
      </c>
      <c r="G110" s="81">
        <v>376139.53600000002</v>
      </c>
      <c r="H110" s="81">
        <v>326907.35600000003</v>
      </c>
      <c r="I110" s="81">
        <v>281788.14799999999</v>
      </c>
      <c r="J110" s="81">
        <v>286040.72899999999</v>
      </c>
      <c r="K110" s="81">
        <v>254173.85200000001</v>
      </c>
      <c r="L110" s="81">
        <v>281344.33299999998</v>
      </c>
      <c r="M110" s="81">
        <v>321747.03600000002</v>
      </c>
      <c r="N110" s="81">
        <v>361916.56900000002</v>
      </c>
      <c r="O110" s="81">
        <v>351829.42799999996</v>
      </c>
      <c r="P110" s="82">
        <f t="shared" si="8"/>
        <v>4292547.7510099998</v>
      </c>
    </row>
    <row r="111" spans="1:16" x14ac:dyDescent="0.25">
      <c r="A111" s="78"/>
      <c r="B111" s="78" t="s">
        <v>106</v>
      </c>
      <c r="C111" s="78"/>
      <c r="D111" s="81">
        <v>203731.024</v>
      </c>
      <c r="E111" s="81">
        <v>102322.409</v>
      </c>
      <c r="F111" s="81">
        <v>89942.1</v>
      </c>
      <c r="G111" s="81">
        <v>82073.012000000002</v>
      </c>
      <c r="H111" s="81">
        <v>57685.224000000002</v>
      </c>
      <c r="I111" s="81">
        <v>51713.392999999996</v>
      </c>
      <c r="J111" s="81">
        <v>45567.493000000002</v>
      </c>
      <c r="K111" s="81">
        <v>37962.688000000002</v>
      </c>
      <c r="L111" s="81">
        <v>46700.233999999997</v>
      </c>
      <c r="M111" s="81">
        <v>59609.65</v>
      </c>
      <c r="N111" s="81">
        <v>85099.777000000002</v>
      </c>
      <c r="O111" s="81">
        <v>111787.641</v>
      </c>
      <c r="P111" s="82">
        <f t="shared" si="8"/>
        <v>974194.64500000002</v>
      </c>
    </row>
    <row r="112" spans="1:16" x14ac:dyDescent="0.25">
      <c r="A112" s="78"/>
      <c r="B112" s="78" t="s">
        <v>107</v>
      </c>
      <c r="C112" s="78"/>
      <c r="D112" s="81">
        <v>3333390</v>
      </c>
      <c r="E112" s="81">
        <v>3359319</v>
      </c>
      <c r="F112" s="81">
        <v>2937658</v>
      </c>
      <c r="G112" s="81">
        <v>2818085</v>
      </c>
      <c r="H112" s="81">
        <v>2345946</v>
      </c>
      <c r="I112" s="81">
        <v>2348653</v>
      </c>
      <c r="J112" s="81">
        <v>2161735</v>
      </c>
      <c r="K112" s="81">
        <v>1935250</v>
      </c>
      <c r="L112" s="81">
        <v>1967657</v>
      </c>
      <c r="M112" s="81">
        <v>1911018</v>
      </c>
      <c r="N112" s="81">
        <v>2521958</v>
      </c>
      <c r="O112" s="81">
        <v>2724593</v>
      </c>
      <c r="P112" s="82">
        <f t="shared" si="8"/>
        <v>30365262</v>
      </c>
    </row>
    <row r="113" spans="1:16" x14ac:dyDescent="0.25">
      <c r="A113" s="78"/>
      <c r="B113" s="78" t="s">
        <v>108</v>
      </c>
      <c r="C113" s="78"/>
      <c r="D113" s="81">
        <v>4867469</v>
      </c>
      <c r="E113" s="81">
        <v>4950129</v>
      </c>
      <c r="F113" s="81">
        <v>4201135</v>
      </c>
      <c r="G113" s="81">
        <v>4124804</v>
      </c>
      <c r="H113" s="81">
        <v>3896618</v>
      </c>
      <c r="I113" s="81">
        <v>3896733</v>
      </c>
      <c r="J113" s="81">
        <v>3493208</v>
      </c>
      <c r="K113" s="81">
        <v>3645965</v>
      </c>
      <c r="L113" s="81">
        <v>4185571</v>
      </c>
      <c r="M113" s="81">
        <v>3668462</v>
      </c>
      <c r="N113" s="81">
        <v>3994866</v>
      </c>
      <c r="O113" s="81">
        <v>4082259</v>
      </c>
      <c r="P113" s="82">
        <f t="shared" si="8"/>
        <v>49007219</v>
      </c>
    </row>
    <row r="114" spans="1:16" x14ac:dyDescent="0.25">
      <c r="A114" s="78" t="s">
        <v>109</v>
      </c>
      <c r="B114" s="78"/>
      <c r="C114" s="78"/>
      <c r="D114" s="83">
        <f t="shared" ref="D114:L114" si="9">SUM(D108:D113)</f>
        <v>38099484.251320004</v>
      </c>
      <c r="E114" s="83">
        <f t="shared" si="9"/>
        <v>31559427.63803</v>
      </c>
      <c r="F114" s="83">
        <f t="shared" si="9"/>
        <v>25347237.322009999</v>
      </c>
      <c r="G114" s="83">
        <f t="shared" si="9"/>
        <v>20419632.986990001</v>
      </c>
      <c r="H114" s="83">
        <f t="shared" si="9"/>
        <v>13254645.284</v>
      </c>
      <c r="I114" s="83">
        <f t="shared" si="9"/>
        <v>11771738.144000001</v>
      </c>
      <c r="J114" s="83">
        <f t="shared" si="9"/>
        <v>10111848.969000001</v>
      </c>
      <c r="K114" s="83">
        <f t="shared" si="9"/>
        <v>9418481.6195299998</v>
      </c>
      <c r="L114" s="83">
        <f t="shared" si="9"/>
        <v>10834004.05067</v>
      </c>
      <c r="M114" s="83">
        <f>SUM(M108:M113)</f>
        <v>12820931.920000002</v>
      </c>
      <c r="N114" s="83">
        <f t="shared" ref="N114:P114" si="10">SUM(N108:N113)</f>
        <v>18712273.464000002</v>
      </c>
      <c r="O114" s="83">
        <f t="shared" si="10"/>
        <v>31460848.556999996</v>
      </c>
      <c r="P114" s="83">
        <f t="shared" si="10"/>
        <v>233810554.20655003</v>
      </c>
    </row>
    <row r="115" spans="1:16" x14ac:dyDescent="0.25">
      <c r="A115" s="78"/>
      <c r="B115" s="78"/>
      <c r="C115" s="78"/>
      <c r="D115" s="81"/>
      <c r="E115" s="81"/>
      <c r="F115" s="81"/>
      <c r="G115" s="81"/>
      <c r="H115" s="81"/>
      <c r="I115" s="81"/>
      <c r="J115" s="81"/>
      <c r="K115" s="81"/>
      <c r="L115" s="81"/>
      <c r="M115" s="81"/>
      <c r="N115" s="81"/>
      <c r="O115" s="81"/>
      <c r="P115" s="81"/>
    </row>
    <row r="116" spans="1:16" x14ac:dyDescent="0.25">
      <c r="A116" s="78" t="s">
        <v>110</v>
      </c>
      <c r="B116" s="78"/>
      <c r="C116" s="78"/>
      <c r="D116" s="81"/>
      <c r="E116" s="81"/>
      <c r="F116" s="81"/>
      <c r="G116" s="81"/>
      <c r="H116" s="81"/>
      <c r="I116" s="81"/>
      <c r="J116" s="81"/>
      <c r="K116" s="81"/>
      <c r="L116" s="81"/>
      <c r="M116" s="81"/>
      <c r="N116" s="81"/>
      <c r="O116" s="81"/>
      <c r="P116" s="81"/>
    </row>
    <row r="117" spans="1:16" x14ac:dyDescent="0.25">
      <c r="A117" s="78"/>
      <c r="B117" s="78" t="s">
        <v>111</v>
      </c>
      <c r="C117" s="78"/>
      <c r="D117" s="81">
        <f>-D119</f>
        <v>-44792</v>
      </c>
      <c r="E117" s="81">
        <f t="shared" ref="E117:M117" si="11">-E119</f>
        <v>-39914</v>
      </c>
      <c r="F117" s="81">
        <f t="shared" si="11"/>
        <v>-34764</v>
      </c>
      <c r="G117" s="81">
        <f t="shared" si="11"/>
        <v>-36526</v>
      </c>
      <c r="H117" s="81">
        <f t="shared" si="11"/>
        <v>-33777</v>
      </c>
      <c r="I117" s="81">
        <f t="shared" si="11"/>
        <v>-18580</v>
      </c>
      <c r="J117" s="81">
        <f t="shared" si="11"/>
        <v>-47345</v>
      </c>
      <c r="K117" s="81">
        <f t="shared" si="11"/>
        <v>-30809</v>
      </c>
      <c r="L117" s="81">
        <f t="shared" si="11"/>
        <v>-39863</v>
      </c>
      <c r="M117" s="81">
        <f t="shared" si="11"/>
        <v>-27897</v>
      </c>
      <c r="N117" s="81"/>
      <c r="O117" s="81"/>
      <c r="P117" s="81">
        <f>SUM(D117:O117)</f>
        <v>-354267</v>
      </c>
    </row>
    <row r="118" spans="1:16" x14ac:dyDescent="0.25">
      <c r="A118" s="78"/>
      <c r="B118" s="78" t="s">
        <v>112</v>
      </c>
      <c r="C118" s="78"/>
      <c r="D118" s="81">
        <v>-72927</v>
      </c>
      <c r="E118" s="81"/>
      <c r="F118" s="81"/>
      <c r="G118" s="81"/>
      <c r="H118" s="81"/>
      <c r="I118" s="81"/>
      <c r="J118" s="81"/>
      <c r="K118" s="81"/>
      <c r="L118" s="81"/>
      <c r="M118" s="81"/>
      <c r="N118" s="81"/>
      <c r="O118" s="81"/>
      <c r="P118" s="81">
        <f t="shared" ref="P118:P119" si="12">SUM(D118:O118)</f>
        <v>-72927</v>
      </c>
    </row>
    <row r="119" spans="1:16" x14ac:dyDescent="0.25">
      <c r="A119" s="78"/>
      <c r="B119" s="78" t="s">
        <v>113</v>
      </c>
      <c r="C119" s="78"/>
      <c r="D119" s="81">
        <v>44792</v>
      </c>
      <c r="E119" s="81">
        <v>39914</v>
      </c>
      <c r="F119" s="81">
        <v>34764</v>
      </c>
      <c r="G119" s="81">
        <v>36526</v>
      </c>
      <c r="H119" s="81">
        <v>33777</v>
      </c>
      <c r="I119" s="81">
        <v>18580</v>
      </c>
      <c r="J119" s="81">
        <v>47345</v>
      </c>
      <c r="K119" s="81">
        <v>30809</v>
      </c>
      <c r="L119" s="81">
        <v>39863</v>
      </c>
      <c r="M119" s="81">
        <v>27897</v>
      </c>
      <c r="N119" s="81"/>
      <c r="O119" s="81"/>
      <c r="P119" s="81">
        <f t="shared" si="12"/>
        <v>354267</v>
      </c>
    </row>
    <row r="120" spans="1:16" x14ac:dyDescent="0.25">
      <c r="A120" s="78" t="s">
        <v>114</v>
      </c>
      <c r="B120" s="78"/>
      <c r="C120" s="78"/>
      <c r="D120" s="83">
        <f t="shared" ref="D120:L120" si="13">SUM(D117:D119)</f>
        <v>-72927</v>
      </c>
      <c r="E120" s="83">
        <f t="shared" si="13"/>
        <v>0</v>
      </c>
      <c r="F120" s="83">
        <f t="shared" si="13"/>
        <v>0</v>
      </c>
      <c r="G120" s="83">
        <f t="shared" si="13"/>
        <v>0</v>
      </c>
      <c r="H120" s="83">
        <f t="shared" si="13"/>
        <v>0</v>
      </c>
      <c r="I120" s="83">
        <f t="shared" si="13"/>
        <v>0</v>
      </c>
      <c r="J120" s="83">
        <f t="shared" si="13"/>
        <v>0</v>
      </c>
      <c r="K120" s="83">
        <f t="shared" si="13"/>
        <v>0</v>
      </c>
      <c r="L120" s="83">
        <f t="shared" si="13"/>
        <v>0</v>
      </c>
      <c r="M120" s="83">
        <f>SUM(M117:M119)</f>
        <v>0</v>
      </c>
      <c r="N120" s="83">
        <f t="shared" ref="N120:P120" si="14">SUM(N117:N119)</f>
        <v>0</v>
      </c>
      <c r="O120" s="83">
        <f t="shared" si="14"/>
        <v>0</v>
      </c>
      <c r="P120" s="83">
        <f t="shared" si="14"/>
        <v>-72927</v>
      </c>
    </row>
    <row r="121" spans="1:16" x14ac:dyDescent="0.25">
      <c r="A121" s="78"/>
      <c r="B121" s="78"/>
      <c r="C121" s="78"/>
      <c r="D121" s="81"/>
      <c r="E121" s="81"/>
      <c r="F121" s="81"/>
      <c r="G121" s="81"/>
      <c r="H121" s="81"/>
      <c r="I121" s="81"/>
      <c r="J121" s="81"/>
      <c r="K121" s="81"/>
      <c r="L121" s="81"/>
      <c r="M121" s="81"/>
      <c r="N121" s="81"/>
      <c r="O121" s="81"/>
      <c r="P121" s="81"/>
    </row>
    <row r="122" spans="1:16" x14ac:dyDescent="0.25">
      <c r="A122" s="78" t="s">
        <v>115</v>
      </c>
      <c r="B122" s="78"/>
      <c r="C122" s="78"/>
      <c r="D122" s="78"/>
      <c r="E122" s="78"/>
      <c r="F122" s="78"/>
      <c r="G122" s="78"/>
      <c r="H122" s="78"/>
      <c r="I122" s="78"/>
      <c r="J122" s="78"/>
      <c r="K122" s="78"/>
      <c r="L122" s="78"/>
      <c r="M122" s="78"/>
      <c r="N122" s="78"/>
      <c r="O122" s="78"/>
      <c r="P122" s="78"/>
    </row>
    <row r="123" spans="1:16" x14ac:dyDescent="0.25">
      <c r="A123" s="78"/>
      <c r="B123" s="78" t="s">
        <v>103</v>
      </c>
      <c r="C123" s="78"/>
      <c r="D123" s="81">
        <v>-1755867</v>
      </c>
      <c r="E123" s="81">
        <v>-2475814</v>
      </c>
      <c r="F123" s="81">
        <v>-602948</v>
      </c>
      <c r="G123" s="81">
        <v>-3753957</v>
      </c>
      <c r="H123" s="81">
        <v>-878606</v>
      </c>
      <c r="I123" s="81">
        <v>-512174</v>
      </c>
      <c r="J123" s="81">
        <v>-241573</v>
      </c>
      <c r="K123" s="81">
        <v>226892</v>
      </c>
      <c r="L123" s="81">
        <v>398050</v>
      </c>
      <c r="M123" s="81">
        <v>2821642</v>
      </c>
      <c r="N123" s="81">
        <v>3061593</v>
      </c>
      <c r="O123" s="81">
        <v>6593677</v>
      </c>
      <c r="P123" s="82">
        <f>SUM(D123:O123)</f>
        <v>2880915</v>
      </c>
    </row>
    <row r="124" spans="1:16" x14ac:dyDescent="0.25">
      <c r="A124" s="78"/>
      <c r="B124" s="78" t="s">
        <v>104</v>
      </c>
      <c r="C124" s="78"/>
      <c r="D124" s="81">
        <v>-682181</v>
      </c>
      <c r="E124" s="81">
        <v>-663027</v>
      </c>
      <c r="F124" s="81">
        <v>-39157</v>
      </c>
      <c r="G124" s="81">
        <v>-1234619</v>
      </c>
      <c r="H124" s="81">
        <v>-136879</v>
      </c>
      <c r="I124" s="81">
        <v>-236112</v>
      </c>
      <c r="J124" s="81">
        <v>-77518</v>
      </c>
      <c r="K124" s="81">
        <v>168983</v>
      </c>
      <c r="L124" s="81">
        <v>232636</v>
      </c>
      <c r="M124" s="81">
        <v>1256276</v>
      </c>
      <c r="N124" s="81">
        <v>678061</v>
      </c>
      <c r="O124" s="81">
        <v>2036779</v>
      </c>
      <c r="P124" s="82">
        <f t="shared" ref="P124:P128" si="15">SUM(D124:O124)</f>
        <v>1303242</v>
      </c>
    </row>
    <row r="125" spans="1:16" x14ac:dyDescent="0.25">
      <c r="A125" s="78"/>
      <c r="B125" s="78" t="s">
        <v>105</v>
      </c>
      <c r="C125" s="78"/>
      <c r="D125" s="81">
        <v>-100157</v>
      </c>
      <c r="E125" s="81">
        <v>-20699</v>
      </c>
      <c r="F125" s="81">
        <v>-3193</v>
      </c>
      <c r="G125" s="81">
        <v>-93740</v>
      </c>
      <c r="H125" s="81">
        <v>26981</v>
      </c>
      <c r="I125" s="81">
        <v>-21377</v>
      </c>
      <c r="J125" s="81">
        <v>8380</v>
      </c>
      <c r="K125" s="81">
        <v>30753</v>
      </c>
      <c r="L125" s="81">
        <v>25134</v>
      </c>
      <c r="M125" s="81">
        <v>129527</v>
      </c>
      <c r="N125" s="81">
        <v>4470</v>
      </c>
      <c r="O125" s="81">
        <v>-47646</v>
      </c>
      <c r="P125" s="82">
        <f t="shared" si="15"/>
        <v>-61567</v>
      </c>
    </row>
    <row r="126" spans="1:16" x14ac:dyDescent="0.25">
      <c r="A126" s="78"/>
      <c r="B126" s="78" t="s">
        <v>106</v>
      </c>
      <c r="C126" s="78"/>
      <c r="D126" s="81">
        <v>0</v>
      </c>
      <c r="E126" s="81">
        <v>0</v>
      </c>
      <c r="F126" s="81">
        <v>0</v>
      </c>
      <c r="G126" s="81">
        <v>0</v>
      </c>
      <c r="H126" s="81">
        <v>0</v>
      </c>
      <c r="I126" s="81">
        <v>0</v>
      </c>
      <c r="J126" s="81">
        <v>0</v>
      </c>
      <c r="K126" s="81">
        <v>0</v>
      </c>
      <c r="L126" s="81">
        <v>0</v>
      </c>
      <c r="M126" s="81">
        <v>0</v>
      </c>
      <c r="N126" s="81">
        <v>0</v>
      </c>
      <c r="O126" s="81">
        <v>0</v>
      </c>
      <c r="P126" s="82">
        <f t="shared" si="15"/>
        <v>0</v>
      </c>
    </row>
    <row r="127" spans="1:16" x14ac:dyDescent="0.25">
      <c r="A127" s="78"/>
      <c r="B127" s="78" t="s">
        <v>107</v>
      </c>
      <c r="C127" s="78"/>
      <c r="D127" s="81">
        <v>0</v>
      </c>
      <c r="E127" s="81">
        <v>0</v>
      </c>
      <c r="F127" s="81">
        <v>0</v>
      </c>
      <c r="G127" s="81">
        <v>0</v>
      </c>
      <c r="H127" s="81">
        <v>0</v>
      </c>
      <c r="I127" s="81">
        <v>0</v>
      </c>
      <c r="J127" s="81">
        <v>0</v>
      </c>
      <c r="K127" s="81">
        <v>0</v>
      </c>
      <c r="L127" s="81">
        <v>0</v>
      </c>
      <c r="M127" s="81">
        <v>0</v>
      </c>
      <c r="N127" s="81">
        <v>0</v>
      </c>
      <c r="O127" s="81">
        <v>0</v>
      </c>
      <c r="P127" s="82">
        <f t="shared" si="15"/>
        <v>0</v>
      </c>
    </row>
    <row r="128" spans="1:16" x14ac:dyDescent="0.25">
      <c r="A128" s="78"/>
      <c r="B128" s="78" t="s">
        <v>108</v>
      </c>
      <c r="C128" s="78"/>
      <c r="D128" s="81">
        <v>0</v>
      </c>
      <c r="E128" s="81">
        <v>0</v>
      </c>
      <c r="F128" s="81">
        <v>0</v>
      </c>
      <c r="G128" s="81">
        <v>0</v>
      </c>
      <c r="H128" s="81">
        <v>0</v>
      </c>
      <c r="I128" s="81">
        <v>0</v>
      </c>
      <c r="J128" s="81">
        <v>0</v>
      </c>
      <c r="K128" s="81">
        <v>0</v>
      </c>
      <c r="L128" s="81">
        <v>0</v>
      </c>
      <c r="M128" s="81">
        <v>0</v>
      </c>
      <c r="N128" s="81">
        <v>0</v>
      </c>
      <c r="O128" s="81">
        <v>0</v>
      </c>
      <c r="P128" s="82">
        <f t="shared" si="15"/>
        <v>0</v>
      </c>
    </row>
    <row r="129" spans="1:19" x14ac:dyDescent="0.25">
      <c r="A129" s="78" t="s">
        <v>115</v>
      </c>
      <c r="B129" s="78"/>
      <c r="C129" s="78"/>
      <c r="D129" s="84">
        <f t="shared" ref="D129:L129" si="16">SUM(D123:D128)</f>
        <v>-2538205</v>
      </c>
      <c r="E129" s="84">
        <f t="shared" si="16"/>
        <v>-3159540</v>
      </c>
      <c r="F129" s="84">
        <f t="shared" si="16"/>
        <v>-645298</v>
      </c>
      <c r="G129" s="84">
        <f t="shared" si="16"/>
        <v>-5082316</v>
      </c>
      <c r="H129" s="84">
        <f t="shared" si="16"/>
        <v>-988504</v>
      </c>
      <c r="I129" s="84">
        <f t="shared" si="16"/>
        <v>-769663</v>
      </c>
      <c r="J129" s="84">
        <f t="shared" si="16"/>
        <v>-310711</v>
      </c>
      <c r="K129" s="84">
        <f t="shared" si="16"/>
        <v>426628</v>
      </c>
      <c r="L129" s="84">
        <f t="shared" si="16"/>
        <v>655820</v>
      </c>
      <c r="M129" s="84">
        <f>SUM(M123:M128)</f>
        <v>4207445</v>
      </c>
      <c r="N129" s="84">
        <f t="shared" ref="N129:P129" si="17">SUM(N123:N128)</f>
        <v>3744124</v>
      </c>
      <c r="O129" s="84">
        <f t="shared" si="17"/>
        <v>8582810</v>
      </c>
      <c r="P129" s="84">
        <f t="shared" si="17"/>
        <v>4122590</v>
      </c>
    </row>
    <row r="130" spans="1:19" x14ac:dyDescent="0.25">
      <c r="A130" s="78"/>
      <c r="B130" s="78"/>
      <c r="C130" s="78"/>
      <c r="D130" s="78"/>
      <c r="E130" s="78"/>
      <c r="F130" s="78"/>
      <c r="G130" s="78"/>
      <c r="H130" s="78"/>
      <c r="I130" s="78"/>
      <c r="J130" s="78"/>
      <c r="K130" s="78"/>
      <c r="L130" s="78"/>
      <c r="M130" s="78"/>
      <c r="N130" s="78"/>
      <c r="O130" s="78"/>
      <c r="P130" s="78"/>
    </row>
    <row r="131" spans="1:19" x14ac:dyDescent="0.25">
      <c r="A131" s="78" t="s">
        <v>116</v>
      </c>
      <c r="B131" s="78"/>
      <c r="C131" s="78"/>
      <c r="D131" s="78"/>
      <c r="E131" s="78"/>
      <c r="F131" s="78"/>
      <c r="G131" s="78"/>
      <c r="H131" s="78"/>
      <c r="I131" s="78"/>
      <c r="J131" s="78"/>
      <c r="K131" s="78"/>
      <c r="L131" s="78"/>
      <c r="M131" s="78"/>
      <c r="N131" s="78"/>
      <c r="O131" s="78"/>
      <c r="P131" s="78"/>
    </row>
    <row r="132" spans="1:19" x14ac:dyDescent="0.25">
      <c r="A132" s="78"/>
      <c r="B132" s="78" t="s">
        <v>103</v>
      </c>
      <c r="C132" s="78"/>
      <c r="D132" s="81">
        <v>965140</v>
      </c>
      <c r="E132" s="81">
        <v>2503165</v>
      </c>
      <c r="F132" s="81">
        <v>1445600</v>
      </c>
      <c r="G132" s="81">
        <v>3018210</v>
      </c>
      <c r="H132" s="81">
        <v>1490013</v>
      </c>
      <c r="I132" s="81">
        <v>385337</v>
      </c>
      <c r="J132" s="81">
        <v>0</v>
      </c>
      <c r="K132" s="81">
        <v>0</v>
      </c>
      <c r="L132" s="81">
        <v>0</v>
      </c>
      <c r="M132" s="81">
        <v>227894</v>
      </c>
      <c r="N132" s="81">
        <v>3176086</v>
      </c>
      <c r="O132" s="81">
        <v>-2561014</v>
      </c>
      <c r="P132" s="82">
        <f>SUM(D132:O132)</f>
        <v>10650431</v>
      </c>
    </row>
    <row r="133" spans="1:19" x14ac:dyDescent="0.25">
      <c r="A133" s="78"/>
      <c r="B133" s="78" t="s">
        <v>104</v>
      </c>
      <c r="C133" s="78"/>
      <c r="D133" s="81">
        <v>295397</v>
      </c>
      <c r="E133" s="81">
        <v>774201</v>
      </c>
      <c r="F133" s="81">
        <v>449003</v>
      </c>
      <c r="G133" s="81">
        <v>987875</v>
      </c>
      <c r="H133" s="81">
        <v>482621</v>
      </c>
      <c r="I133" s="81">
        <v>126027</v>
      </c>
      <c r="J133" s="81">
        <v>0</v>
      </c>
      <c r="K133" s="81">
        <v>0</v>
      </c>
      <c r="L133" s="81">
        <v>0</v>
      </c>
      <c r="M133" s="81">
        <v>74139</v>
      </c>
      <c r="N133" s="81">
        <v>1032875</v>
      </c>
      <c r="O133" s="81">
        <v>-829719</v>
      </c>
      <c r="P133" s="82">
        <f t="shared" ref="P133:P137" si="18">SUM(D133:O133)</f>
        <v>3392419</v>
      </c>
    </row>
    <row r="134" spans="1:19" x14ac:dyDescent="0.25">
      <c r="A134" s="78"/>
      <c r="B134" s="78" t="s">
        <v>105</v>
      </c>
      <c r="C134" s="78"/>
      <c r="D134" s="81">
        <v>15132</v>
      </c>
      <c r="E134" s="81">
        <v>44301</v>
      </c>
      <c r="F134" s="81">
        <v>24622</v>
      </c>
      <c r="G134" s="81">
        <v>56139</v>
      </c>
      <c r="H134" s="81">
        <v>27698</v>
      </c>
      <c r="I134" s="81">
        <v>7172</v>
      </c>
      <c r="J134" s="81">
        <v>0</v>
      </c>
      <c r="K134" s="81">
        <v>0</v>
      </c>
      <c r="L134" s="81">
        <v>0</v>
      </c>
      <c r="M134" s="81">
        <v>4029</v>
      </c>
      <c r="N134" s="81">
        <v>55933</v>
      </c>
      <c r="O134" s="81">
        <v>3591</v>
      </c>
      <c r="P134" s="82">
        <f t="shared" si="18"/>
        <v>238617</v>
      </c>
    </row>
    <row r="135" spans="1:19" x14ac:dyDescent="0.25">
      <c r="A135" s="78"/>
      <c r="B135" s="78" t="s">
        <v>106</v>
      </c>
      <c r="C135" s="78"/>
      <c r="D135" s="81">
        <v>0</v>
      </c>
      <c r="E135" s="81">
        <v>0</v>
      </c>
      <c r="F135" s="81">
        <v>0</v>
      </c>
      <c r="G135" s="81">
        <v>0</v>
      </c>
      <c r="H135" s="81">
        <v>0</v>
      </c>
      <c r="I135" s="81">
        <v>0</v>
      </c>
      <c r="J135" s="81">
        <v>0</v>
      </c>
      <c r="K135" s="81">
        <v>0</v>
      </c>
      <c r="L135" s="81">
        <v>0</v>
      </c>
      <c r="M135" s="81">
        <v>0</v>
      </c>
      <c r="N135" s="81">
        <v>0</v>
      </c>
      <c r="O135" s="81">
        <v>0</v>
      </c>
      <c r="P135" s="82">
        <f t="shared" si="18"/>
        <v>0</v>
      </c>
    </row>
    <row r="136" spans="1:19" x14ac:dyDescent="0.25">
      <c r="A136" s="78"/>
      <c r="B136" s="78" t="s">
        <v>107</v>
      </c>
      <c r="C136" s="78"/>
      <c r="D136" s="81">
        <v>0</v>
      </c>
      <c r="E136" s="81">
        <v>0</v>
      </c>
      <c r="F136" s="81">
        <v>0</v>
      </c>
      <c r="G136" s="81">
        <v>0</v>
      </c>
      <c r="H136" s="81">
        <v>0</v>
      </c>
      <c r="I136" s="81">
        <v>0</v>
      </c>
      <c r="J136" s="81">
        <v>0</v>
      </c>
      <c r="K136" s="81">
        <v>0</v>
      </c>
      <c r="L136" s="81">
        <v>0</v>
      </c>
      <c r="M136" s="81">
        <v>0</v>
      </c>
      <c r="N136" s="81">
        <v>0</v>
      </c>
      <c r="O136" s="81">
        <v>0</v>
      </c>
      <c r="P136" s="82">
        <f t="shared" si="18"/>
        <v>0</v>
      </c>
    </row>
    <row r="137" spans="1:19" x14ac:dyDescent="0.25">
      <c r="A137" s="78"/>
      <c r="B137" s="78" t="s">
        <v>108</v>
      </c>
      <c r="C137" s="78"/>
      <c r="D137" s="81">
        <v>0</v>
      </c>
      <c r="E137" s="81">
        <v>0</v>
      </c>
      <c r="F137" s="81">
        <v>0</v>
      </c>
      <c r="G137" s="81">
        <v>0</v>
      </c>
      <c r="H137" s="81">
        <v>0</v>
      </c>
      <c r="I137" s="81">
        <v>0</v>
      </c>
      <c r="J137" s="81">
        <v>0</v>
      </c>
      <c r="K137" s="81">
        <v>0</v>
      </c>
      <c r="L137" s="81">
        <v>0</v>
      </c>
      <c r="M137" s="81">
        <v>0</v>
      </c>
      <c r="N137" s="81">
        <v>0</v>
      </c>
      <c r="O137" s="81">
        <v>0</v>
      </c>
      <c r="P137" s="82">
        <f t="shared" si="18"/>
        <v>0</v>
      </c>
    </row>
    <row r="138" spans="1:19" x14ac:dyDescent="0.25">
      <c r="A138" s="78" t="s">
        <v>117</v>
      </c>
      <c r="B138" s="78"/>
      <c r="C138" s="78"/>
      <c r="D138" s="84">
        <f t="shared" ref="D138:P138" si="19">SUM(D132:D137)</f>
        <v>1275669</v>
      </c>
      <c r="E138" s="84">
        <f t="shared" si="19"/>
        <v>3321667</v>
      </c>
      <c r="F138" s="84">
        <f t="shared" si="19"/>
        <v>1919225</v>
      </c>
      <c r="G138" s="84">
        <f t="shared" si="19"/>
        <v>4062224</v>
      </c>
      <c r="H138" s="84">
        <f t="shared" si="19"/>
        <v>2000332</v>
      </c>
      <c r="I138" s="84">
        <f t="shared" si="19"/>
        <v>518536</v>
      </c>
      <c r="J138" s="84">
        <f t="shared" si="19"/>
        <v>0</v>
      </c>
      <c r="K138" s="84">
        <f t="shared" si="19"/>
        <v>0</v>
      </c>
      <c r="L138" s="84">
        <f t="shared" si="19"/>
        <v>0</v>
      </c>
      <c r="M138" s="84">
        <f t="shared" si="19"/>
        <v>306062</v>
      </c>
      <c r="N138" s="84">
        <f t="shared" si="19"/>
        <v>4264894</v>
      </c>
      <c r="O138" s="84">
        <f t="shared" si="19"/>
        <v>-3387142</v>
      </c>
      <c r="P138" s="84">
        <f t="shared" si="19"/>
        <v>14281467</v>
      </c>
    </row>
    <row r="139" spans="1:19" x14ac:dyDescent="0.25">
      <c r="A139" s="78"/>
      <c r="B139" s="78"/>
      <c r="C139" s="78"/>
      <c r="D139" s="78"/>
      <c r="E139" s="78"/>
      <c r="F139" s="78"/>
      <c r="G139" s="78"/>
      <c r="H139" s="78"/>
      <c r="I139" s="78"/>
      <c r="J139" s="78"/>
      <c r="K139" s="78"/>
      <c r="L139" s="78"/>
      <c r="M139" s="78"/>
      <c r="N139" s="78"/>
      <c r="O139" s="78"/>
      <c r="P139" s="78"/>
    </row>
    <row r="140" spans="1:19" x14ac:dyDescent="0.25">
      <c r="A140" s="78" t="s">
        <v>118</v>
      </c>
      <c r="B140" s="78"/>
      <c r="C140" s="78"/>
      <c r="D140" s="78"/>
      <c r="E140" s="78"/>
      <c r="F140" s="78"/>
      <c r="G140" s="78"/>
      <c r="H140" s="78"/>
      <c r="I140" s="78"/>
      <c r="J140" s="78"/>
      <c r="K140" s="78"/>
      <c r="L140" s="78"/>
      <c r="M140" s="78"/>
      <c r="N140" s="78"/>
      <c r="O140" s="78"/>
      <c r="P140" s="78"/>
      <c r="R140" s="85" t="s">
        <v>119</v>
      </c>
    </row>
    <row r="141" spans="1:19" x14ac:dyDescent="0.25">
      <c r="A141" s="78"/>
      <c r="B141" s="78" t="s">
        <v>103</v>
      </c>
      <c r="C141" s="78"/>
      <c r="D141" s="82">
        <f t="shared" ref="D141:L142" si="20">D108+D123+D132</f>
        <v>21124002.23914</v>
      </c>
      <c r="E141" s="82">
        <f t="shared" si="20"/>
        <v>16814800.765939999</v>
      </c>
      <c r="F141" s="82">
        <f t="shared" si="20"/>
        <v>13702397.229009999</v>
      </c>
      <c r="G141" s="82">
        <f t="shared" si="20"/>
        <v>8379182.4339899998</v>
      </c>
      <c r="H141" s="82">
        <f t="shared" si="20"/>
        <v>4880475.12</v>
      </c>
      <c r="I141" s="82">
        <f t="shared" si="20"/>
        <v>3154867.2390000001</v>
      </c>
      <c r="J141" s="82">
        <f t="shared" si="20"/>
        <v>2296192.6940000001</v>
      </c>
      <c r="K141" s="82">
        <f t="shared" si="20"/>
        <v>2357533.6895300001</v>
      </c>
      <c r="L141" s="82">
        <f t="shared" si="20"/>
        <v>3002763.5796699999</v>
      </c>
      <c r="M141" s="82">
        <f>M108+M123+M132</f>
        <v>7503054.3530000001</v>
      </c>
      <c r="N141" s="82">
        <f t="shared" ref="N141:O142" si="21">N108+N123+N132</f>
        <v>14548063.854</v>
      </c>
      <c r="O141" s="82">
        <f t="shared" si="21"/>
        <v>21683284.129999999</v>
      </c>
      <c r="P141" s="82">
        <f t="shared" ref="P141:P146" si="22">SUM(D141:O141)</f>
        <v>119446617.32728</v>
      </c>
      <c r="R141" s="54">
        <v>119446617</v>
      </c>
      <c r="S141" s="86"/>
    </row>
    <row r="142" spans="1:19" x14ac:dyDescent="0.25">
      <c r="A142" s="78"/>
      <c r="B142" s="78" t="s">
        <v>104</v>
      </c>
      <c r="C142" s="78"/>
      <c r="D142" s="82">
        <f t="shared" si="20"/>
        <v>6863508.7141800001</v>
      </c>
      <c r="E142" s="82">
        <f t="shared" si="20"/>
        <v>5974934.7960799998</v>
      </c>
      <c r="F142" s="82">
        <f t="shared" si="20"/>
        <v>5244261.17</v>
      </c>
      <c r="G142" s="82">
        <f t="shared" si="20"/>
        <v>3656858.0049999999</v>
      </c>
      <c r="H142" s="82">
        <f t="shared" si="20"/>
        <v>2704162.5839999998</v>
      </c>
      <c r="I142" s="82">
        <f t="shared" si="20"/>
        <v>1801061.3640000001</v>
      </c>
      <c r="J142" s="82">
        <f t="shared" si="20"/>
        <v>1510014.0530000001</v>
      </c>
      <c r="K142" s="82">
        <f t="shared" si="20"/>
        <v>1583471.3900000001</v>
      </c>
      <c r="L142" s="82">
        <f t="shared" si="20"/>
        <v>1980653.9040000001</v>
      </c>
      <c r="M142" s="82">
        <f>M109+M124+M133</f>
        <v>3736991.8810000001</v>
      </c>
      <c r="N142" s="82">
        <f t="shared" si="21"/>
        <v>5148984.2640000004</v>
      </c>
      <c r="O142" s="82">
        <f t="shared" si="21"/>
        <v>7746818.3579999991</v>
      </c>
      <c r="P142" s="82">
        <f t="shared" si="22"/>
        <v>47951720.483259991</v>
      </c>
      <c r="R142" s="54">
        <v>47951720</v>
      </c>
      <c r="S142" s="86"/>
    </row>
    <row r="143" spans="1:19" x14ac:dyDescent="0.25">
      <c r="A143" s="78"/>
      <c r="B143" s="78" t="s">
        <v>105</v>
      </c>
      <c r="C143" s="78"/>
      <c r="D143" s="82">
        <f t="shared" ref="D143:L145" si="23">D110+D125+D134+D117</f>
        <v>400055.27399999998</v>
      </c>
      <c r="E143" s="82">
        <f t="shared" si="23"/>
        <v>480134.66700999998</v>
      </c>
      <c r="F143" s="82">
        <f t="shared" si="23"/>
        <v>411006.82299999997</v>
      </c>
      <c r="G143" s="82">
        <f t="shared" si="23"/>
        <v>302012.53600000002</v>
      </c>
      <c r="H143" s="82">
        <f t="shared" si="23"/>
        <v>347809.35600000003</v>
      </c>
      <c r="I143" s="82">
        <f t="shared" si="23"/>
        <v>249003.14799999999</v>
      </c>
      <c r="J143" s="82">
        <f t="shared" si="23"/>
        <v>247075.72899999999</v>
      </c>
      <c r="K143" s="82">
        <f t="shared" si="23"/>
        <v>254117.85200000001</v>
      </c>
      <c r="L143" s="82">
        <f t="shared" si="23"/>
        <v>266615.33299999998</v>
      </c>
      <c r="M143" s="82">
        <f>M110+M125+M134+M117</f>
        <v>427406.03600000002</v>
      </c>
      <c r="N143" s="82">
        <f t="shared" ref="N143:O145" si="24">N110+N125+N134+N117</f>
        <v>422319.56900000002</v>
      </c>
      <c r="O143" s="82">
        <f t="shared" si="24"/>
        <v>307774.42799999996</v>
      </c>
      <c r="P143" s="82">
        <f t="shared" si="22"/>
        <v>4115330.7510099998</v>
      </c>
      <c r="R143" s="54">
        <v>4115331</v>
      </c>
      <c r="S143" s="86"/>
    </row>
    <row r="144" spans="1:19" x14ac:dyDescent="0.25">
      <c r="A144" s="78"/>
      <c r="B144" s="78" t="s">
        <v>106</v>
      </c>
      <c r="C144" s="78"/>
      <c r="D144" s="82">
        <f t="shared" si="23"/>
        <v>130804.024</v>
      </c>
      <c r="E144" s="82">
        <f t="shared" si="23"/>
        <v>102322.409</v>
      </c>
      <c r="F144" s="82">
        <f t="shared" si="23"/>
        <v>89942.1</v>
      </c>
      <c r="G144" s="82">
        <f t="shared" si="23"/>
        <v>82073.012000000002</v>
      </c>
      <c r="H144" s="82">
        <f t="shared" si="23"/>
        <v>57685.224000000002</v>
      </c>
      <c r="I144" s="82">
        <f t="shared" si="23"/>
        <v>51713.392999999996</v>
      </c>
      <c r="J144" s="82">
        <f t="shared" si="23"/>
        <v>45567.493000000002</v>
      </c>
      <c r="K144" s="82">
        <f t="shared" si="23"/>
        <v>37962.688000000002</v>
      </c>
      <c r="L144" s="82">
        <f t="shared" si="23"/>
        <v>46700.233999999997</v>
      </c>
      <c r="M144" s="82">
        <f>M111+M126+M135+M118</f>
        <v>59609.65</v>
      </c>
      <c r="N144" s="82">
        <f t="shared" si="24"/>
        <v>85099.777000000002</v>
      </c>
      <c r="O144" s="82">
        <f t="shared" si="24"/>
        <v>111787.641</v>
      </c>
      <c r="P144" s="82">
        <f t="shared" si="22"/>
        <v>901267.64500000002</v>
      </c>
      <c r="R144" s="54">
        <v>901267</v>
      </c>
      <c r="S144" s="86"/>
    </row>
    <row r="145" spans="1:19" x14ac:dyDescent="0.25">
      <c r="A145" s="78"/>
      <c r="B145" s="78" t="s">
        <v>107</v>
      </c>
      <c r="C145" s="78"/>
      <c r="D145" s="82">
        <f t="shared" si="23"/>
        <v>3378182</v>
      </c>
      <c r="E145" s="82">
        <f t="shared" si="23"/>
        <v>3399233</v>
      </c>
      <c r="F145" s="82">
        <f t="shared" si="23"/>
        <v>2972422</v>
      </c>
      <c r="G145" s="82">
        <f t="shared" si="23"/>
        <v>2854611</v>
      </c>
      <c r="H145" s="82">
        <f t="shared" si="23"/>
        <v>2379723</v>
      </c>
      <c r="I145" s="82">
        <f t="shared" si="23"/>
        <v>2367233</v>
      </c>
      <c r="J145" s="82">
        <f t="shared" si="23"/>
        <v>2209080</v>
      </c>
      <c r="K145" s="82">
        <f t="shared" si="23"/>
        <v>1966059</v>
      </c>
      <c r="L145" s="82">
        <f t="shared" si="23"/>
        <v>2007520</v>
      </c>
      <c r="M145" s="82">
        <f>M112+M127+M136+M119</f>
        <v>1938915</v>
      </c>
      <c r="N145" s="82">
        <f t="shared" si="24"/>
        <v>2521958</v>
      </c>
      <c r="O145" s="82">
        <f t="shared" si="24"/>
        <v>2724593</v>
      </c>
      <c r="P145" s="82">
        <f t="shared" si="22"/>
        <v>30719529</v>
      </c>
      <c r="R145" s="54">
        <v>30719529</v>
      </c>
      <c r="S145" s="86"/>
    </row>
    <row r="146" spans="1:19" x14ac:dyDescent="0.25">
      <c r="A146" s="78"/>
      <c r="B146" s="78" t="s">
        <v>108</v>
      </c>
      <c r="C146" s="78"/>
      <c r="D146" s="82">
        <f t="shared" ref="D146:L146" si="25">D113+D128+D137</f>
        <v>4867469</v>
      </c>
      <c r="E146" s="82">
        <f t="shared" si="25"/>
        <v>4950129</v>
      </c>
      <c r="F146" s="82">
        <f t="shared" si="25"/>
        <v>4201135</v>
      </c>
      <c r="G146" s="82">
        <f t="shared" si="25"/>
        <v>4124804</v>
      </c>
      <c r="H146" s="82">
        <f t="shared" si="25"/>
        <v>3896618</v>
      </c>
      <c r="I146" s="82">
        <f t="shared" si="25"/>
        <v>3896733</v>
      </c>
      <c r="J146" s="82">
        <f t="shared" si="25"/>
        <v>3493208</v>
      </c>
      <c r="K146" s="82">
        <f t="shared" si="25"/>
        <v>3645965</v>
      </c>
      <c r="L146" s="82">
        <f t="shared" si="25"/>
        <v>4185571</v>
      </c>
      <c r="M146" s="82">
        <f>M113+M128+M137</f>
        <v>3668462</v>
      </c>
      <c r="N146" s="82">
        <f t="shared" ref="N146:O146" si="26">N113+N128+N137</f>
        <v>3994866</v>
      </c>
      <c r="O146" s="82">
        <f t="shared" si="26"/>
        <v>4082259</v>
      </c>
      <c r="P146" s="82">
        <f t="shared" si="22"/>
        <v>49007219</v>
      </c>
      <c r="R146" s="86">
        <f>39386921+9620298</f>
        <v>49007219</v>
      </c>
      <c r="S146" s="86"/>
    </row>
    <row r="147" spans="1:19" x14ac:dyDescent="0.25">
      <c r="A147" s="78" t="s">
        <v>120</v>
      </c>
      <c r="B147" s="78"/>
      <c r="C147" s="78"/>
      <c r="D147" s="84">
        <f t="shared" ref="D147:L147" si="27">SUM(D141:D146)</f>
        <v>36764021.251320004</v>
      </c>
      <c r="E147" s="84">
        <f t="shared" si="27"/>
        <v>31721554.63803</v>
      </c>
      <c r="F147" s="84">
        <f t="shared" si="27"/>
        <v>26621164.322009999</v>
      </c>
      <c r="G147" s="84">
        <f t="shared" si="27"/>
        <v>19399540.986990001</v>
      </c>
      <c r="H147" s="84">
        <f t="shared" si="27"/>
        <v>14266473.284</v>
      </c>
      <c r="I147" s="84">
        <f t="shared" si="27"/>
        <v>11520611.144000001</v>
      </c>
      <c r="J147" s="84">
        <f t="shared" si="27"/>
        <v>9801137.9690000005</v>
      </c>
      <c r="K147" s="84">
        <f t="shared" si="27"/>
        <v>9845109.6195299998</v>
      </c>
      <c r="L147" s="84">
        <f t="shared" si="27"/>
        <v>11489824.05067</v>
      </c>
      <c r="M147" s="84">
        <f>SUM(M141:M146)</f>
        <v>17334438.920000002</v>
      </c>
      <c r="N147" s="84">
        <f t="shared" ref="N147:P147" si="28">SUM(N141:N146)</f>
        <v>26721291.463999998</v>
      </c>
      <c r="O147" s="84">
        <f t="shared" si="28"/>
        <v>36656516.556999996</v>
      </c>
      <c r="P147" s="84">
        <f t="shared" si="28"/>
        <v>252141684.20655</v>
      </c>
      <c r="R147" s="87">
        <f>SUM(R141:R146)</f>
        <v>252141683</v>
      </c>
    </row>
    <row r="148" spans="1:19" x14ac:dyDescent="0.25">
      <c r="A148" s="78"/>
      <c r="B148" s="78"/>
      <c r="C148" s="78"/>
      <c r="D148" s="82"/>
      <c r="E148" s="82"/>
      <c r="F148" s="82"/>
      <c r="G148" s="82"/>
      <c r="H148" s="82"/>
      <c r="I148" s="82"/>
      <c r="J148" s="82"/>
      <c r="K148" s="82"/>
      <c r="L148" s="82"/>
      <c r="M148" s="82"/>
      <c r="N148" s="82"/>
      <c r="O148" s="82"/>
      <c r="P148" s="82"/>
    </row>
    <row r="149" spans="1:19" x14ac:dyDescent="0.25">
      <c r="A149" s="78"/>
      <c r="B149" s="78" t="s">
        <v>121</v>
      </c>
      <c r="C149" s="78"/>
      <c r="D149" s="82">
        <f t="shared" ref="D149:L149" si="29">D141</f>
        <v>21124002.23914</v>
      </c>
      <c r="E149" s="82">
        <f t="shared" si="29"/>
        <v>16814800.765939999</v>
      </c>
      <c r="F149" s="82">
        <f t="shared" si="29"/>
        <v>13702397.229009999</v>
      </c>
      <c r="G149" s="82">
        <f t="shared" si="29"/>
        <v>8379182.4339899998</v>
      </c>
      <c r="H149" s="82">
        <f t="shared" si="29"/>
        <v>4880475.12</v>
      </c>
      <c r="I149" s="82">
        <f t="shared" si="29"/>
        <v>3154867.2390000001</v>
      </c>
      <c r="J149" s="82">
        <f t="shared" si="29"/>
        <v>2296192.6940000001</v>
      </c>
      <c r="K149" s="82">
        <f t="shared" si="29"/>
        <v>2357533.6895300001</v>
      </c>
      <c r="L149" s="82">
        <f t="shared" si="29"/>
        <v>3002763.5796699999</v>
      </c>
      <c r="M149" s="82">
        <f>M141</f>
        <v>7503054.3530000001</v>
      </c>
      <c r="N149" s="82">
        <f t="shared" ref="N149:O149" si="30">N141</f>
        <v>14548063.854</v>
      </c>
      <c r="O149" s="82">
        <f t="shared" si="30"/>
        <v>21683284.129999999</v>
      </c>
      <c r="P149" s="82">
        <f>SUM(D149:O149)</f>
        <v>119446617.32728</v>
      </c>
    </row>
    <row r="150" spans="1:19" x14ac:dyDescent="0.25">
      <c r="A150" s="78"/>
      <c r="B150" s="78" t="s">
        <v>122</v>
      </c>
      <c r="C150" s="78"/>
      <c r="D150" s="82">
        <v>152912</v>
      </c>
      <c r="E150" s="82">
        <v>153882</v>
      </c>
      <c r="F150" s="82">
        <v>153511</v>
      </c>
      <c r="G150" s="82">
        <v>153360</v>
      </c>
      <c r="H150" s="82">
        <v>153389</v>
      </c>
      <c r="I150" s="82">
        <v>153224</v>
      </c>
      <c r="J150" s="82">
        <v>153459</v>
      </c>
      <c r="K150" s="82">
        <v>153740</v>
      </c>
      <c r="L150" s="82">
        <v>154156</v>
      </c>
      <c r="M150" s="82">
        <v>154684</v>
      </c>
      <c r="N150" s="82">
        <v>155353</v>
      </c>
      <c r="O150" s="82">
        <v>155792</v>
      </c>
      <c r="P150" s="82">
        <f>SUM(D150:O150)</f>
        <v>1847462</v>
      </c>
      <c r="R150" s="86">
        <v>1847462</v>
      </c>
      <c r="S150" t="s">
        <v>123</v>
      </c>
    </row>
    <row r="151" spans="1:19" x14ac:dyDescent="0.25">
      <c r="A151" s="78"/>
      <c r="B151" s="78" t="s">
        <v>124</v>
      </c>
      <c r="C151" s="78"/>
      <c r="D151" s="82">
        <f t="shared" ref="D151:L151" si="31">D149/D150</f>
        <v>138.14482996193888</v>
      </c>
      <c r="E151" s="82">
        <f t="shared" si="31"/>
        <v>109.27074489504945</v>
      </c>
      <c r="F151" s="82">
        <f t="shared" si="31"/>
        <v>89.260034974757502</v>
      </c>
      <c r="G151" s="82">
        <f t="shared" si="31"/>
        <v>54.637339814749609</v>
      </c>
      <c r="H151" s="82">
        <f t="shared" si="31"/>
        <v>31.817634380561842</v>
      </c>
      <c r="I151" s="82">
        <f t="shared" si="31"/>
        <v>20.589902619694044</v>
      </c>
      <c r="J151" s="82">
        <f t="shared" si="31"/>
        <v>14.962906665624043</v>
      </c>
      <c r="K151" s="82">
        <f t="shared" si="31"/>
        <v>15.334549821321712</v>
      </c>
      <c r="L151" s="82">
        <f t="shared" si="31"/>
        <v>19.478733099392823</v>
      </c>
      <c r="M151" s="82">
        <f>M149/M150</f>
        <v>48.505691299681935</v>
      </c>
      <c r="N151" s="82">
        <f t="shared" ref="N151:P151" si="32">N149/N150</f>
        <v>93.645207070349457</v>
      </c>
      <c r="O151" s="82">
        <f t="shared" si="32"/>
        <v>139.18098573739343</v>
      </c>
      <c r="P151" s="82">
        <f t="shared" si="32"/>
        <v>64.654437995087321</v>
      </c>
    </row>
    <row r="152" spans="1:19" x14ac:dyDescent="0.25">
      <c r="A152" s="78"/>
      <c r="B152" s="78" t="s">
        <v>125</v>
      </c>
      <c r="C152" s="78"/>
      <c r="D152" s="82">
        <f>D144</f>
        <v>130804.024</v>
      </c>
      <c r="E152" s="82">
        <f t="shared" ref="E152:O152" si="33">E144</f>
        <v>102322.409</v>
      </c>
      <c r="F152" s="82">
        <f t="shared" si="33"/>
        <v>89942.1</v>
      </c>
      <c r="G152" s="82">
        <f t="shared" si="33"/>
        <v>82073.012000000002</v>
      </c>
      <c r="H152" s="82">
        <f t="shared" si="33"/>
        <v>57685.224000000002</v>
      </c>
      <c r="I152" s="82">
        <f t="shared" si="33"/>
        <v>51713.392999999996</v>
      </c>
      <c r="J152" s="82">
        <f t="shared" si="33"/>
        <v>45567.493000000002</v>
      </c>
      <c r="K152" s="82">
        <f t="shared" si="33"/>
        <v>37962.688000000002</v>
      </c>
      <c r="L152" s="82">
        <f t="shared" si="33"/>
        <v>46700.233999999997</v>
      </c>
      <c r="M152" s="82">
        <f t="shared" si="33"/>
        <v>59609.65</v>
      </c>
      <c r="N152" s="82">
        <f t="shared" si="33"/>
        <v>85099.777000000002</v>
      </c>
      <c r="O152" s="82">
        <f t="shared" si="33"/>
        <v>111787.641</v>
      </c>
      <c r="P152" s="82">
        <f t="shared" ref="P152:P153" si="34">SUM(D152:O152)</f>
        <v>901267.64500000002</v>
      </c>
      <c r="R152" s="54">
        <v>32983</v>
      </c>
      <c r="S152" t="s">
        <v>126</v>
      </c>
    </row>
    <row r="153" spans="1:19" x14ac:dyDescent="0.25">
      <c r="A153" s="78"/>
      <c r="B153" s="78" t="s">
        <v>127</v>
      </c>
      <c r="C153" s="78"/>
      <c r="D153" s="82">
        <f>D165</f>
        <v>2</v>
      </c>
      <c r="E153" s="82">
        <f t="shared" ref="E153:O153" si="35">E165</f>
        <v>2</v>
      </c>
      <c r="F153" s="82">
        <f t="shared" si="35"/>
        <v>2</v>
      </c>
      <c r="G153" s="82">
        <f t="shared" si="35"/>
        <v>2</v>
      </c>
      <c r="H153" s="82">
        <f t="shared" si="35"/>
        <v>2</v>
      </c>
      <c r="I153" s="82">
        <f t="shared" si="35"/>
        <v>2</v>
      </c>
      <c r="J153" s="82">
        <f t="shared" si="35"/>
        <v>2</v>
      </c>
      <c r="K153" s="82">
        <f t="shared" si="35"/>
        <v>2</v>
      </c>
      <c r="L153" s="82">
        <f t="shared" si="35"/>
        <v>2</v>
      </c>
      <c r="M153" s="82">
        <f t="shared" si="35"/>
        <v>2</v>
      </c>
      <c r="N153" s="82">
        <f t="shared" si="35"/>
        <v>2</v>
      </c>
      <c r="O153" s="82">
        <f t="shared" si="35"/>
        <v>2</v>
      </c>
      <c r="P153" s="82">
        <f t="shared" si="34"/>
        <v>24</v>
      </c>
      <c r="R153" s="54">
        <v>273</v>
      </c>
      <c r="S153" t="s">
        <v>128</v>
      </c>
    </row>
    <row r="154" spans="1:19" x14ac:dyDescent="0.25">
      <c r="A154" s="78"/>
      <c r="B154" s="78" t="s">
        <v>129</v>
      </c>
      <c r="C154" s="78"/>
      <c r="D154" s="82">
        <f>SUM(D142:D144)-D152</f>
        <v>7263563.9881800003</v>
      </c>
      <c r="E154" s="82">
        <f t="shared" ref="E154:L154" si="36">SUM(E142:E144)-E152</f>
        <v>6455069.4630899997</v>
      </c>
      <c r="F154" s="82">
        <f t="shared" si="36"/>
        <v>5655267.9929999998</v>
      </c>
      <c r="G154" s="82">
        <f t="shared" si="36"/>
        <v>3958870.5409999997</v>
      </c>
      <c r="H154" s="82">
        <f t="shared" si="36"/>
        <v>3051971.94</v>
      </c>
      <c r="I154" s="82">
        <f t="shared" si="36"/>
        <v>2050064.5120000003</v>
      </c>
      <c r="J154" s="82">
        <f t="shared" si="36"/>
        <v>1757089.7820000001</v>
      </c>
      <c r="K154" s="82">
        <f t="shared" si="36"/>
        <v>1837589.2420000001</v>
      </c>
      <c r="L154" s="82">
        <f t="shared" si="36"/>
        <v>2247269.2370000002</v>
      </c>
      <c r="M154" s="82">
        <f>SUM(M142:M144)-M152</f>
        <v>4164397.9169999999</v>
      </c>
      <c r="N154" s="82">
        <f t="shared" ref="N154:O154" si="37">SUM(N142:N144)-N152</f>
        <v>5571303.8330000006</v>
      </c>
      <c r="O154" s="82">
        <f t="shared" si="37"/>
        <v>8054592.7859999994</v>
      </c>
      <c r="P154" s="82">
        <f>SUM(D154:O154)</f>
        <v>52067051.234270006</v>
      </c>
      <c r="R154" s="54">
        <v>24</v>
      </c>
      <c r="S154" t="s">
        <v>130</v>
      </c>
    </row>
    <row r="155" spans="1:19" x14ac:dyDescent="0.25">
      <c r="A155" s="78"/>
      <c r="B155" s="78" t="s">
        <v>131</v>
      </c>
      <c r="C155" s="78"/>
      <c r="D155" s="82">
        <f t="shared" ref="D155" si="38">D166-D153</f>
        <v>2665</v>
      </c>
      <c r="E155" s="82">
        <f>E166-E153</f>
        <v>2706</v>
      </c>
      <c r="F155" s="82">
        <f t="shared" ref="F155:L155" si="39">F166-F153</f>
        <v>2709</v>
      </c>
      <c r="G155" s="82">
        <f t="shared" si="39"/>
        <v>2798</v>
      </c>
      <c r="H155" s="82">
        <f t="shared" si="39"/>
        <v>2770</v>
      </c>
      <c r="I155" s="82">
        <f t="shared" si="39"/>
        <v>2794</v>
      </c>
      <c r="J155" s="82">
        <f t="shared" si="39"/>
        <v>2795</v>
      </c>
      <c r="K155" s="82">
        <f t="shared" si="39"/>
        <v>2776</v>
      </c>
      <c r="L155" s="82">
        <f t="shared" si="39"/>
        <v>2795</v>
      </c>
      <c r="M155" s="82">
        <f>M166-M153</f>
        <v>2799</v>
      </c>
      <c r="N155" s="82">
        <f t="shared" ref="N155:O155" si="40">N166-N153</f>
        <v>2814</v>
      </c>
      <c r="O155" s="82">
        <f t="shared" si="40"/>
        <v>2835</v>
      </c>
      <c r="P155" s="82">
        <f>SUM(D155:O155)</f>
        <v>33256</v>
      </c>
      <c r="R155" s="54">
        <f>SUM(R152:R154)</f>
        <v>33280</v>
      </c>
      <c r="S155" t="s">
        <v>132</v>
      </c>
    </row>
    <row r="156" spans="1:19" x14ac:dyDescent="0.25">
      <c r="A156" s="78"/>
      <c r="B156" s="78" t="s">
        <v>133</v>
      </c>
      <c r="C156" s="78"/>
      <c r="D156" s="82">
        <f t="shared" ref="D156:L156" si="41">D154/D155</f>
        <v>2725.5399580412759</v>
      </c>
      <c r="E156" s="82">
        <f t="shared" si="41"/>
        <v>2385.4654335144123</v>
      </c>
      <c r="F156" s="82">
        <f t="shared" si="41"/>
        <v>2087.585084163898</v>
      </c>
      <c r="G156" s="82">
        <f t="shared" si="41"/>
        <v>1414.8929739099356</v>
      </c>
      <c r="H156" s="82">
        <f t="shared" si="41"/>
        <v>1101.7949241877257</v>
      </c>
      <c r="I156" s="82">
        <f t="shared" si="41"/>
        <v>733.7381932712957</v>
      </c>
      <c r="J156" s="82">
        <f t="shared" si="41"/>
        <v>628.65466261180688</v>
      </c>
      <c r="K156" s="82">
        <f t="shared" si="41"/>
        <v>661.95577881844383</v>
      </c>
      <c r="L156" s="82">
        <f t="shared" si="41"/>
        <v>804.03192737030417</v>
      </c>
      <c r="M156" s="82">
        <f>M154/M155</f>
        <v>1487.8163333333332</v>
      </c>
      <c r="N156" s="82">
        <f t="shared" ref="N156:P156" si="42">N154/N155</f>
        <v>1979.8521083866385</v>
      </c>
      <c r="O156" s="82">
        <f t="shared" si="42"/>
        <v>2841.1262031746028</v>
      </c>
      <c r="P156" s="82">
        <f t="shared" si="42"/>
        <v>1565.6438307153599</v>
      </c>
      <c r="R156" s="54">
        <v>-24</v>
      </c>
      <c r="S156" t="s">
        <v>134</v>
      </c>
    </row>
    <row r="157" spans="1:19" x14ac:dyDescent="0.25">
      <c r="A157" s="78"/>
      <c r="B157" s="78"/>
      <c r="C157" s="78"/>
      <c r="D157" s="78"/>
      <c r="E157" s="78"/>
      <c r="F157" s="78"/>
      <c r="G157" s="78"/>
      <c r="H157" s="78"/>
      <c r="I157" s="78"/>
      <c r="J157" s="78"/>
      <c r="K157" s="78"/>
      <c r="L157" s="78"/>
      <c r="M157" s="78"/>
      <c r="N157" s="78"/>
      <c r="O157" s="78"/>
      <c r="P157" s="78"/>
      <c r="R157" s="54">
        <f>R155+R156</f>
        <v>33256</v>
      </c>
      <c r="S157" t="s">
        <v>135</v>
      </c>
    </row>
    <row r="158" spans="1:19" x14ac:dyDescent="0.25">
      <c r="A158" s="78"/>
      <c r="B158" s="78" t="s">
        <v>136</v>
      </c>
      <c r="C158" s="78"/>
      <c r="D158" s="88">
        <f t="shared" ref="D158:L158" si="43">D147/$P147</f>
        <v>0.14580699485295565</v>
      </c>
      <c r="E158" s="88">
        <f t="shared" si="43"/>
        <v>0.12580845066476301</v>
      </c>
      <c r="F158" s="88">
        <f t="shared" si="43"/>
        <v>0.1055801796747039</v>
      </c>
      <c r="G158" s="88">
        <f t="shared" si="43"/>
        <v>7.693904737741912E-2</v>
      </c>
      <c r="H158" s="88">
        <f t="shared" si="43"/>
        <v>5.6581177082616604E-2</v>
      </c>
      <c r="I158" s="88">
        <f t="shared" si="43"/>
        <v>4.5691021618474319E-2</v>
      </c>
      <c r="J158" s="88">
        <f t="shared" si="43"/>
        <v>3.8871549541055185E-2</v>
      </c>
      <c r="K158" s="88">
        <f t="shared" si="43"/>
        <v>3.9045942167440513E-2</v>
      </c>
      <c r="L158" s="88">
        <f t="shared" si="43"/>
        <v>4.556891926389188E-2</v>
      </c>
      <c r="M158" s="88">
        <f>M147/$P147</f>
        <v>6.8748802779471943E-2</v>
      </c>
      <c r="N158" s="88">
        <f t="shared" ref="N158:O158" si="44">N147/$P147</f>
        <v>0.10597728633441819</v>
      </c>
      <c r="O158" s="88">
        <f t="shared" si="44"/>
        <v>0.14538062864278969</v>
      </c>
      <c r="P158" s="89">
        <f>SUM(D158:O158)</f>
        <v>0.99999999999999989</v>
      </c>
    </row>
    <row r="160" spans="1:19" x14ac:dyDescent="0.25">
      <c r="B160" t="s">
        <v>137</v>
      </c>
      <c r="D160" s="86">
        <f>D152-D144</f>
        <v>0</v>
      </c>
      <c r="E160" s="86">
        <f t="shared" ref="E160:L160" si="45">E152-E144</f>
        <v>0</v>
      </c>
      <c r="F160" s="86">
        <f t="shared" si="45"/>
        <v>0</v>
      </c>
      <c r="G160" s="86">
        <f t="shared" si="45"/>
        <v>0</v>
      </c>
      <c r="H160" s="86">
        <f t="shared" si="45"/>
        <v>0</v>
      </c>
      <c r="I160" s="86">
        <f t="shared" si="45"/>
        <v>0</v>
      </c>
      <c r="J160" s="86">
        <f t="shared" si="45"/>
        <v>0</v>
      </c>
      <c r="K160" s="86">
        <f t="shared" si="45"/>
        <v>0</v>
      </c>
      <c r="L160" s="86">
        <f t="shared" si="45"/>
        <v>0</v>
      </c>
      <c r="M160" s="86">
        <f>M152-M144</f>
        <v>0</v>
      </c>
      <c r="N160" s="86">
        <f t="shared" ref="N160:O160" si="46">N152-N144</f>
        <v>0</v>
      </c>
      <c r="O160" s="86">
        <f t="shared" si="46"/>
        <v>0</v>
      </c>
      <c r="P160" s="86">
        <f>SUM(D160:O160)</f>
        <v>0</v>
      </c>
    </row>
    <row r="162" spans="2:16" x14ac:dyDescent="0.25">
      <c r="B162" t="s">
        <v>138</v>
      </c>
      <c r="D162" s="54">
        <v>2642</v>
      </c>
      <c r="E162" s="82">
        <v>2680</v>
      </c>
      <c r="F162" s="54">
        <v>2684</v>
      </c>
      <c r="G162" s="54">
        <v>2773</v>
      </c>
      <c r="H162" s="54">
        <v>2745</v>
      </c>
      <c r="I162" s="54">
        <v>2769</v>
      </c>
      <c r="J162" s="54">
        <v>2770</v>
      </c>
      <c r="K162" s="54">
        <v>2751</v>
      </c>
      <c r="L162" s="54">
        <v>2770</v>
      </c>
      <c r="M162" s="54">
        <v>2775</v>
      </c>
      <c r="N162" s="54">
        <v>2789</v>
      </c>
      <c r="O162" s="54">
        <v>2835</v>
      </c>
      <c r="P162" s="86">
        <f>SUM(D162:O162)</f>
        <v>32983</v>
      </c>
    </row>
    <row r="163" spans="2:16" x14ac:dyDescent="0.25">
      <c r="B163" t="s">
        <v>139</v>
      </c>
      <c r="D163" s="54">
        <v>24</v>
      </c>
      <c r="E163" s="54">
        <v>27</v>
      </c>
      <c r="F163" s="54">
        <v>26</v>
      </c>
      <c r="G163" s="54">
        <v>26</v>
      </c>
      <c r="H163" s="54">
        <v>26</v>
      </c>
      <c r="I163" s="54">
        <v>26</v>
      </c>
      <c r="J163" s="54">
        <v>26</v>
      </c>
      <c r="K163" s="54">
        <v>26</v>
      </c>
      <c r="L163" s="54">
        <v>26</v>
      </c>
      <c r="M163" s="54">
        <v>25</v>
      </c>
      <c r="N163" s="54">
        <v>25</v>
      </c>
      <c r="O163" s="54">
        <v>0</v>
      </c>
      <c r="P163" s="54">
        <f t="shared" ref="P163:P165" si="47">SUM(D163:O163)</f>
        <v>283</v>
      </c>
    </row>
    <row r="164" spans="2:16" x14ac:dyDescent="0.25">
      <c r="B164" t="s">
        <v>140</v>
      </c>
      <c r="D164" s="54">
        <v>-1</v>
      </c>
      <c r="E164" s="54">
        <v>-1</v>
      </c>
      <c r="F164" s="54">
        <v>-1</v>
      </c>
      <c r="G164" s="54">
        <v>-1</v>
      </c>
      <c r="H164" s="54">
        <v>-1</v>
      </c>
      <c r="I164" s="54">
        <v>-1</v>
      </c>
      <c r="J164" s="54">
        <v>-1</v>
      </c>
      <c r="K164" s="54">
        <v>-1</v>
      </c>
      <c r="L164" s="54">
        <v>-1</v>
      </c>
      <c r="M164" s="54">
        <v>-1</v>
      </c>
      <c r="N164" s="54">
        <v>0</v>
      </c>
      <c r="O164" s="54">
        <v>0</v>
      </c>
      <c r="P164" s="54">
        <f t="shared" si="47"/>
        <v>-10</v>
      </c>
    </row>
    <row r="165" spans="2:16" x14ac:dyDescent="0.25">
      <c r="B165" t="s">
        <v>141</v>
      </c>
      <c r="D165" s="54">
        <f>3-1</f>
        <v>2</v>
      </c>
      <c r="E165" s="54">
        <v>2</v>
      </c>
      <c r="F165" s="54">
        <v>2</v>
      </c>
      <c r="G165" s="54">
        <v>2</v>
      </c>
      <c r="H165" s="54">
        <v>2</v>
      </c>
      <c r="I165" s="54">
        <v>2</v>
      </c>
      <c r="J165" s="54">
        <v>2</v>
      </c>
      <c r="K165" s="54">
        <v>2</v>
      </c>
      <c r="L165" s="54">
        <v>2</v>
      </c>
      <c r="M165" s="54">
        <v>2</v>
      </c>
      <c r="N165" s="54">
        <v>2</v>
      </c>
      <c r="O165" s="54">
        <v>2</v>
      </c>
      <c r="P165" s="54">
        <f t="shared" si="47"/>
        <v>24</v>
      </c>
    </row>
    <row r="166" spans="2:16" x14ac:dyDescent="0.25">
      <c r="D166" s="87">
        <f t="shared" ref="D166:L166" si="48">SUM(D162:D165)</f>
        <v>2667</v>
      </c>
      <c r="E166" s="87">
        <f t="shared" si="48"/>
        <v>2708</v>
      </c>
      <c r="F166" s="87">
        <f t="shared" si="48"/>
        <v>2711</v>
      </c>
      <c r="G166" s="87">
        <f t="shared" si="48"/>
        <v>2800</v>
      </c>
      <c r="H166" s="87">
        <f t="shared" si="48"/>
        <v>2772</v>
      </c>
      <c r="I166" s="87">
        <f t="shared" si="48"/>
        <v>2796</v>
      </c>
      <c r="J166" s="87">
        <f t="shared" si="48"/>
        <v>2797</v>
      </c>
      <c r="K166" s="87">
        <f t="shared" si="48"/>
        <v>2778</v>
      </c>
      <c r="L166" s="87">
        <f t="shared" si="48"/>
        <v>2797</v>
      </c>
      <c r="M166" s="87">
        <f>SUM(M162:M165)</f>
        <v>2801</v>
      </c>
      <c r="N166" s="87">
        <f t="shared" ref="N166:P166" si="49">SUM(N162:N165)</f>
        <v>2816</v>
      </c>
      <c r="O166" s="87">
        <f t="shared" si="49"/>
        <v>2837</v>
      </c>
      <c r="P166" s="87">
        <f t="shared" si="49"/>
        <v>33280</v>
      </c>
    </row>
  </sheetData>
  <mergeCells count="19">
    <mergeCell ref="A1:I1"/>
    <mergeCell ref="A2:I2"/>
    <mergeCell ref="N1:R1"/>
    <mergeCell ref="N2:R2"/>
    <mergeCell ref="N3:R3"/>
    <mergeCell ref="N4:R4"/>
    <mergeCell ref="N5:R5"/>
    <mergeCell ref="A3:I3"/>
    <mergeCell ref="A4:I4"/>
    <mergeCell ref="H22:I23"/>
    <mergeCell ref="A42:E42"/>
    <mergeCell ref="A73:P73"/>
    <mergeCell ref="N6:R6"/>
    <mergeCell ref="A43:E43"/>
    <mergeCell ref="A44:E44"/>
    <mergeCell ref="A45:E45"/>
    <mergeCell ref="A70:P70"/>
    <mergeCell ref="A71:P71"/>
    <mergeCell ref="A72:P7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W67"/>
  <sheetViews>
    <sheetView tabSelected="1" zoomScaleNormal="100" workbookViewId="0">
      <pane xSplit="2" ySplit="1" topLeftCell="J29" activePane="bottomRight" state="frozen"/>
      <selection activeCell="N58" sqref="N58"/>
      <selection pane="topRight" activeCell="N58" sqref="N58"/>
      <selection pane="bottomLeft" activeCell="N58" sqref="N58"/>
      <selection pane="bottomRight" activeCell="N59" sqref="N59:O59"/>
    </sheetView>
  </sheetViews>
  <sheetFormatPr defaultRowHeight="15" x14ac:dyDescent="0.25"/>
  <cols>
    <col min="1" max="1" width="13.85546875" customWidth="1"/>
    <col min="2" max="2" width="17.7109375" customWidth="1"/>
    <col min="3" max="3" width="15" customWidth="1"/>
    <col min="4" max="8" width="14.28515625" customWidth="1"/>
    <col min="9" max="9" width="12.5703125" customWidth="1"/>
    <col min="10" max="10" width="12.28515625" customWidth="1"/>
    <col min="11" max="11" width="12.5703125" customWidth="1"/>
    <col min="12" max="12" width="12.140625" customWidth="1"/>
    <col min="13" max="13" width="12.42578125" customWidth="1"/>
    <col min="14" max="14" width="12.85546875" customWidth="1"/>
    <col min="15" max="15" width="12.28515625" customWidth="1"/>
    <col min="16" max="16" width="12.42578125" customWidth="1"/>
    <col min="17" max="17" width="13.140625" customWidth="1"/>
    <col min="18" max="18" width="13" customWidth="1"/>
    <col min="19" max="19" width="13.28515625" customWidth="1"/>
    <col min="20" max="20" width="12.42578125" customWidth="1"/>
    <col min="21" max="21" width="12.28515625" customWidth="1"/>
    <col min="22" max="22" width="12.85546875" customWidth="1"/>
    <col min="23" max="23" width="13.28515625" customWidth="1"/>
    <col min="24" max="24" width="12.42578125" customWidth="1"/>
    <col min="25" max="25" width="12.7109375" customWidth="1"/>
    <col min="26" max="26" width="13.140625" customWidth="1"/>
    <col min="27" max="27" width="13.28515625" customWidth="1"/>
    <col min="28" max="28" width="13" customWidth="1"/>
    <col min="29" max="29" width="14.42578125" customWidth="1"/>
    <col min="30" max="30" width="13.5703125" customWidth="1"/>
    <col min="31" max="33" width="12.7109375" customWidth="1"/>
    <col min="34" max="36" width="12.140625" customWidth="1"/>
    <col min="37" max="37" width="11.5703125" customWidth="1"/>
    <col min="38" max="38" width="13.28515625" customWidth="1"/>
    <col min="39" max="39" width="13.140625" customWidth="1"/>
    <col min="40" max="49" width="11.5703125" bestFit="1" customWidth="1"/>
  </cols>
  <sheetData>
    <row r="1" spans="1:49" x14ac:dyDescent="0.25">
      <c r="C1" t="s">
        <v>313</v>
      </c>
      <c r="D1" s="229">
        <v>43831</v>
      </c>
      <c r="E1" s="229">
        <f t="shared" ref="E1" si="0">EDATE(D1,1)</f>
        <v>43862</v>
      </c>
      <c r="F1" s="229">
        <f t="shared" ref="F1" si="1">EDATE(E1,1)</f>
        <v>43891</v>
      </c>
      <c r="G1" s="229">
        <f t="shared" ref="G1" si="2">EDATE(F1,1)</f>
        <v>43922</v>
      </c>
      <c r="H1" s="229">
        <f t="shared" ref="H1" si="3">EDATE(G1,1)</f>
        <v>43952</v>
      </c>
      <c r="I1" s="229">
        <f t="shared" ref="I1" si="4">EDATE(H1,1)</f>
        <v>43983</v>
      </c>
      <c r="J1" s="229">
        <f t="shared" ref="J1" si="5">EDATE(I1,1)</f>
        <v>44013</v>
      </c>
      <c r="K1" s="229">
        <f t="shared" ref="K1" si="6">EDATE(J1,1)</f>
        <v>44044</v>
      </c>
      <c r="L1" s="229">
        <f t="shared" ref="L1" si="7">EDATE(K1,1)</f>
        <v>44075</v>
      </c>
      <c r="M1" s="229">
        <f t="shared" ref="M1" si="8">EDATE(L1,1)</f>
        <v>44105</v>
      </c>
      <c r="N1" s="229">
        <f t="shared" ref="N1" si="9">EDATE(M1,1)</f>
        <v>44136</v>
      </c>
      <c r="O1" s="229">
        <f t="shared" ref="O1" si="10">EDATE(N1,1)</f>
        <v>44166</v>
      </c>
      <c r="P1" s="229">
        <f t="shared" ref="P1" si="11">EDATE(O1,1)</f>
        <v>44197</v>
      </c>
      <c r="Q1" s="229">
        <f t="shared" ref="Q1" si="12">EDATE(P1,1)</f>
        <v>44228</v>
      </c>
      <c r="R1" s="229">
        <f t="shared" ref="R1" si="13">EDATE(Q1,1)</f>
        <v>44256</v>
      </c>
      <c r="S1" s="229">
        <f t="shared" ref="S1" si="14">EDATE(R1,1)</f>
        <v>44287</v>
      </c>
      <c r="T1" s="229">
        <f t="shared" ref="T1" si="15">EDATE(S1,1)</f>
        <v>44317</v>
      </c>
      <c r="U1" s="229">
        <f t="shared" ref="U1" si="16">EDATE(T1,1)</f>
        <v>44348</v>
      </c>
      <c r="V1" s="229">
        <f t="shared" ref="V1" si="17">EDATE(U1,1)</f>
        <v>44378</v>
      </c>
      <c r="W1" s="229">
        <f t="shared" ref="W1" si="18">EDATE(V1,1)</f>
        <v>44409</v>
      </c>
      <c r="X1" s="229">
        <f t="shared" ref="X1" si="19">EDATE(W1,1)</f>
        <v>44440</v>
      </c>
      <c r="Y1" s="229">
        <f t="shared" ref="Y1" si="20">EDATE(X1,1)</f>
        <v>44470</v>
      </c>
      <c r="Z1" s="229">
        <f t="shared" ref="Z1" si="21">EDATE(Y1,1)</f>
        <v>44501</v>
      </c>
      <c r="AA1" s="229">
        <f t="shared" ref="AA1" si="22">EDATE(Z1,1)</f>
        <v>44531</v>
      </c>
      <c r="AB1" s="229">
        <f t="shared" ref="AB1" si="23">EDATE(AA1,1)</f>
        <v>44562</v>
      </c>
      <c r="AC1" s="229">
        <f t="shared" ref="AC1" si="24">EDATE(AB1,1)</f>
        <v>44593</v>
      </c>
      <c r="AD1" s="229">
        <f t="shared" ref="AD1" si="25">EDATE(AC1,1)</f>
        <v>44621</v>
      </c>
      <c r="AE1" s="229">
        <f t="shared" ref="AE1" si="26">EDATE(AD1,1)</f>
        <v>44652</v>
      </c>
      <c r="AF1" s="229">
        <f t="shared" ref="AF1" si="27">EDATE(AE1,1)</f>
        <v>44682</v>
      </c>
      <c r="AG1" s="229">
        <f t="shared" ref="AG1" si="28">EDATE(AF1,1)</f>
        <v>44713</v>
      </c>
      <c r="AH1" s="229">
        <f t="shared" ref="AH1" si="29">EDATE(AG1,1)</f>
        <v>44743</v>
      </c>
      <c r="AI1" s="229">
        <f t="shared" ref="AI1" si="30">EDATE(AH1,1)</f>
        <v>44774</v>
      </c>
      <c r="AJ1" s="229">
        <f t="shared" ref="AJ1" si="31">EDATE(AI1,1)</f>
        <v>44805</v>
      </c>
      <c r="AK1" s="229">
        <f t="shared" ref="AK1" si="32">EDATE(AJ1,1)</f>
        <v>44835</v>
      </c>
      <c r="AL1" s="229">
        <f t="shared" ref="AL1" si="33">EDATE(AK1,1)</f>
        <v>44866</v>
      </c>
      <c r="AM1" s="229">
        <f t="shared" ref="AM1" si="34">EDATE(AL1,1)</f>
        <v>44896</v>
      </c>
      <c r="AN1" s="229">
        <f t="shared" ref="AN1" si="35">EDATE(AM1,1)</f>
        <v>44927</v>
      </c>
      <c r="AO1" s="229">
        <f t="shared" ref="AO1" si="36">EDATE(AN1,1)</f>
        <v>44958</v>
      </c>
      <c r="AP1" s="229">
        <f t="shared" ref="AP1" si="37">EDATE(AO1,1)</f>
        <v>44986</v>
      </c>
      <c r="AQ1" s="229">
        <f t="shared" ref="AQ1" si="38">EDATE(AP1,1)</f>
        <v>45017</v>
      </c>
      <c r="AR1" s="229">
        <f t="shared" ref="AR1" si="39">EDATE(AQ1,1)</f>
        <v>45047</v>
      </c>
      <c r="AS1" s="229">
        <f t="shared" ref="AS1" si="40">EDATE(AR1,1)</f>
        <v>45078</v>
      </c>
      <c r="AT1" s="229">
        <f t="shared" ref="AT1" si="41">EDATE(AS1,1)</f>
        <v>45108</v>
      </c>
      <c r="AU1" s="229">
        <f t="shared" ref="AU1" si="42">EDATE(AT1,1)</f>
        <v>45139</v>
      </c>
      <c r="AV1" s="229">
        <f t="shared" ref="AV1" si="43">EDATE(AU1,1)</f>
        <v>45170</v>
      </c>
      <c r="AW1" s="229">
        <f t="shared" ref="AW1" si="44">EDATE(AV1,1)</f>
        <v>45200</v>
      </c>
    </row>
    <row r="2" spans="1:49" x14ac:dyDescent="0.25">
      <c r="A2" s="426" t="s">
        <v>28</v>
      </c>
      <c r="B2" s="426"/>
      <c r="C2" s="257" t="s">
        <v>304</v>
      </c>
      <c r="D2" s="256">
        <f>'Deferral Calc'!D23</f>
        <v>19902225.49027</v>
      </c>
      <c r="E2" s="256">
        <f>'Deferral Calc'!E23</f>
        <v>18156995.431090001</v>
      </c>
      <c r="F2" s="256">
        <f>'Deferral Calc'!F23</f>
        <v>16737084.3763</v>
      </c>
      <c r="G2" s="256">
        <f>'Deferral Calc'!G23</f>
        <v>8411838.4363800008</v>
      </c>
      <c r="H2" s="256">
        <f>'Deferral Calc'!H23</f>
        <v>5056356.7544100005</v>
      </c>
      <c r="I2" s="256">
        <f>'Deferral Calc'!I23</f>
        <v>3239170.9041199996</v>
      </c>
      <c r="J2" s="256">
        <f>'Deferral Calc'!J23</f>
        <v>2578501.33127</v>
      </c>
      <c r="K2" s="256">
        <f>'Deferral Calc'!K23</f>
        <v>2203356.70291</v>
      </c>
      <c r="L2" s="256">
        <f>'Deferral Calc'!L23</f>
        <v>2803111.5562699996</v>
      </c>
      <c r="M2" s="256">
        <f>'Deferral Calc'!M23</f>
        <v>8876961.5705399998</v>
      </c>
      <c r="N2" s="256">
        <f>'Deferral Calc'!N23</f>
        <v>16787628.64852</v>
      </c>
      <c r="O2" s="256">
        <f>'Deferral Calc'!O23</f>
        <v>20917526.898499999</v>
      </c>
    </row>
    <row r="3" spans="1:49" s="151" customFormat="1" x14ac:dyDescent="0.25">
      <c r="A3" s="272" t="s">
        <v>268</v>
      </c>
      <c r="B3" s="356" t="s">
        <v>380</v>
      </c>
      <c r="C3" s="270"/>
      <c r="D3" s="354">
        <v>23301655.120975595</v>
      </c>
      <c r="E3" s="354">
        <v>20160740.004469346</v>
      </c>
      <c r="F3" s="354">
        <v>15637366.795132771</v>
      </c>
      <c r="G3" s="354">
        <v>10224071.140936017</v>
      </c>
      <c r="H3" s="354">
        <v>4757080.6404749518</v>
      </c>
      <c r="I3" s="354">
        <v>2853975.8775815247</v>
      </c>
      <c r="J3" s="256">
        <v>2303612.0389818181</v>
      </c>
      <c r="K3" s="256">
        <v>2045286.2664276152</v>
      </c>
      <c r="L3" s="256">
        <v>3156803.1391656627</v>
      </c>
      <c r="M3" s="256">
        <v>8579691.3931784071</v>
      </c>
      <c r="N3" s="256">
        <v>15472767.071044382</v>
      </c>
      <c r="O3" s="256">
        <v>21373393.894145358</v>
      </c>
      <c r="P3" s="256">
        <v>23237190.382522333</v>
      </c>
      <c r="Q3" s="256">
        <v>19932425.132872861</v>
      </c>
      <c r="R3" s="256">
        <v>15988363.722510364</v>
      </c>
      <c r="S3" s="256">
        <v>10377994.238328135</v>
      </c>
      <c r="T3" s="256">
        <v>4842059.6402445231</v>
      </c>
      <c r="U3" s="256">
        <v>2888354.9874770935</v>
      </c>
      <c r="V3" s="256">
        <v>2385676.1997669307</v>
      </c>
      <c r="W3" s="256">
        <v>2340166.1478588791</v>
      </c>
      <c r="X3" s="256">
        <v>3208329.5156955626</v>
      </c>
      <c r="Y3" s="256">
        <v>9275970.3756788541</v>
      </c>
      <c r="Z3" s="256">
        <v>16608417.99613882</v>
      </c>
      <c r="AA3" s="256">
        <v>23069044.491543863</v>
      </c>
      <c r="AB3" s="256">
        <v>23521864.785070639</v>
      </c>
      <c r="AC3" s="256">
        <v>20181356.712741315</v>
      </c>
      <c r="AD3" s="256">
        <v>16192043.119337138</v>
      </c>
      <c r="AE3" s="256">
        <v>10555402.680402294</v>
      </c>
      <c r="AF3" s="256">
        <v>4926410.6831568386</v>
      </c>
      <c r="AG3" s="256">
        <v>3041402.161760326</v>
      </c>
      <c r="AH3" s="256">
        <v>2548925.2422682387</v>
      </c>
      <c r="AI3" s="256">
        <v>2366680.9662240962</v>
      </c>
      <c r="AJ3" s="256">
        <v>3338125.6650302219</v>
      </c>
      <c r="AK3" s="256">
        <v>9333633.5715117902</v>
      </c>
      <c r="AL3" s="256">
        <v>16774913.751814757</v>
      </c>
      <c r="AM3" s="256">
        <v>23418704.337816756</v>
      </c>
      <c r="AN3" s="256">
        <v>23731786.35986501</v>
      </c>
      <c r="AO3" s="256">
        <v>20391721.632654544</v>
      </c>
      <c r="AP3" s="256">
        <v>16345632.620885722</v>
      </c>
      <c r="AQ3" s="256">
        <v>10653828.696726814</v>
      </c>
      <c r="AR3" s="256">
        <v>5010158.0071349628</v>
      </c>
      <c r="AS3" s="256">
        <v>3104798.5664875205</v>
      </c>
      <c r="AT3" s="256">
        <v>2621523.9162322483</v>
      </c>
      <c r="AU3" s="256">
        <v>2483156.432083644</v>
      </c>
      <c r="AV3" s="256">
        <v>3368071.1631576554</v>
      </c>
      <c r="AW3" s="256">
        <v>9448750.6695603374</v>
      </c>
    </row>
    <row r="4" spans="1:49" x14ac:dyDescent="0.25">
      <c r="A4" s="232" t="s">
        <v>230</v>
      </c>
      <c r="B4" s="269"/>
      <c r="C4" s="233"/>
      <c r="D4" s="235">
        <v>4.0099999999999997E-3</v>
      </c>
      <c r="E4" s="234">
        <f t="shared" ref="E4:AW4" si="45">D4</f>
        <v>4.0099999999999997E-3</v>
      </c>
      <c r="F4" s="234">
        <f t="shared" si="45"/>
        <v>4.0099999999999997E-3</v>
      </c>
      <c r="G4" s="234">
        <f t="shared" si="45"/>
        <v>4.0099999999999997E-3</v>
      </c>
      <c r="H4" s="234">
        <f t="shared" si="45"/>
        <v>4.0099999999999997E-3</v>
      </c>
      <c r="I4" s="234">
        <f t="shared" si="45"/>
        <v>4.0099999999999997E-3</v>
      </c>
      <c r="J4" s="234">
        <f t="shared" si="45"/>
        <v>4.0099999999999997E-3</v>
      </c>
      <c r="K4" s="351">
        <v>-6.5500000000000003E-3</v>
      </c>
      <c r="L4" s="234">
        <f t="shared" si="45"/>
        <v>-6.5500000000000003E-3</v>
      </c>
      <c r="M4" s="234">
        <f t="shared" si="45"/>
        <v>-6.5500000000000003E-3</v>
      </c>
      <c r="N4" s="234">
        <f t="shared" si="45"/>
        <v>-6.5500000000000003E-3</v>
      </c>
      <c r="O4" s="234">
        <f t="shared" ref="O4:P4" si="46">N4</f>
        <v>-6.5500000000000003E-3</v>
      </c>
      <c r="P4" s="234">
        <f t="shared" si="46"/>
        <v>-6.5500000000000003E-3</v>
      </c>
      <c r="Q4" s="234">
        <f t="shared" si="45"/>
        <v>-6.5500000000000003E-3</v>
      </c>
      <c r="R4" s="234">
        <f t="shared" si="45"/>
        <v>-6.5500000000000003E-3</v>
      </c>
      <c r="S4" s="234">
        <f t="shared" si="45"/>
        <v>-6.5500000000000003E-3</v>
      </c>
      <c r="T4" s="234">
        <f t="shared" si="45"/>
        <v>-6.5500000000000003E-3</v>
      </c>
      <c r="U4" s="234">
        <f t="shared" si="45"/>
        <v>-6.5500000000000003E-3</v>
      </c>
      <c r="V4" s="234">
        <f t="shared" si="45"/>
        <v>-6.5500000000000003E-3</v>
      </c>
      <c r="W4" s="333">
        <f>ROUND(W5-W8,5)</f>
        <v>9.0699999999999999E-3</v>
      </c>
      <c r="X4" s="234">
        <f t="shared" si="45"/>
        <v>9.0699999999999999E-3</v>
      </c>
      <c r="Y4" s="234">
        <f t="shared" si="45"/>
        <v>9.0699999999999999E-3</v>
      </c>
      <c r="Z4" s="234">
        <f t="shared" si="45"/>
        <v>9.0699999999999999E-3</v>
      </c>
      <c r="AA4" s="234">
        <f t="shared" si="45"/>
        <v>9.0699999999999999E-3</v>
      </c>
      <c r="AB4" s="234">
        <f t="shared" si="45"/>
        <v>9.0699999999999999E-3</v>
      </c>
      <c r="AC4" s="234">
        <f t="shared" si="45"/>
        <v>9.0699999999999999E-3</v>
      </c>
      <c r="AD4" s="234">
        <f t="shared" si="45"/>
        <v>9.0699999999999999E-3</v>
      </c>
      <c r="AE4" s="234">
        <f t="shared" si="45"/>
        <v>9.0699999999999999E-3</v>
      </c>
      <c r="AF4" s="234">
        <f t="shared" si="45"/>
        <v>9.0699999999999999E-3</v>
      </c>
      <c r="AG4" s="234">
        <f t="shared" si="45"/>
        <v>9.0699999999999999E-3</v>
      </c>
      <c r="AH4" s="234">
        <f t="shared" si="45"/>
        <v>9.0699999999999999E-3</v>
      </c>
      <c r="AI4" s="234">
        <f>ROUND(AI5-AI8,5)</f>
        <v>0</v>
      </c>
      <c r="AJ4" s="234">
        <f t="shared" si="45"/>
        <v>0</v>
      </c>
      <c r="AK4" s="234">
        <f t="shared" si="45"/>
        <v>0</v>
      </c>
      <c r="AL4" s="234">
        <f t="shared" si="45"/>
        <v>0</v>
      </c>
      <c r="AM4" s="234">
        <f t="shared" si="45"/>
        <v>0</v>
      </c>
      <c r="AN4" s="234">
        <f t="shared" si="45"/>
        <v>0</v>
      </c>
      <c r="AO4" s="234">
        <f t="shared" si="45"/>
        <v>0</v>
      </c>
      <c r="AP4" s="234">
        <f t="shared" si="45"/>
        <v>0</v>
      </c>
      <c r="AQ4" s="234">
        <f t="shared" si="45"/>
        <v>0</v>
      </c>
      <c r="AR4" s="234">
        <f t="shared" si="45"/>
        <v>0</v>
      </c>
      <c r="AS4" s="234">
        <f t="shared" si="45"/>
        <v>0</v>
      </c>
      <c r="AT4" s="234">
        <f t="shared" si="45"/>
        <v>0</v>
      </c>
      <c r="AU4" s="234">
        <f t="shared" si="45"/>
        <v>0</v>
      </c>
      <c r="AV4" s="234">
        <f t="shared" si="45"/>
        <v>0</v>
      </c>
      <c r="AW4" s="234">
        <f t="shared" si="45"/>
        <v>0</v>
      </c>
    </row>
    <row r="5" spans="1:49" x14ac:dyDescent="0.25">
      <c r="A5" s="231" t="s">
        <v>269</v>
      </c>
      <c r="B5" s="230"/>
      <c r="C5" s="230"/>
      <c r="D5" s="230"/>
      <c r="E5" s="230"/>
      <c r="F5" s="230"/>
      <c r="G5" s="230"/>
      <c r="H5" s="230"/>
      <c r="I5" s="236"/>
      <c r="J5" s="350" t="s">
        <v>377</v>
      </c>
      <c r="K5" s="334">
        <f>ROUND((J16+J17+J18+J22)*1.021/(SUM(K3:V3)),5)</f>
        <v>-6.6E-3</v>
      </c>
      <c r="L5" s="352">
        <v>0.95660000000000001</v>
      </c>
      <c r="M5" s="355" t="s">
        <v>228</v>
      </c>
      <c r="N5" s="284"/>
      <c r="O5" s="238"/>
      <c r="P5" s="239"/>
      <c r="W5" s="334">
        <f>ROUND((V16+V17+V18+V22)*1.015/(SUM(W3:AH3)),5)</f>
        <v>9.0699999999999999E-3</v>
      </c>
      <c r="X5" s="240">
        <f>L5</f>
        <v>0.95660000000000001</v>
      </c>
      <c r="Y5" s="283" t="str">
        <f>M5</f>
        <v>Conversion Factor</v>
      </c>
      <c r="Z5" s="284"/>
      <c r="AA5" s="285"/>
      <c r="AB5" s="283"/>
      <c r="AI5" s="237">
        <f>ROUND((AH16+AH17+AH18+AH22)*1.02/(SUM(AI3:AT3)),5)</f>
        <v>0</v>
      </c>
      <c r="AJ5" s="240">
        <f>X5</f>
        <v>0.95660000000000001</v>
      </c>
      <c r="AK5" s="239" t="s">
        <v>228</v>
      </c>
      <c r="AL5" s="284"/>
      <c r="AM5" s="240"/>
      <c r="AN5" s="239"/>
      <c r="AV5" s="236"/>
      <c r="AW5" s="240"/>
    </row>
    <row r="6" spans="1:49" x14ac:dyDescent="0.25">
      <c r="A6" s="231" t="s">
        <v>270</v>
      </c>
      <c r="B6" s="230"/>
      <c r="C6" s="230"/>
      <c r="D6" s="230"/>
      <c r="E6" s="230"/>
      <c r="F6" s="230"/>
      <c r="G6" s="230"/>
      <c r="H6" s="230"/>
      <c r="I6" s="236"/>
      <c r="J6" s="236" t="s">
        <v>4</v>
      </c>
      <c r="K6" s="53">
        <f>IF(J4&gt;0,K5*SUM(K3:V3)-J4*SUM(K3:V3),K5*SUM(K3:V3))</f>
        <v>-1382270.8643781235</v>
      </c>
      <c r="L6" s="255">
        <f>ROUND(K4/L5,5)</f>
        <v>-6.8500000000000002E-3</v>
      </c>
      <c r="M6" s="355" t="s">
        <v>379</v>
      </c>
      <c r="N6" s="53"/>
      <c r="O6" s="255"/>
      <c r="P6" s="239"/>
      <c r="V6" s="236" t="s">
        <v>315</v>
      </c>
      <c r="W6" s="53">
        <f>IF(V4&gt;0,W5*SUM(W3:AH3)-V4*SUM(W3:AH3),W5*SUM(W3:AH3))</f>
        <v>1228706.8585786906</v>
      </c>
      <c r="X6" s="234">
        <f>ROUND(W4/X5,5)</f>
        <v>9.4800000000000006E-3</v>
      </c>
      <c r="Y6" s="283" t="s">
        <v>316</v>
      </c>
      <c r="Z6" s="271"/>
      <c r="AA6" s="286"/>
      <c r="AB6" s="283"/>
      <c r="AI6" s="53">
        <f>IF(AH4&gt;0,AI5*SUM(AI3:AT3)-AH4*SUM(AI3:AT3),AI5*SUM(AI3:AT3))</f>
        <v>-1243419.978397927</v>
      </c>
      <c r="AJ6" s="234">
        <f>ROUND(AI4/AJ5,5)</f>
        <v>0</v>
      </c>
      <c r="AK6" s="239" t="str">
        <f>Y6</f>
        <v>Estimated Schedule 175 Rate</v>
      </c>
      <c r="AL6" s="53"/>
      <c r="AM6" s="234"/>
      <c r="AN6" s="239"/>
      <c r="AV6" s="236"/>
      <c r="AW6" s="234"/>
    </row>
    <row r="7" spans="1:49" x14ac:dyDescent="0.25">
      <c r="A7" s="231" t="s">
        <v>271</v>
      </c>
      <c r="B7" s="230"/>
      <c r="C7" s="230"/>
      <c r="D7" s="230"/>
      <c r="E7" s="230"/>
      <c r="F7" s="230"/>
      <c r="G7" s="230"/>
      <c r="H7" s="230"/>
      <c r="I7" s="350" t="s">
        <v>378</v>
      </c>
      <c r="J7" s="353">
        <v>119141.053</v>
      </c>
      <c r="K7" s="53">
        <f>J7*1000*0.03</f>
        <v>3574231.59</v>
      </c>
      <c r="L7" s="38">
        <f>IF(J4&gt;0,J4/L5*SUM(K3:V3)+K7,K7)</f>
        <v>4120356.2234219229</v>
      </c>
      <c r="M7" t="s">
        <v>273</v>
      </c>
      <c r="N7" s="53"/>
      <c r="O7" s="38"/>
      <c r="U7" s="236" t="s">
        <v>272</v>
      </c>
      <c r="V7" s="53">
        <f>J7</f>
        <v>119141.053</v>
      </c>
      <c r="W7" s="53">
        <f>V7*1000*0.03</f>
        <v>3574231.59</v>
      </c>
      <c r="X7" s="38">
        <f>IF(V4&gt;0,V4/X5*SUM(W3:AH3)+W7,W7)</f>
        <v>3574231.59</v>
      </c>
      <c r="Y7" s="283" t="str">
        <f>M7</f>
        <v>Surcharge Cap</v>
      </c>
      <c r="Z7" s="271"/>
      <c r="AA7" s="268"/>
      <c r="AB7" s="151"/>
      <c r="AG7" s="236" t="s">
        <v>272</v>
      </c>
      <c r="AH7" s="53">
        <f>V7</f>
        <v>119141.053</v>
      </c>
      <c r="AI7" s="53">
        <f>AH7*1000*0.03</f>
        <v>3574231.59</v>
      </c>
      <c r="AJ7" s="38">
        <f>IF(AH4&gt;0,AH4/AJ5*SUM(AI3:AT3)+AI7,AI7)</f>
        <v>4874064.30837542</v>
      </c>
      <c r="AK7" t="s">
        <v>273</v>
      </c>
      <c r="AL7" s="53"/>
      <c r="AM7" s="38"/>
      <c r="AV7" s="236"/>
      <c r="AW7" s="242"/>
    </row>
    <row r="8" spans="1:49" x14ac:dyDescent="0.25">
      <c r="A8" s="231" t="s">
        <v>274</v>
      </c>
      <c r="B8" s="230"/>
      <c r="C8" s="243"/>
      <c r="D8" s="243"/>
      <c r="E8" s="243"/>
      <c r="F8" s="243"/>
      <c r="G8" s="243"/>
      <c r="H8" s="243"/>
      <c r="I8" s="243"/>
      <c r="J8" s="243"/>
      <c r="K8" s="244">
        <f>IF(K6&gt;K7,K5-K10,0)</f>
        <v>0</v>
      </c>
      <c r="N8" s="244"/>
      <c r="W8" s="244">
        <f>IF(W6&gt;W7*X5,W5-W10,0)</f>
        <v>0</v>
      </c>
      <c r="Y8" s="151"/>
      <c r="Z8" s="287"/>
      <c r="AA8" s="151"/>
      <c r="AB8" s="151"/>
      <c r="AI8" s="244">
        <f>IF(AI6&gt;AI7*AJ5,AI5-AI10,0)</f>
        <v>0</v>
      </c>
      <c r="AL8" s="244"/>
    </row>
    <row r="9" spans="1:49" x14ac:dyDescent="0.25">
      <c r="A9" s="231" t="s">
        <v>275</v>
      </c>
      <c r="B9" s="230"/>
      <c r="C9" s="243"/>
      <c r="D9" s="243"/>
      <c r="E9" s="243"/>
      <c r="F9" s="243"/>
      <c r="G9" s="243"/>
      <c r="H9" s="243"/>
      <c r="I9" s="243"/>
      <c r="J9" s="335">
        <f>J17/SUM(K3:V3)</f>
        <v>1.8447163080247363E-3</v>
      </c>
      <c r="K9" s="336">
        <f>$J9*K3</f>
        <v>3772.9729302580477</v>
      </c>
      <c r="L9" s="271">
        <f>$J9*L3</f>
        <v>5823.4062320425792</v>
      </c>
      <c r="M9" s="271">
        <f t="shared" ref="M9:V9" si="47">$J9*M3</f>
        <v>15827.096630815677</v>
      </c>
      <c r="N9" s="271">
        <f t="shared" si="47"/>
        <v>28542.865746223706</v>
      </c>
      <c r="O9" s="271">
        <f t="shared" si="47"/>
        <v>39427.848274366268</v>
      </c>
      <c r="P9" s="271">
        <f t="shared" si="47"/>
        <v>42866.024051314511</v>
      </c>
      <c r="Q9" s="271">
        <f t="shared" si="47"/>
        <v>36769.669701092687</v>
      </c>
      <c r="R9" s="271">
        <f t="shared" si="47"/>
        <v>29493.995297545949</v>
      </c>
      <c r="S9" s="271">
        <f t="shared" si="47"/>
        <v>19144.455216030663</v>
      </c>
      <c r="T9" s="271">
        <f t="shared" si="47"/>
        <v>8932.2263827874594</v>
      </c>
      <c r="U9" s="271">
        <f t="shared" si="47"/>
        <v>5328.1955487635769</v>
      </c>
      <c r="V9" s="271">
        <f t="shared" si="47"/>
        <v>4400.8957913765353</v>
      </c>
      <c r="W9" s="336">
        <f>$K8*W3</f>
        <v>0</v>
      </c>
      <c r="X9" s="53">
        <f>$K8*X3</f>
        <v>0</v>
      </c>
      <c r="Y9" s="53">
        <f t="shared" ref="Y9:AH9" si="48">$N8*Y3</f>
        <v>0</v>
      </c>
      <c r="Z9" s="53">
        <f t="shared" si="48"/>
        <v>0</v>
      </c>
      <c r="AA9" s="53">
        <f t="shared" si="48"/>
        <v>0</v>
      </c>
      <c r="AB9" s="53">
        <f t="shared" si="48"/>
        <v>0</v>
      </c>
      <c r="AC9" s="53">
        <f t="shared" si="48"/>
        <v>0</v>
      </c>
      <c r="AD9" s="53">
        <f t="shared" si="48"/>
        <v>0</v>
      </c>
      <c r="AE9" s="53">
        <f t="shared" si="48"/>
        <v>0</v>
      </c>
      <c r="AF9" s="53">
        <f t="shared" si="48"/>
        <v>0</v>
      </c>
      <c r="AG9" s="53">
        <f t="shared" si="48"/>
        <v>0</v>
      </c>
      <c r="AH9" s="53">
        <f t="shared" si="48"/>
        <v>0</v>
      </c>
      <c r="AI9" s="246">
        <f>$W8*AI3</f>
        <v>0</v>
      </c>
      <c r="AJ9" s="271">
        <f>$W8*AJ3</f>
        <v>0</v>
      </c>
      <c r="AK9" s="271">
        <f t="shared" ref="AK9:AT9" si="49">$W8*AK3</f>
        <v>0</v>
      </c>
      <c r="AL9" s="271">
        <f t="shared" si="49"/>
        <v>0</v>
      </c>
      <c r="AM9" s="271">
        <f t="shared" si="49"/>
        <v>0</v>
      </c>
      <c r="AN9" s="271">
        <f t="shared" si="49"/>
        <v>0</v>
      </c>
      <c r="AO9" s="271">
        <f t="shared" si="49"/>
        <v>0</v>
      </c>
      <c r="AP9" s="271">
        <f t="shared" si="49"/>
        <v>0</v>
      </c>
      <c r="AQ9" s="271">
        <f t="shared" si="49"/>
        <v>0</v>
      </c>
      <c r="AR9" s="271">
        <f t="shared" si="49"/>
        <v>0</v>
      </c>
      <c r="AS9" s="271">
        <f t="shared" si="49"/>
        <v>0</v>
      </c>
      <c r="AT9" s="271">
        <f t="shared" si="49"/>
        <v>0</v>
      </c>
      <c r="AU9" s="246">
        <f>$AI8*AU3</f>
        <v>0</v>
      </c>
      <c r="AV9" s="53">
        <f t="shared" ref="AV9:AW9" si="50">$AI8*AV3</f>
        <v>0</v>
      </c>
      <c r="AW9" s="53">
        <f t="shared" si="50"/>
        <v>0</v>
      </c>
    </row>
    <row r="10" spans="1:49" x14ac:dyDescent="0.25">
      <c r="A10" s="231" t="s">
        <v>276</v>
      </c>
      <c r="B10" s="230"/>
      <c r="C10" s="230"/>
      <c r="D10" s="230"/>
      <c r="E10" s="230"/>
      <c r="F10" s="230"/>
      <c r="G10" s="230"/>
      <c r="H10" s="230"/>
      <c r="J10" s="244"/>
      <c r="K10" s="337">
        <f>L7/SUM(K3:V3)*L5</f>
        <v>3.025431823573671E-2</v>
      </c>
      <c r="L10" s="244">
        <f t="shared" ref="L10" si="51">K10</f>
        <v>3.025431823573671E-2</v>
      </c>
      <c r="M10" s="244">
        <f t="shared" ref="M10" si="52">L10</f>
        <v>3.025431823573671E-2</v>
      </c>
      <c r="N10" s="244">
        <f t="shared" ref="N10" si="53">M10</f>
        <v>3.025431823573671E-2</v>
      </c>
      <c r="O10" s="244">
        <f>N10</f>
        <v>3.025431823573671E-2</v>
      </c>
      <c r="P10" s="244">
        <f t="shared" ref="P10:Z10" si="54">O10</f>
        <v>3.025431823573671E-2</v>
      </c>
      <c r="Q10" s="244">
        <f t="shared" si="54"/>
        <v>3.025431823573671E-2</v>
      </c>
      <c r="R10" s="244">
        <f t="shared" si="54"/>
        <v>3.025431823573671E-2</v>
      </c>
      <c r="S10" s="244">
        <f t="shared" si="54"/>
        <v>3.025431823573671E-2</v>
      </c>
      <c r="T10" s="244">
        <f t="shared" si="54"/>
        <v>3.025431823573671E-2</v>
      </c>
      <c r="U10" s="244">
        <f t="shared" si="54"/>
        <v>3.025431823573671E-2</v>
      </c>
      <c r="V10" s="244">
        <f t="shared" si="54"/>
        <v>3.025431823573671E-2</v>
      </c>
      <c r="W10" s="337">
        <f>X7/SUM(W3:AH3)*X5</f>
        <v>2.523899572152466E-2</v>
      </c>
      <c r="X10" s="244">
        <f t="shared" ref="X10" si="55">W10</f>
        <v>2.523899572152466E-2</v>
      </c>
      <c r="Y10" s="244">
        <f t="shared" si="54"/>
        <v>2.523899572152466E-2</v>
      </c>
      <c r="Z10" s="244">
        <f t="shared" si="54"/>
        <v>2.523899572152466E-2</v>
      </c>
      <c r="AA10" s="244">
        <f>Z10</f>
        <v>2.523899572152466E-2</v>
      </c>
      <c r="AB10" s="244">
        <f t="shared" ref="AB10:AH10" si="56">AA10</f>
        <v>2.523899572152466E-2</v>
      </c>
      <c r="AC10" s="244">
        <f t="shared" si="56"/>
        <v>2.523899572152466E-2</v>
      </c>
      <c r="AD10" s="244">
        <f t="shared" si="56"/>
        <v>2.523899572152466E-2</v>
      </c>
      <c r="AE10" s="244">
        <f t="shared" si="56"/>
        <v>2.523899572152466E-2</v>
      </c>
      <c r="AF10" s="244">
        <f t="shared" si="56"/>
        <v>2.523899572152466E-2</v>
      </c>
      <c r="AG10" s="244">
        <f t="shared" si="56"/>
        <v>2.523899572152466E-2</v>
      </c>
      <c r="AH10" s="244">
        <f t="shared" si="56"/>
        <v>2.523899572152466E-2</v>
      </c>
      <c r="AI10" s="244">
        <f>AJ7/SUM(AI3:AT3)*AJ5</f>
        <v>3.4010348140965083E-2</v>
      </c>
      <c r="AJ10" s="244">
        <f>AI10</f>
        <v>3.4010348140965083E-2</v>
      </c>
      <c r="AK10" s="244">
        <f t="shared" ref="AK10:AL10" si="57">AJ10</f>
        <v>3.4010348140965083E-2</v>
      </c>
      <c r="AL10" s="244">
        <f t="shared" si="57"/>
        <v>3.4010348140965083E-2</v>
      </c>
      <c r="AM10" s="244">
        <f>AL10</f>
        <v>3.4010348140965083E-2</v>
      </c>
      <c r="AN10" s="244">
        <f t="shared" ref="AN10:AW10" si="58">AM10</f>
        <v>3.4010348140965083E-2</v>
      </c>
      <c r="AO10" s="244">
        <f t="shared" si="58"/>
        <v>3.4010348140965083E-2</v>
      </c>
      <c r="AP10" s="244">
        <f t="shared" si="58"/>
        <v>3.4010348140965083E-2</v>
      </c>
      <c r="AQ10" s="244">
        <f t="shared" si="58"/>
        <v>3.4010348140965083E-2</v>
      </c>
      <c r="AR10" s="244">
        <f t="shared" si="58"/>
        <v>3.4010348140965083E-2</v>
      </c>
      <c r="AS10" s="244">
        <f t="shared" si="58"/>
        <v>3.4010348140965083E-2</v>
      </c>
      <c r="AT10" s="244">
        <f t="shared" si="58"/>
        <v>3.4010348140965083E-2</v>
      </c>
      <c r="AU10" s="244">
        <f>AV7/SUM(AU3:BF3)*AV5</f>
        <v>0</v>
      </c>
      <c r="AV10" s="244">
        <f t="shared" si="58"/>
        <v>0</v>
      </c>
      <c r="AW10" s="244">
        <f t="shared" si="58"/>
        <v>0</v>
      </c>
    </row>
    <row r="11" spans="1:49" x14ac:dyDescent="0.25">
      <c r="A11" s="231" t="s">
        <v>314</v>
      </c>
      <c r="B11" s="230"/>
      <c r="C11" s="243"/>
      <c r="D11" s="53">
        <f>SUMPRODUCT($K3:$V3,-$K10:$V10)-SUM($W9:AB9)</f>
        <v>-3941532.7633254109</v>
      </c>
      <c r="E11" s="53">
        <f>SUMPRODUCT($K3:$V3,-$K10:$V10)-SUM($W9:AC9)</f>
        <v>-3941532.7633254109</v>
      </c>
      <c r="F11" s="53">
        <f>SUMPRODUCT($K3:$V3,-$K10:$V10)-SUM($W9:AD9)</f>
        <v>-3941532.7633254109</v>
      </c>
      <c r="G11" s="53">
        <f>SUMPRODUCT($K3:$V3,-$K10:$V10)-SUM($W9:AE9)</f>
        <v>-3941532.7633254109</v>
      </c>
      <c r="H11" s="53">
        <f>SUMPRODUCT($K3:$V3,-$K10:$V10)-SUM($W9:AF9)</f>
        <v>-3941532.7633254109</v>
      </c>
      <c r="I11" s="53">
        <f>SUMPRODUCT($K3:$V3,-$K10:$V10)-SUM($W9:AG9)</f>
        <v>-3941532.7633254109</v>
      </c>
      <c r="J11" s="53">
        <f>SUMPRODUCT($K3:$V3,-$K10:$V10)-SUM($W9:AH9)</f>
        <v>-3941532.7633254109</v>
      </c>
      <c r="K11" s="53"/>
      <c r="L11" s="53"/>
      <c r="M11" s="53"/>
      <c r="N11" s="53"/>
      <c r="O11" s="338">
        <f>SUMPRODUCT($W3:$AH3,-$W10:$AH10)-SUM($AI9:AM9)</f>
        <v>-3419109.9389939997</v>
      </c>
      <c r="P11" s="340">
        <f>SUMPRODUCT($W3:$AH3,-$W10:$AH10)-SUM($AI9:AN9)</f>
        <v>-3419109.9389939997</v>
      </c>
      <c r="Q11" s="53">
        <f>SUMPRODUCT($Z3:$AK3,-$Z10:$AK10)-SUM($AL9:AO9)</f>
        <v>-3556417.8908490641</v>
      </c>
      <c r="R11" s="53">
        <f>SUMPRODUCT($Z3:$AK3,-$Z10:$AK10)-SUM($AL9:AP9)</f>
        <v>-3556417.8908490641</v>
      </c>
      <c r="S11" s="53">
        <f>SUMPRODUCT($Z3:$AK3,-$Z10:$AK10)-SUM($AL9:AQ9)</f>
        <v>-3556417.8908490641</v>
      </c>
      <c r="T11" s="53">
        <f>SUMPRODUCT($Z3:$AK3,-$Z10:$AK10)-SUM($AL9:AR9)</f>
        <v>-3556417.8908490641</v>
      </c>
      <c r="U11" s="53">
        <f>SUMPRODUCT($W3:$AH3,-$W10:$AH10)-SUM($AI9:AS9)</f>
        <v>-3419109.9389939997</v>
      </c>
      <c r="V11" s="53">
        <f>SUMPRODUCT($W3:$AH3,-$W10:$AH10)-SUM($AI9:AT9)</f>
        <v>-3419109.9389939997</v>
      </c>
      <c r="W11" s="53"/>
      <c r="X11" s="53"/>
      <c r="Y11" s="53"/>
      <c r="Z11" s="53"/>
      <c r="AA11" s="338">
        <f>SUMPRODUCT($AI3:$AT3,-$AI10:$AT10)-SUM($AU9:AY9)</f>
        <v>-4662529.9173919279</v>
      </c>
      <c r="AB11" s="341">
        <f>SUMPRODUCT($AI3:$AT3,-$AI10:$AT10)-SUM($AU9:AZ9)</f>
        <v>-4662529.9173919279</v>
      </c>
      <c r="AC11" s="341">
        <f>SUMPRODUCT($AI3:$AT3,-$AI10:$AT10)-SUM($AU9:BA9)</f>
        <v>-4662529.9173919279</v>
      </c>
      <c r="AD11" s="341">
        <f>SUMPRODUCT($AI3:$AT3,-$AI10:$AT10)-SUM($AU9:BB9)</f>
        <v>-4662529.9173919279</v>
      </c>
      <c r="AE11" s="341">
        <f>SUMPRODUCT($AI3:$AT3,-$AI10:$AT10)-SUM($AU9:BC9)</f>
        <v>-4662529.9173919279</v>
      </c>
      <c r="AF11" s="341">
        <f>SUMPRODUCT($AI3:$AT3,-$AI10:$AT10)-SUM($AU9:BD9)</f>
        <v>-4662529.9173919279</v>
      </c>
      <c r="AG11" s="341">
        <f>SUMPRODUCT($AI3:$AT3,-$AI10:$AT10)-SUM($AU9:BE9)</f>
        <v>-4662529.9173919279</v>
      </c>
      <c r="AH11" s="341">
        <f>SUMPRODUCT($AI3:$AT3,-$AI10:$AT10)-SUM($AU9:BF9)</f>
        <v>-4662529.9173919279</v>
      </c>
      <c r="AJ11" s="236"/>
      <c r="AK11" s="53"/>
      <c r="AL11" s="53"/>
      <c r="AM11" s="38"/>
      <c r="AV11" s="236"/>
      <c r="AW11" s="242"/>
    </row>
    <row r="12" spans="1:49" x14ac:dyDescent="0.25">
      <c r="A12" s="231" t="s">
        <v>277</v>
      </c>
      <c r="D12" s="245">
        <f>IF($J16&gt;0,IF(D11+D16+D22&lt;0,0,+D11+D16+D22),0)</f>
        <v>0</v>
      </c>
      <c r="E12" s="245">
        <f t="shared" ref="E12:J12" si="59">IF($J16&gt;0,IF(E11+E16+E22&lt;0,0,+E11+E16+E22),0)</f>
        <v>0</v>
      </c>
      <c r="F12" s="245">
        <f t="shared" si="59"/>
        <v>0</v>
      </c>
      <c r="G12" s="245">
        <f t="shared" si="59"/>
        <v>0</v>
      </c>
      <c r="H12" s="245">
        <f t="shared" si="59"/>
        <v>0</v>
      </c>
      <c r="I12" s="245">
        <f t="shared" si="59"/>
        <v>0</v>
      </c>
      <c r="J12" s="245">
        <f t="shared" si="59"/>
        <v>0</v>
      </c>
      <c r="K12" s="245"/>
      <c r="L12" s="245"/>
      <c r="M12" s="245"/>
      <c r="O12" s="339">
        <f>IF($V16&gt;0,IF(O11+O15+O16+O22&lt;0,0,+O11+O15+O16+O22),0)</f>
        <v>0</v>
      </c>
      <c r="P12" s="245">
        <f>IF($V16&gt;0,IF(P11+P16+P22&lt;0,0,+P11+P16+P22),0)</f>
        <v>0</v>
      </c>
      <c r="Q12" s="245">
        <f t="shared" ref="Q12:T12" si="60">IF($Y16&gt;0,IF(Q11+Q16+Q22&lt;0,0,+Q11+Q16+Q22),0)</f>
        <v>0</v>
      </c>
      <c r="R12" s="245">
        <f t="shared" si="60"/>
        <v>0</v>
      </c>
      <c r="S12" s="245">
        <f t="shared" si="60"/>
        <v>0</v>
      </c>
      <c r="T12" s="245">
        <f t="shared" si="60"/>
        <v>0</v>
      </c>
      <c r="U12" s="245">
        <f t="shared" ref="U12:V12" si="61">IF($V16&gt;0,IF(U11+U16+U22&lt;0,0,+U11+U16+U22),0)</f>
        <v>0</v>
      </c>
      <c r="V12" s="245">
        <f t="shared" si="61"/>
        <v>0</v>
      </c>
      <c r="W12" s="245"/>
      <c r="X12" s="245"/>
      <c r="Y12" s="245"/>
      <c r="Z12" s="245"/>
      <c r="AA12" s="339">
        <f>IF($AH16&gt;0,IF(AA11+AA15+AA16+AA22&lt;0,0,+AA11+AA15+AA16+AA22),0)</f>
        <v>0</v>
      </c>
      <c r="AB12" s="245">
        <f>IF($AH16&gt;0,IF(AB11+AB16+AB22&lt;0,0,+AB11+AB16+AB22),0)</f>
        <v>0</v>
      </c>
      <c r="AC12" s="245">
        <f t="shared" ref="AC12:AH12" si="62">IF($AH16&gt;0,IF(AC11+AC16+AC22&lt;0,0,+AC11+AC16+AC22),0)</f>
        <v>0</v>
      </c>
      <c r="AD12" s="245">
        <f t="shared" si="62"/>
        <v>0</v>
      </c>
      <c r="AE12" s="245">
        <f t="shared" si="62"/>
        <v>0</v>
      </c>
      <c r="AF12" s="245">
        <f t="shared" si="62"/>
        <v>0</v>
      </c>
      <c r="AG12" s="245">
        <f t="shared" si="62"/>
        <v>0</v>
      </c>
      <c r="AH12" s="245">
        <f t="shared" si="62"/>
        <v>0</v>
      </c>
    </row>
    <row r="14" spans="1:49" x14ac:dyDescent="0.25">
      <c r="A14" t="s">
        <v>278</v>
      </c>
      <c r="C14" s="53"/>
      <c r="D14" s="53"/>
      <c r="E14" s="53"/>
      <c r="F14" s="53"/>
      <c r="G14" s="53"/>
      <c r="H14" s="53"/>
      <c r="I14" s="53"/>
      <c r="J14" s="53"/>
      <c r="K14" s="53"/>
      <c r="L14" s="53"/>
      <c r="M14" s="53"/>
    </row>
    <row r="15" spans="1:49" x14ac:dyDescent="0.25">
      <c r="A15">
        <v>186328</v>
      </c>
      <c r="B15" t="s">
        <v>279</v>
      </c>
      <c r="C15" s="254">
        <v>-1053674.32</v>
      </c>
      <c r="D15" s="332">
        <f>0-D26+(0+0-D26)/2*D24/12</f>
        <v>-122448.508338</v>
      </c>
      <c r="E15" s="53">
        <f>D15-E26+(D15+D15-E26)/2*E24/12</f>
        <v>-296318.91994659003</v>
      </c>
      <c r="F15" s="53">
        <f>E15-F26+(E15+E15-F26)/2*F24/12</f>
        <v>-1055519.8982250358</v>
      </c>
      <c r="G15" s="53">
        <f>F15-G26+(F15+F15-G26)/2*G24/12</f>
        <v>-121935.66592738483</v>
      </c>
      <c r="H15" s="53">
        <f>G15-H26+(G15+G15-H26)/2*H24/12</f>
        <v>391660.75051581924</v>
      </c>
      <c r="I15" s="53">
        <f>H15-I26+(H15+H15-I26)/2*I24/12</f>
        <v>474796.21518768335</v>
      </c>
      <c r="J15" s="53">
        <f t="shared" ref="J15:O15" si="63">I15-J26+(I15+I15-J26)/2*J$24/12</f>
        <v>421440.73348705634</v>
      </c>
      <c r="K15" s="53">
        <f t="shared" si="63"/>
        <v>467791.17040348187</v>
      </c>
      <c r="L15" s="53">
        <f t="shared" si="63"/>
        <v>728197.97888696857</v>
      </c>
      <c r="M15" s="53">
        <f t="shared" si="63"/>
        <v>932725.79486832919</v>
      </c>
      <c r="N15" s="53">
        <f t="shared" si="63"/>
        <v>683504.49026380596</v>
      </c>
      <c r="O15" s="53">
        <f t="shared" si="63"/>
        <v>1174438.1217905621</v>
      </c>
      <c r="P15" s="332">
        <f>0-P26+(0+0-P26)/2*P24/12</f>
        <v>0</v>
      </c>
      <c r="Q15" s="53">
        <f>P15-Q26+(P15+P15-Q26)/2*Q24/12</f>
        <v>0</v>
      </c>
      <c r="R15" s="53">
        <f t="shared" ref="R15:AA15" si="64">Q15-R26+(Q15+Q15-R26)/2*R24/12</f>
        <v>0</v>
      </c>
      <c r="S15" s="53">
        <f t="shared" si="64"/>
        <v>0</v>
      </c>
      <c r="T15" s="53">
        <f t="shared" si="64"/>
        <v>0</v>
      </c>
      <c r="U15" s="53">
        <f t="shared" si="64"/>
        <v>0</v>
      </c>
      <c r="V15" s="53">
        <f t="shared" si="64"/>
        <v>0</v>
      </c>
      <c r="W15" s="53">
        <f t="shared" si="64"/>
        <v>0</v>
      </c>
      <c r="X15" s="53">
        <f t="shared" si="64"/>
        <v>0</v>
      </c>
      <c r="Y15" s="53">
        <f t="shared" si="64"/>
        <v>0</v>
      </c>
      <c r="Z15" s="53">
        <f t="shared" si="64"/>
        <v>0</v>
      </c>
      <c r="AA15" s="53">
        <f t="shared" si="64"/>
        <v>0</v>
      </c>
      <c r="AB15" s="332">
        <f>0-AB26+(0+0-AB26)/2*AB24/12</f>
        <v>0</v>
      </c>
      <c r="AC15" s="53">
        <f>AB15-AC26+(AB15+AB15-AC26)/2*AC24/12</f>
        <v>0</v>
      </c>
      <c r="AD15" s="53">
        <f t="shared" ref="AD15:AM15" si="65">AC15-AD26+(AC15+AC15-AD26)/2*AD24/12</f>
        <v>0</v>
      </c>
      <c r="AE15" s="53">
        <f t="shared" si="65"/>
        <v>0</v>
      </c>
      <c r="AF15" s="53">
        <f t="shared" si="65"/>
        <v>0</v>
      </c>
      <c r="AG15" s="53">
        <f t="shared" si="65"/>
        <v>0</v>
      </c>
      <c r="AH15" s="53">
        <f t="shared" si="65"/>
        <v>0</v>
      </c>
      <c r="AI15" s="53">
        <f t="shared" si="65"/>
        <v>0</v>
      </c>
      <c r="AJ15" s="53">
        <f t="shared" si="65"/>
        <v>0</v>
      </c>
      <c r="AK15" s="53">
        <f t="shared" si="65"/>
        <v>0</v>
      </c>
      <c r="AL15" s="53">
        <f t="shared" si="65"/>
        <v>0</v>
      </c>
      <c r="AM15" s="53">
        <f t="shared" si="65"/>
        <v>0</v>
      </c>
      <c r="AN15" s="246">
        <f>0-AN26+(0+0-AN26)/2*AN24/12</f>
        <v>0</v>
      </c>
      <c r="AO15" s="53">
        <f>AN15-AO26+(AN15+AN15-AO26)/2*AO24/12</f>
        <v>0</v>
      </c>
      <c r="AP15" s="53">
        <f t="shared" ref="AP15:AW15" si="66">AO15-AP26+(AO15+AO15-AP26)/2*AP24/12</f>
        <v>0</v>
      </c>
      <c r="AQ15" s="53">
        <f t="shared" si="66"/>
        <v>0</v>
      </c>
      <c r="AR15" s="53">
        <f t="shared" si="66"/>
        <v>0</v>
      </c>
      <c r="AS15" s="53">
        <f t="shared" si="66"/>
        <v>0</v>
      </c>
      <c r="AT15" s="53">
        <f t="shared" si="66"/>
        <v>0</v>
      </c>
      <c r="AU15" s="53">
        <f t="shared" si="66"/>
        <v>0</v>
      </c>
      <c r="AV15" s="53">
        <f t="shared" si="66"/>
        <v>0</v>
      </c>
      <c r="AW15" s="53">
        <f t="shared" si="66"/>
        <v>0</v>
      </c>
    </row>
    <row r="16" spans="1:49" x14ac:dyDescent="0.25">
      <c r="A16">
        <v>182329</v>
      </c>
      <c r="B16" t="s">
        <v>280</v>
      </c>
      <c r="C16" s="254">
        <v>0</v>
      </c>
      <c r="D16" s="332">
        <f>C15+(C15+C22)*D24/12</f>
        <v>-1058029.5071893334</v>
      </c>
      <c r="E16" s="53">
        <f>D16+(D16+D22)*E24/12</f>
        <v>-1062402.6958190494</v>
      </c>
      <c r="F16" s="53">
        <f>E16+(E16+E22)*F24/12</f>
        <v>-1066793.9602951014</v>
      </c>
      <c r="G16" s="53">
        <f>F16+(F16+F22)*G24/12</f>
        <v>-1071016.6863879361</v>
      </c>
      <c r="H16" s="53">
        <f>G16+(G16+G22)*H24/12</f>
        <v>-1075256.1274382216</v>
      </c>
      <c r="I16" s="53">
        <f>H16+(H16+H22)*I24/12</f>
        <v>-1079512.3496093312</v>
      </c>
      <c r="J16" s="53">
        <f>I16+(I16+I22)*J$24/12</f>
        <v>-1082597.9557419645</v>
      </c>
      <c r="K16" s="336">
        <v>0</v>
      </c>
      <c r="L16" s="53">
        <f>K16+(K16+K22)*L$24/12</f>
        <v>0</v>
      </c>
      <c r="M16" s="53">
        <f>L16+(L16+L22)*M$24/12</f>
        <v>0</v>
      </c>
      <c r="N16" s="53">
        <v>0</v>
      </c>
      <c r="O16" s="53">
        <v>0</v>
      </c>
      <c r="P16" s="332">
        <f>O15+(O15+O22)*P24/12</f>
        <v>1177618.8917037449</v>
      </c>
      <c r="Q16" s="53">
        <f>P16+(P16+P22)*Q24/12</f>
        <v>1180808.2762021092</v>
      </c>
      <c r="R16" s="53">
        <f t="shared" ref="R16:V16" si="67">Q16+(Q16+Q22)*R24/12</f>
        <v>1184006.2986168233</v>
      </c>
      <c r="S16" s="53">
        <f t="shared" si="67"/>
        <v>1187212.9823422439</v>
      </c>
      <c r="T16" s="53">
        <f t="shared" si="67"/>
        <v>1190428.3508360875</v>
      </c>
      <c r="U16" s="53">
        <f t="shared" si="67"/>
        <v>1193652.4276196018</v>
      </c>
      <c r="V16" s="53">
        <f t="shared" si="67"/>
        <v>1196885.2362777384</v>
      </c>
      <c r="W16" s="336">
        <v>0</v>
      </c>
      <c r="X16" s="53">
        <v>0</v>
      </c>
      <c r="Y16" s="53">
        <v>0</v>
      </c>
      <c r="Z16" s="53">
        <v>0</v>
      </c>
      <c r="AA16" s="53">
        <v>0</v>
      </c>
      <c r="AB16" s="332">
        <f>AA15+(AA15+AA22)*AB24/12</f>
        <v>0</v>
      </c>
      <c r="AC16" s="53">
        <f>AB16+(AB16+AB22)*AC24/12</f>
        <v>0</v>
      </c>
      <c r="AD16" s="53">
        <f t="shared" ref="AD16:AK16" si="68">AC16+(AC16+AC22)*AD24/12</f>
        <v>0</v>
      </c>
      <c r="AE16" s="53">
        <f t="shared" si="68"/>
        <v>0</v>
      </c>
      <c r="AF16" s="53">
        <f t="shared" si="68"/>
        <v>0</v>
      </c>
      <c r="AG16" s="53">
        <f t="shared" si="68"/>
        <v>0</v>
      </c>
      <c r="AH16" s="53">
        <f t="shared" si="68"/>
        <v>0</v>
      </c>
      <c r="AI16" s="53">
        <f t="shared" si="68"/>
        <v>0</v>
      </c>
      <c r="AJ16" s="53">
        <f t="shared" si="68"/>
        <v>0</v>
      </c>
      <c r="AK16" s="53">
        <f t="shared" si="68"/>
        <v>0</v>
      </c>
      <c r="AL16" s="53">
        <v>0</v>
      </c>
      <c r="AM16" s="53">
        <v>0</v>
      </c>
      <c r="AN16" s="246">
        <f>AM15+(AM15+AM22)*AN24/12</f>
        <v>0</v>
      </c>
      <c r="AO16" s="53">
        <f>AN16+(AN16+AN22)*AO24/12</f>
        <v>0</v>
      </c>
      <c r="AP16" s="53">
        <f t="shared" ref="AP16:AW16" si="69">AO16+(AO16+AO22)*AP24/12</f>
        <v>0</v>
      </c>
      <c r="AQ16" s="53">
        <f t="shared" si="69"/>
        <v>0</v>
      </c>
      <c r="AR16" s="53">
        <f t="shared" si="69"/>
        <v>0</v>
      </c>
      <c r="AS16" s="53">
        <f t="shared" si="69"/>
        <v>0</v>
      </c>
      <c r="AT16" s="53">
        <f t="shared" si="69"/>
        <v>0</v>
      </c>
      <c r="AU16" s="53">
        <f t="shared" si="69"/>
        <v>0</v>
      </c>
      <c r="AV16" s="53">
        <f t="shared" si="69"/>
        <v>0</v>
      </c>
      <c r="AW16" s="53">
        <f t="shared" si="69"/>
        <v>0</v>
      </c>
    </row>
    <row r="17" spans="1:49" x14ac:dyDescent="0.25">
      <c r="A17">
        <v>182328</v>
      </c>
      <c r="B17" t="s">
        <v>281</v>
      </c>
      <c r="C17" s="254">
        <v>530787.18000000005</v>
      </c>
      <c r="D17" s="53">
        <f>IF(D27&gt;0,C17-D27+(C17+C17-D27)/2*D24/12,0)</f>
        <v>452982.77933815581</v>
      </c>
      <c r="E17" s="53">
        <f t="shared" ref="E17:N17" si="70">IF(E27&gt;0,D17-E27+(D17+D17-E27)/2*E24/12,0)</f>
        <v>381629.66345027025</v>
      </c>
      <c r="F17" s="53">
        <f t="shared" si="70"/>
        <v>315876.90982689359</v>
      </c>
      <c r="G17" s="53">
        <f t="shared" si="70"/>
        <v>282208.33644471702</v>
      </c>
      <c r="H17" s="53">
        <f t="shared" si="70"/>
        <v>262536.25718168571</v>
      </c>
      <c r="I17" s="53">
        <f t="shared" si="70"/>
        <v>250185.43444761322</v>
      </c>
      <c r="J17" s="53">
        <f t="shared" si="70"/>
        <v>240329.65180261765</v>
      </c>
      <c r="K17" s="336">
        <f>IF(J16+J17+J18+J22&gt;0,(J16+J17+J18+J22)-K27+(J16+J17+J18+J22-K27/2)*K24/12,0)</f>
        <v>0</v>
      </c>
      <c r="L17" s="53">
        <f t="shared" si="70"/>
        <v>0</v>
      </c>
      <c r="M17" s="53">
        <f t="shared" si="70"/>
        <v>0</v>
      </c>
      <c r="N17" s="53">
        <f t="shared" si="70"/>
        <v>0</v>
      </c>
      <c r="O17" s="53">
        <f>IF(N17&lt;&gt;0,N17-O27+(N17+N17-O27)/2*O$24/12,0)</f>
        <v>0</v>
      </c>
      <c r="P17" s="53">
        <f>IF(O17&lt;&gt;0,O17-P27+(O17+O17-P27)/2*P24/12,0)</f>
        <v>0</v>
      </c>
      <c r="Q17" s="53">
        <f>IF(P17&lt;&gt;0,P17-Q27+(P17+P17-Q27)/2*Q24/12,0)</f>
        <v>0</v>
      </c>
      <c r="R17" s="53">
        <f t="shared" ref="R17:AA17" si="71">IF(Q17&lt;&gt;0,Q17-R27+(Q17+Q17-R27)/2*R24/12,0)</f>
        <v>0</v>
      </c>
      <c r="S17" s="53">
        <f t="shared" si="71"/>
        <v>0</v>
      </c>
      <c r="T17" s="53">
        <f t="shared" si="71"/>
        <v>0</v>
      </c>
      <c r="U17" s="53">
        <f t="shared" si="71"/>
        <v>0</v>
      </c>
      <c r="V17" s="53">
        <f t="shared" si="71"/>
        <v>0</v>
      </c>
      <c r="W17" s="336">
        <f>IF(V16+V17+V18+V22&gt;0,(V16+V17+V18+V22)-W27+(V16+V17+V18+V22-W27/2)*W24/12,0)</f>
        <v>1192081.8538630286</v>
      </c>
      <c r="X17" s="53">
        <f>IF(W17&lt;&gt;0,W17-X27+(W17+W17-X27)/2*X$24/12,0)</f>
        <v>1166171.4545376743</v>
      </c>
      <c r="Y17" s="53">
        <f t="shared" si="71"/>
        <v>1085082.8540793278</v>
      </c>
      <c r="Z17" s="53">
        <f t="shared" si="71"/>
        <v>937179.27948352962</v>
      </c>
      <c r="AA17" s="53">
        <f t="shared" si="71"/>
        <v>730197.89909424493</v>
      </c>
      <c r="AB17" s="53">
        <f>IF(AA17&lt;&gt;0,AA17-AB27+(AA17+AA17-AB27)/2*AB24/12,0)</f>
        <v>518543.30239986704</v>
      </c>
      <c r="AC17" s="53">
        <f>IF(AB17&lt;&gt;0,AB17-AC27+(AB17+AB17-AC27)/2*AC24/12,0)</f>
        <v>336654.91181659471</v>
      </c>
      <c r="AD17" s="53">
        <f t="shared" ref="AD17:AH17" si="72">IF(AC17&lt;&gt;0,AC17-AD27+(AC17+AC17-AD27)/2*AD24/12,0)</f>
        <v>190505.97904743921</v>
      </c>
      <c r="AE17" s="53">
        <f t="shared" si="72"/>
        <v>95154.78589506408</v>
      </c>
      <c r="AF17" s="53">
        <f t="shared" si="72"/>
        <v>50669.444264417041</v>
      </c>
      <c r="AG17" s="53">
        <f t="shared" si="72"/>
        <v>23183.801013707311</v>
      </c>
      <c r="AH17" s="53">
        <f t="shared" si="72"/>
        <v>96.531884151107533</v>
      </c>
      <c r="AI17" s="246">
        <f>IF(AH16+AH17+AH18+AH22&gt;0,(AH16+AH17+AH18+AH22)-AI27+(AH16+AH17+AH18+AH22-AI27/2)*AI24/12,0)</f>
        <v>96.793324670683447</v>
      </c>
      <c r="AJ17" s="53">
        <f>IF(AI17&lt;&gt;0,AI17-AJ27+(AI17+AI17-AJ27)/2*AJ$24/12,0)</f>
        <v>97.055473258333208</v>
      </c>
      <c r="AK17" s="53">
        <f>IF(AJ17&lt;&gt;0,AJ17-AK27+(AJ17+AJ17-AK27)/2*AK24/12,0)</f>
        <v>97.31833183174119</v>
      </c>
      <c r="AL17" s="53">
        <f t="shared" ref="AL17:AM17" si="73">IF(AK17&lt;&gt;0,AK17-AL27+(AK17+AK17-AL27)/2*AL24/12,0)</f>
        <v>97.581902313785491</v>
      </c>
      <c r="AM17" s="53">
        <f t="shared" si="73"/>
        <v>97.846186632551991</v>
      </c>
      <c r="AN17" s="53">
        <f>IF(AM17&lt;&gt;0,AM17-AN27+(AM17+AM17-AN27)/2*AN24/12,0)</f>
        <v>98.111186721348489</v>
      </c>
      <c r="AO17" s="53">
        <f>IF(AN17&lt;&gt;0,AN17-AO27+(AN17+AN17-AO27)/2*AO24/12,0)</f>
        <v>98.376904518718803</v>
      </c>
      <c r="AP17" s="53">
        <f t="shared" ref="AP17:AW17" si="74">IF(AO17&lt;&gt;0,AO17-AP27+(AO17+AO17-AP27)/2*AP24/12,0)</f>
        <v>98.643341968456994</v>
      </c>
      <c r="AQ17" s="53">
        <f t="shared" si="74"/>
        <v>98.910501019621563</v>
      </c>
      <c r="AR17" s="53">
        <f t="shared" si="74"/>
        <v>99.178383626549703</v>
      </c>
      <c r="AS17" s="53">
        <f t="shared" si="74"/>
        <v>99.446991748871611</v>
      </c>
      <c r="AT17" s="53">
        <f t="shared" si="74"/>
        <v>99.716327351524811</v>
      </c>
      <c r="AU17" s="53">
        <f t="shared" si="74"/>
        <v>99.986392404768523</v>
      </c>
      <c r="AV17" s="53">
        <f t="shared" si="74"/>
        <v>100.2571888841981</v>
      </c>
      <c r="AW17" s="53">
        <f t="shared" si="74"/>
        <v>100.52871877075947</v>
      </c>
    </row>
    <row r="18" spans="1:49" ht="15.75" thickBot="1" x14ac:dyDescent="0.3">
      <c r="A18">
        <v>254328</v>
      </c>
      <c r="B18" t="s">
        <v>282</v>
      </c>
      <c r="C18" s="254">
        <v>0</v>
      </c>
      <c r="D18" s="53">
        <f>IF(D27&lt;0,C18-D27+(C18+C18-D27)/2*D24/12,0)</f>
        <v>0</v>
      </c>
      <c r="E18" s="53">
        <f t="shared" ref="E18:N18" si="75">IF(E27&lt;0,D18-E27+(D18+D18-E27)/2*E24/12,0)</f>
        <v>0</v>
      </c>
      <c r="F18" s="53">
        <f t="shared" si="75"/>
        <v>0</v>
      </c>
      <c r="G18" s="53">
        <f t="shared" si="75"/>
        <v>0</v>
      </c>
      <c r="H18" s="53">
        <f t="shared" si="75"/>
        <v>0</v>
      </c>
      <c r="I18" s="53">
        <f t="shared" si="75"/>
        <v>0</v>
      </c>
      <c r="J18" s="53">
        <f t="shared" si="75"/>
        <v>0</v>
      </c>
      <c r="K18" s="336">
        <f>IF((J16+J17+J18+J22)&lt;0,(J16+J17+J18+J22)-K27+(J16+J17+J18+J22-K27/2)*K24/12,0)</f>
        <v>-828904.15939077351</v>
      </c>
      <c r="L18" s="53">
        <f t="shared" si="75"/>
        <v>-812585.45364319882</v>
      </c>
      <c r="M18" s="53">
        <f t="shared" si="75"/>
        <v>-755835.83524160751</v>
      </c>
      <c r="N18" s="53">
        <f t="shared" si="75"/>
        <v>-645310.47496830346</v>
      </c>
      <c r="O18" s="53">
        <f>IF(N18&lt;&gt;0,N18-O27+(N18+N18-O27)/2*O$24/12,0)</f>
        <v>-505779.3444557176</v>
      </c>
      <c r="P18" s="53">
        <f>IF(O18&lt;&gt;0,O18-P27+(O18+O18-P27)/2*P24/12,0)</f>
        <v>-354739.45747048553</v>
      </c>
      <c r="Q18" s="53">
        <f>IF(P18&lt;&gt;0,P18-Q27+(P18+P18-Q27)/2*Q24/12,0)</f>
        <v>-224966.02908914417</v>
      </c>
      <c r="R18" s="53">
        <f t="shared" ref="R18:AA18" si="76">IF(Q18&lt;&gt;0,Q18-R27+(Q18+Q18-R27)/2*R24/12,0)</f>
        <v>-120709.71624684149</v>
      </c>
      <c r="S18" s="53">
        <f t="shared" si="76"/>
        <v>-52968.725487148891</v>
      </c>
      <c r="T18" s="53">
        <f t="shared" si="76"/>
        <v>-21353.743748161749</v>
      </c>
      <c r="U18" s="53">
        <f t="shared" si="76"/>
        <v>-2467.2325291730899</v>
      </c>
      <c r="V18" s="53">
        <f t="shared" si="76"/>
        <v>13173.424942076519</v>
      </c>
      <c r="W18" s="336">
        <f>IF((V16+V17+V18+V22)&lt;0,(V16+V17+V18+V22)-W27+(V16+V17+V18+V22-W27/2)*W24/12,0)</f>
        <v>0</v>
      </c>
      <c r="X18" s="53">
        <f>IF(W18&lt;&gt;0,W18-X27+(W18+W18-X27)/2*X$24/12,0)</f>
        <v>0</v>
      </c>
      <c r="Y18" s="53">
        <f t="shared" si="76"/>
        <v>0</v>
      </c>
      <c r="Z18" s="53">
        <f t="shared" si="76"/>
        <v>0</v>
      </c>
      <c r="AA18" s="53">
        <f t="shared" si="76"/>
        <v>0</v>
      </c>
      <c r="AB18" s="53">
        <f>IF(AA18&lt;&gt;0,AA18-AB27+(AA18+AA18-AB27)/2*AB24/12,0)</f>
        <v>0</v>
      </c>
      <c r="AC18" s="53">
        <f>IF(AB18&lt;&gt;0,AB18-AC27+(AB18+AB18-AC27)/2*AC24/12,0)</f>
        <v>0</v>
      </c>
      <c r="AD18" s="53">
        <f t="shared" ref="AD18:AH18" si="77">IF(AC18&lt;&gt;0,AC18-AD27+(AC18+AC18-AD27)/2*AD24/12,0)</f>
        <v>0</v>
      </c>
      <c r="AE18" s="53">
        <f t="shared" si="77"/>
        <v>0</v>
      </c>
      <c r="AF18" s="53">
        <f t="shared" si="77"/>
        <v>0</v>
      </c>
      <c r="AG18" s="53">
        <f t="shared" si="77"/>
        <v>0</v>
      </c>
      <c r="AH18" s="53">
        <f t="shared" si="77"/>
        <v>0</v>
      </c>
      <c r="AI18" s="246">
        <f>IF((AH16+AH17+AH18+AH22)&lt;0,(AH16+AH17+AH18+AH22)-AI27+(AH16+AH17+AH18+AH22-AI27/2)*AI24/12,0)</f>
        <v>0</v>
      </c>
      <c r="AJ18" s="53">
        <f>IF(AI18&lt;&gt;0,AI18-AJ27+(AI18+AI18-AJ27)/2*AJ$24/12,0)</f>
        <v>0</v>
      </c>
      <c r="AK18" s="53">
        <f>IF(AJ18&lt;&gt;0,AJ18-AK27+(AJ18+AJ18-AK27)/2*AK24/12,0)</f>
        <v>0</v>
      </c>
      <c r="AL18" s="53">
        <f t="shared" ref="AL18:AM18" si="78">IF(AK18&lt;&gt;0,AK18-AL27+(AK18+AK18-AL27)/2*AL24/12,0)</f>
        <v>0</v>
      </c>
      <c r="AM18" s="53">
        <f t="shared" si="78"/>
        <v>0</v>
      </c>
      <c r="AN18" s="53">
        <f>IF(AM18&lt;&gt;0,AM18-AN27+(AM18+AM18-AN27)/2*AN24/12,0)</f>
        <v>0</v>
      </c>
      <c r="AO18" s="53">
        <f>IF(AN18&lt;&gt;0,AN18-AO27+(AN18+AN18-AO27)/2*AO24/12,0)</f>
        <v>0</v>
      </c>
      <c r="AP18" s="53">
        <f t="shared" ref="AP18:AW18" si="79">IF(AO18&lt;&gt;0,AO18-AP27+(AO18+AO18-AP27)/2*AP24/12,0)</f>
        <v>0</v>
      </c>
      <c r="AQ18" s="53">
        <f t="shared" si="79"/>
        <v>0</v>
      </c>
      <c r="AR18" s="53">
        <f t="shared" si="79"/>
        <v>0</v>
      </c>
      <c r="AS18" s="53">
        <f t="shared" si="79"/>
        <v>0</v>
      </c>
      <c r="AT18" s="53">
        <f t="shared" si="79"/>
        <v>0</v>
      </c>
      <c r="AU18" s="53">
        <f t="shared" si="79"/>
        <v>0</v>
      </c>
      <c r="AV18" s="53">
        <f t="shared" si="79"/>
        <v>0</v>
      </c>
      <c r="AW18" s="53">
        <f t="shared" si="79"/>
        <v>0</v>
      </c>
    </row>
    <row r="19" spans="1:49" ht="15.75" thickBot="1" x14ac:dyDescent="0.3">
      <c r="A19">
        <v>253311</v>
      </c>
      <c r="B19" t="s">
        <v>283</v>
      </c>
      <c r="C19" s="268">
        <f>SUM(AB9:AK9)</f>
        <v>0</v>
      </c>
      <c r="N19" s="53"/>
      <c r="O19" s="247">
        <f>-O12</f>
        <v>0</v>
      </c>
      <c r="X19" s="268"/>
      <c r="AA19" s="247">
        <f>-AA12</f>
        <v>0</v>
      </c>
      <c r="AJ19" s="268"/>
      <c r="AM19" s="248"/>
    </row>
    <row r="20" spans="1:49" x14ac:dyDescent="0.25">
      <c r="A20">
        <v>253312</v>
      </c>
      <c r="B20" t="s">
        <v>284</v>
      </c>
      <c r="C20" s="254">
        <v>0</v>
      </c>
      <c r="D20" s="249">
        <f>-D12</f>
        <v>0</v>
      </c>
      <c r="E20" s="249">
        <f t="shared" ref="E20:M20" si="80">-E12</f>
        <v>0</v>
      </c>
      <c r="F20" s="249">
        <f t="shared" si="80"/>
        <v>0</v>
      </c>
      <c r="G20" s="249">
        <f t="shared" si="80"/>
        <v>0</v>
      </c>
      <c r="H20" s="249">
        <f t="shared" si="80"/>
        <v>0</v>
      </c>
      <c r="I20" s="249">
        <f t="shared" si="80"/>
        <v>0</v>
      </c>
      <c r="J20" s="249">
        <f t="shared" si="80"/>
        <v>0</v>
      </c>
      <c r="K20" s="249">
        <f t="shared" si="80"/>
        <v>0</v>
      </c>
      <c r="L20" s="249">
        <f t="shared" si="80"/>
        <v>0</v>
      </c>
      <c r="M20" s="249">
        <f t="shared" si="80"/>
        <v>0</v>
      </c>
      <c r="N20" s="53"/>
      <c r="O20" s="38"/>
      <c r="P20" s="38">
        <f>-P12</f>
        <v>0</v>
      </c>
      <c r="Q20" s="38">
        <f t="shared" ref="Q20:AA20" si="81">-Q12</f>
        <v>0</v>
      </c>
      <c r="R20" s="38">
        <f t="shared" si="81"/>
        <v>0</v>
      </c>
      <c r="S20" s="38">
        <f t="shared" si="81"/>
        <v>0</v>
      </c>
      <c r="T20" s="38">
        <f t="shared" si="81"/>
        <v>0</v>
      </c>
      <c r="U20" s="38">
        <f t="shared" si="81"/>
        <v>0</v>
      </c>
      <c r="V20" s="38">
        <f>-V12</f>
        <v>0</v>
      </c>
      <c r="W20" s="38">
        <f t="shared" ref="W20:X20" si="82">-W12</f>
        <v>0</v>
      </c>
      <c r="X20" s="38">
        <f t="shared" si="82"/>
        <v>0</v>
      </c>
      <c r="Y20" s="38">
        <f t="shared" si="81"/>
        <v>0</v>
      </c>
      <c r="Z20" s="38">
        <f t="shared" si="81"/>
        <v>0</v>
      </c>
      <c r="AA20" s="38">
        <f t="shared" si="81"/>
        <v>0</v>
      </c>
      <c r="AB20" s="38"/>
      <c r="AC20" s="38"/>
      <c r="AD20" s="38"/>
      <c r="AE20" s="38"/>
      <c r="AF20" s="38"/>
      <c r="AG20" s="38"/>
      <c r="AH20" s="38"/>
      <c r="AJ20" s="38"/>
      <c r="AK20" s="38"/>
      <c r="AL20" s="38"/>
      <c r="AM20" s="38"/>
      <c r="AN20" s="38"/>
      <c r="AO20" s="38"/>
      <c r="AP20" s="38"/>
      <c r="AQ20" s="38"/>
      <c r="AR20" s="38"/>
      <c r="AS20" s="38"/>
      <c r="AT20" s="38"/>
      <c r="AU20" s="38"/>
      <c r="AV20" s="38"/>
      <c r="AW20" s="38"/>
    </row>
    <row r="21" spans="1:49" x14ac:dyDescent="0.25">
      <c r="A21">
        <v>283328</v>
      </c>
      <c r="B21" t="s">
        <v>285</v>
      </c>
      <c r="C21" s="53">
        <f>SUM(C15:C20)*-0.21</f>
        <v>109806.2994</v>
      </c>
      <c r="D21" s="53">
        <f t="shared" ref="D21:I21" si="83">SUM(D15:D20)*-0.21</f>
        <v>152773.99959972728</v>
      </c>
      <c r="E21" s="53">
        <f t="shared" si="83"/>
        <v>205189.30998622751</v>
      </c>
      <c r="F21" s="53">
        <f t="shared" si="83"/>
        <v>379351.75922558113</v>
      </c>
      <c r="G21" s="53">
        <f t="shared" si="83"/>
        <v>191256.24333282679</v>
      </c>
      <c r="H21" s="53">
        <f t="shared" si="83"/>
        <v>88422.415145550476</v>
      </c>
      <c r="I21" s="53">
        <f t="shared" si="83"/>
        <v>74451.446994547281</v>
      </c>
      <c r="J21" s="53">
        <f t="shared" ref="J21:AW21" si="84">SUM(J15:J20)*-0.21</f>
        <v>88373.789794981014</v>
      </c>
      <c r="K21" s="53">
        <f t="shared" si="84"/>
        <v>75833.727687331237</v>
      </c>
      <c r="L21" s="53">
        <f t="shared" si="84"/>
        <v>17721.36969880835</v>
      </c>
      <c r="M21" s="53">
        <f t="shared" si="84"/>
        <v>-37146.891521611549</v>
      </c>
      <c r="N21" s="53">
        <f>SUM(N15:N20)*-0.21</f>
        <v>-8020.7432120555241</v>
      </c>
      <c r="O21" s="53">
        <f t="shared" si="84"/>
        <v>-140418.34324031734</v>
      </c>
      <c r="P21" s="53">
        <f t="shared" si="84"/>
        <v>-172804.68118898448</v>
      </c>
      <c r="Q21" s="53">
        <f t="shared" si="84"/>
        <v>-200726.87189372265</v>
      </c>
      <c r="R21" s="53">
        <f t="shared" si="84"/>
        <v>-223292.28229769616</v>
      </c>
      <c r="S21" s="53">
        <f t="shared" si="84"/>
        <v>-238191.29393956994</v>
      </c>
      <c r="T21" s="53">
        <f t="shared" si="84"/>
        <v>-245505.66748846442</v>
      </c>
      <c r="U21" s="53">
        <f t="shared" si="84"/>
        <v>-250148.89096899002</v>
      </c>
      <c r="V21" s="53">
        <f t="shared" si="84"/>
        <v>-254112.31885616109</v>
      </c>
      <c r="W21" s="53">
        <f t="shared" si="84"/>
        <v>-250337.189311236</v>
      </c>
      <c r="X21" s="53">
        <f t="shared" si="84"/>
        <v>-244896.0054529116</v>
      </c>
      <c r="Y21" s="53">
        <f t="shared" si="84"/>
        <v>-227867.39935665883</v>
      </c>
      <c r="Z21" s="53">
        <f t="shared" si="84"/>
        <v>-196807.64869154122</v>
      </c>
      <c r="AA21" s="53">
        <f t="shared" si="84"/>
        <v>-153341.55880979143</v>
      </c>
      <c r="AB21" s="53">
        <f t="shared" si="84"/>
        <v>-108894.09350397208</v>
      </c>
      <c r="AC21" s="53">
        <f t="shared" si="84"/>
        <v>-70697.531481484883</v>
      </c>
      <c r="AD21" s="53">
        <f t="shared" si="84"/>
        <v>-40006.255599962235</v>
      </c>
      <c r="AE21" s="53">
        <f t="shared" si="84"/>
        <v>-19982.505037963456</v>
      </c>
      <c r="AF21" s="53">
        <f t="shared" si="84"/>
        <v>-10640.583295527578</v>
      </c>
      <c r="AG21" s="53">
        <f t="shared" si="84"/>
        <v>-4868.5982128785354</v>
      </c>
      <c r="AH21" s="53">
        <f t="shared" si="84"/>
        <v>-20.27169567173258</v>
      </c>
      <c r="AI21" s="53">
        <f t="shared" si="84"/>
        <v>-20.326598180843522</v>
      </c>
      <c r="AJ21" s="53">
        <f t="shared" si="84"/>
        <v>-20.381649384249972</v>
      </c>
      <c r="AK21" s="53">
        <f t="shared" si="84"/>
        <v>-20.436849684665649</v>
      </c>
      <c r="AL21" s="53">
        <f t="shared" si="84"/>
        <v>-20.492199485894954</v>
      </c>
      <c r="AM21" s="53">
        <f t="shared" si="84"/>
        <v>-20.547699192835918</v>
      </c>
      <c r="AN21" s="53">
        <f t="shared" si="84"/>
        <v>-20.603349211483181</v>
      </c>
      <c r="AO21" s="53">
        <f t="shared" si="84"/>
        <v>-20.659149948930949</v>
      </c>
      <c r="AP21" s="53">
        <f t="shared" si="84"/>
        <v>-20.715101813375966</v>
      </c>
      <c r="AQ21" s="53">
        <f t="shared" si="84"/>
        <v>-20.771205214120528</v>
      </c>
      <c r="AR21" s="53">
        <f t="shared" si="84"/>
        <v>-20.827460561575435</v>
      </c>
      <c r="AS21" s="53">
        <f t="shared" si="84"/>
        <v>-20.883868267263036</v>
      </c>
      <c r="AT21" s="53">
        <f t="shared" si="84"/>
        <v>-20.94042874382021</v>
      </c>
      <c r="AU21" s="53">
        <f t="shared" si="84"/>
        <v>-20.997142405001391</v>
      </c>
      <c r="AV21" s="53">
        <f t="shared" si="84"/>
        <v>-21.054009665681601</v>
      </c>
      <c r="AW21" s="53">
        <f t="shared" si="84"/>
        <v>-21.111030941859486</v>
      </c>
    </row>
    <row r="22" spans="1:49" x14ac:dyDescent="0.25">
      <c r="A22">
        <v>229000</v>
      </c>
      <c r="B22" t="s">
        <v>286</v>
      </c>
      <c r="C22" s="241">
        <v>0</v>
      </c>
      <c r="D22" s="38">
        <f t="shared" ref="D22:AW22" si="85">C22</f>
        <v>0</v>
      </c>
      <c r="E22" s="38">
        <f t="shared" si="85"/>
        <v>0</v>
      </c>
      <c r="F22" s="38">
        <f t="shared" si="85"/>
        <v>0</v>
      </c>
      <c r="G22" s="38">
        <f t="shared" si="85"/>
        <v>0</v>
      </c>
      <c r="H22" s="38">
        <f t="shared" si="85"/>
        <v>0</v>
      </c>
      <c r="I22" s="38">
        <f t="shared" si="85"/>
        <v>0</v>
      </c>
      <c r="J22" s="38">
        <f t="shared" si="85"/>
        <v>0</v>
      </c>
      <c r="K22" s="336">
        <v>0</v>
      </c>
      <c r="L22" s="38">
        <f t="shared" si="85"/>
        <v>0</v>
      </c>
      <c r="M22" s="38">
        <f t="shared" si="85"/>
        <v>0</v>
      </c>
      <c r="N22" s="38">
        <f t="shared" si="85"/>
        <v>0</v>
      </c>
      <c r="O22" s="250">
        <f>-SUM(D32:O32)</f>
        <v>0</v>
      </c>
      <c r="P22" s="38">
        <f t="shared" si="85"/>
        <v>0</v>
      </c>
      <c r="Q22" s="38">
        <f t="shared" si="85"/>
        <v>0</v>
      </c>
      <c r="R22" s="38">
        <f t="shared" si="85"/>
        <v>0</v>
      </c>
      <c r="S22" s="38">
        <f t="shared" si="85"/>
        <v>0</v>
      </c>
      <c r="T22" s="38">
        <f t="shared" si="85"/>
        <v>0</v>
      </c>
      <c r="U22" s="38">
        <f t="shared" si="85"/>
        <v>0</v>
      </c>
      <c r="V22" s="38">
        <f t="shared" si="85"/>
        <v>0</v>
      </c>
      <c r="W22" s="336">
        <v>0</v>
      </c>
      <c r="X22" s="38">
        <f t="shared" si="85"/>
        <v>0</v>
      </c>
      <c r="Y22" s="38">
        <f t="shared" si="85"/>
        <v>0</v>
      </c>
      <c r="Z22" s="38">
        <f t="shared" si="85"/>
        <v>0</v>
      </c>
      <c r="AA22" s="250">
        <f>-SUM(P32:AA32)</f>
        <v>0</v>
      </c>
      <c r="AB22" s="38">
        <f t="shared" si="85"/>
        <v>0</v>
      </c>
      <c r="AC22" s="38">
        <f t="shared" si="85"/>
        <v>0</v>
      </c>
      <c r="AD22" s="38">
        <f t="shared" si="85"/>
        <v>0</v>
      </c>
      <c r="AE22" s="38">
        <f t="shared" si="85"/>
        <v>0</v>
      </c>
      <c r="AF22" s="38">
        <f t="shared" si="85"/>
        <v>0</v>
      </c>
      <c r="AG22" s="38">
        <f t="shared" si="85"/>
        <v>0</v>
      </c>
      <c r="AH22" s="38">
        <f t="shared" si="85"/>
        <v>0</v>
      </c>
      <c r="AI22" s="246">
        <v>0</v>
      </c>
      <c r="AJ22" s="250">
        <f>-SUM(Y32:AJ32)</f>
        <v>0</v>
      </c>
      <c r="AK22" s="38">
        <f t="shared" ref="AK22:AM22" si="86">AJ22</f>
        <v>0</v>
      </c>
      <c r="AL22" s="38">
        <f t="shared" si="86"/>
        <v>0</v>
      </c>
      <c r="AM22" s="38">
        <f t="shared" si="86"/>
        <v>0</v>
      </c>
      <c r="AN22" s="38">
        <f t="shared" si="85"/>
        <v>0</v>
      </c>
      <c r="AO22" s="38">
        <f t="shared" si="85"/>
        <v>0</v>
      </c>
      <c r="AP22" s="38">
        <f t="shared" si="85"/>
        <v>0</v>
      </c>
      <c r="AQ22" s="38">
        <f t="shared" si="85"/>
        <v>0</v>
      </c>
      <c r="AR22" s="38">
        <f t="shared" si="85"/>
        <v>0</v>
      </c>
      <c r="AS22" s="38">
        <f t="shared" si="85"/>
        <v>0</v>
      </c>
      <c r="AT22" s="38">
        <f t="shared" si="85"/>
        <v>0</v>
      </c>
      <c r="AU22" s="38">
        <f t="shared" si="85"/>
        <v>0</v>
      </c>
      <c r="AV22" s="38">
        <f t="shared" si="85"/>
        <v>0</v>
      </c>
      <c r="AW22" s="38">
        <f t="shared" si="85"/>
        <v>0</v>
      </c>
    </row>
    <row r="23" spans="1:49" x14ac:dyDescent="0.25">
      <c r="A23">
        <v>190449</v>
      </c>
      <c r="B23" t="s">
        <v>287</v>
      </c>
      <c r="C23" s="53">
        <f>C22*-0.21</f>
        <v>0</v>
      </c>
      <c r="D23" s="53">
        <f t="shared" ref="D23:I23" si="87">D22*-0.21</f>
        <v>0</v>
      </c>
      <c r="E23" s="53">
        <f t="shared" si="87"/>
        <v>0</v>
      </c>
      <c r="F23" s="53">
        <f t="shared" si="87"/>
        <v>0</v>
      </c>
      <c r="G23" s="53">
        <f t="shared" si="87"/>
        <v>0</v>
      </c>
      <c r="H23" s="53">
        <f t="shared" si="87"/>
        <v>0</v>
      </c>
      <c r="I23" s="53">
        <f t="shared" si="87"/>
        <v>0</v>
      </c>
      <c r="J23" s="53">
        <f>J22*-0.21</f>
        <v>0</v>
      </c>
      <c r="K23" s="53">
        <f>K22*-0.21</f>
        <v>0</v>
      </c>
      <c r="L23" s="53">
        <f>L22*-0.21</f>
        <v>0</v>
      </c>
      <c r="M23" s="53">
        <f>M22*-0.21</f>
        <v>0</v>
      </c>
      <c r="N23" s="53"/>
    </row>
    <row r="24" spans="1:49" x14ac:dyDescent="0.25">
      <c r="B24" t="s">
        <v>288</v>
      </c>
      <c r="C24" s="53"/>
      <c r="D24" s="331">
        <f>'Deferral Calc'!D30</f>
        <v>4.9599999999999998E-2</v>
      </c>
      <c r="E24" s="267">
        <f>D24</f>
        <v>4.9599999999999998E-2</v>
      </c>
      <c r="F24" s="267">
        <f t="shared" ref="F24:O24" si="88">E24</f>
        <v>4.9599999999999998E-2</v>
      </c>
      <c r="G24" s="331">
        <f>'Deferral Calc'!G30</f>
        <v>4.7500000000000001E-2</v>
      </c>
      <c r="H24" s="267">
        <f t="shared" si="88"/>
        <v>4.7500000000000001E-2</v>
      </c>
      <c r="I24" s="267">
        <f t="shared" si="88"/>
        <v>4.7500000000000001E-2</v>
      </c>
      <c r="J24" s="331">
        <v>3.4299999999999997E-2</v>
      </c>
      <c r="K24" s="267">
        <f t="shared" si="88"/>
        <v>3.4299999999999997E-2</v>
      </c>
      <c r="L24" s="267">
        <f t="shared" si="88"/>
        <v>3.4299999999999997E-2</v>
      </c>
      <c r="M24" s="331">
        <v>3.2500000000000001E-2</v>
      </c>
      <c r="N24" s="267">
        <f t="shared" si="88"/>
        <v>3.2500000000000001E-2</v>
      </c>
      <c r="O24" s="267">
        <f t="shared" si="88"/>
        <v>3.2500000000000001E-2</v>
      </c>
      <c r="P24" s="251">
        <f t="shared" ref="P24:AW24" si="89">O24</f>
        <v>3.2500000000000001E-2</v>
      </c>
      <c r="Q24" s="251">
        <f t="shared" si="89"/>
        <v>3.2500000000000001E-2</v>
      </c>
      <c r="R24" s="251">
        <f t="shared" si="89"/>
        <v>3.2500000000000001E-2</v>
      </c>
      <c r="S24" s="251">
        <f t="shared" si="89"/>
        <v>3.2500000000000001E-2</v>
      </c>
      <c r="T24" s="251">
        <f t="shared" si="89"/>
        <v>3.2500000000000001E-2</v>
      </c>
      <c r="U24" s="251">
        <f t="shared" si="89"/>
        <v>3.2500000000000001E-2</v>
      </c>
      <c r="V24" s="251">
        <f t="shared" si="89"/>
        <v>3.2500000000000001E-2</v>
      </c>
      <c r="W24" s="251">
        <f t="shared" si="89"/>
        <v>3.2500000000000001E-2</v>
      </c>
      <c r="X24" s="251">
        <f t="shared" si="89"/>
        <v>3.2500000000000001E-2</v>
      </c>
      <c r="Y24" s="251">
        <f t="shared" si="89"/>
        <v>3.2500000000000001E-2</v>
      </c>
      <c r="Z24" s="251">
        <f t="shared" si="89"/>
        <v>3.2500000000000001E-2</v>
      </c>
      <c r="AA24" s="251">
        <f t="shared" si="89"/>
        <v>3.2500000000000001E-2</v>
      </c>
      <c r="AB24" s="251">
        <f t="shared" si="89"/>
        <v>3.2500000000000001E-2</v>
      </c>
      <c r="AC24" s="251">
        <f t="shared" si="89"/>
        <v>3.2500000000000001E-2</v>
      </c>
      <c r="AD24" s="251">
        <f t="shared" si="89"/>
        <v>3.2500000000000001E-2</v>
      </c>
      <c r="AE24" s="251">
        <f t="shared" si="89"/>
        <v>3.2500000000000001E-2</v>
      </c>
      <c r="AF24" s="251">
        <f t="shared" si="89"/>
        <v>3.2500000000000001E-2</v>
      </c>
      <c r="AG24" s="251">
        <f t="shared" si="89"/>
        <v>3.2500000000000001E-2</v>
      </c>
      <c r="AH24" s="251">
        <f t="shared" si="89"/>
        <v>3.2500000000000001E-2</v>
      </c>
      <c r="AI24" s="251">
        <f t="shared" si="89"/>
        <v>3.2500000000000001E-2</v>
      </c>
      <c r="AJ24" s="251">
        <f t="shared" si="89"/>
        <v>3.2500000000000001E-2</v>
      </c>
      <c r="AK24" s="251">
        <f t="shared" si="89"/>
        <v>3.2500000000000001E-2</v>
      </c>
      <c r="AL24" s="251">
        <f t="shared" si="89"/>
        <v>3.2500000000000001E-2</v>
      </c>
      <c r="AM24" s="251">
        <f t="shared" si="89"/>
        <v>3.2500000000000001E-2</v>
      </c>
      <c r="AN24" s="251">
        <f t="shared" si="89"/>
        <v>3.2500000000000001E-2</v>
      </c>
      <c r="AO24" s="251">
        <f t="shared" si="89"/>
        <v>3.2500000000000001E-2</v>
      </c>
      <c r="AP24" s="251">
        <f t="shared" si="89"/>
        <v>3.2500000000000001E-2</v>
      </c>
      <c r="AQ24" s="251">
        <f t="shared" si="89"/>
        <v>3.2500000000000001E-2</v>
      </c>
      <c r="AR24" s="251">
        <f t="shared" si="89"/>
        <v>3.2500000000000001E-2</v>
      </c>
      <c r="AS24" s="251">
        <f t="shared" si="89"/>
        <v>3.2500000000000001E-2</v>
      </c>
      <c r="AT24" s="251">
        <f t="shared" si="89"/>
        <v>3.2500000000000001E-2</v>
      </c>
      <c r="AU24" s="251">
        <f t="shared" si="89"/>
        <v>3.2500000000000001E-2</v>
      </c>
      <c r="AV24" s="251">
        <f t="shared" si="89"/>
        <v>3.2500000000000001E-2</v>
      </c>
      <c r="AW24" s="251">
        <f t="shared" si="89"/>
        <v>3.2500000000000001E-2</v>
      </c>
    </row>
    <row r="25" spans="1:49" x14ac:dyDescent="0.25">
      <c r="A25" t="s">
        <v>289</v>
      </c>
      <c r="C25" s="53"/>
      <c r="E25" s="53"/>
      <c r="F25" s="53"/>
      <c r="G25" s="53"/>
      <c r="H25" s="53"/>
    </row>
    <row r="26" spans="1:49" x14ac:dyDescent="0.25">
      <c r="A26">
        <v>456328</v>
      </c>
      <c r="B26" t="s">
        <v>290</v>
      </c>
      <c r="C26" s="252" t="s">
        <v>291</v>
      </c>
      <c r="D26" s="241">
        <f>'Deferral Calc'!D66</f>
        <v>122195.97</v>
      </c>
      <c r="E26" s="241">
        <f>'Deferral Calc'!E66</f>
        <v>173006.74383686349</v>
      </c>
      <c r="F26" s="241">
        <f>'Deferral Calc'!F66</f>
        <v>756412.94</v>
      </c>
      <c r="G26" s="241">
        <f>'Deferral Calc'!G66</f>
        <v>-935910.01</v>
      </c>
      <c r="H26" s="241">
        <f>'Deferral Calc'!H66</f>
        <v>-513063.64</v>
      </c>
      <c r="I26" s="241">
        <f>'Deferral Calc'!I66</f>
        <v>-81423.989222402975</v>
      </c>
      <c r="J26" s="241">
        <f>'Deferral Calc'!J66</f>
        <v>54634.52570605027</v>
      </c>
      <c r="K26" s="241">
        <f>'Deferral Calc'!K66</f>
        <v>-45081.39</v>
      </c>
      <c r="L26" s="241">
        <f>'Deferral Calc'!L66</f>
        <v>-258699.98</v>
      </c>
      <c r="M26" s="241">
        <f>'Deferral Calc'!M66</f>
        <v>-202281.69</v>
      </c>
      <c r="N26" s="241">
        <f>'Deferral Calc'!N66</f>
        <v>251406.99</v>
      </c>
      <c r="O26" s="241">
        <f>'Deferral Calc'!O66</f>
        <v>-488421.07</v>
      </c>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row>
    <row r="27" spans="1:49" x14ac:dyDescent="0.25">
      <c r="A27">
        <v>456329</v>
      </c>
      <c r="B27" t="s">
        <v>292</v>
      </c>
      <c r="C27" s="252" t="s">
        <v>291</v>
      </c>
      <c r="D27" s="254">
        <f>'Deferral Calc'!D70</f>
        <v>79833.332119464001</v>
      </c>
      <c r="E27" s="254">
        <f>'Deferral Calc'!E70</f>
        <v>73074.424232402991</v>
      </c>
      <c r="F27" s="254">
        <f>'Deferral Calc'!F70</f>
        <v>67191.294224241021</v>
      </c>
      <c r="G27" s="254">
        <f>'Deferral Calc'!G70</f>
        <v>34849.945632843002</v>
      </c>
      <c r="H27" s="254">
        <f>'Deferral Calc'!H70</f>
        <v>20748.09</v>
      </c>
      <c r="I27" s="254">
        <f>'Deferral Calc'!I70</f>
        <v>13363.58</v>
      </c>
      <c r="J27" s="254">
        <f>'Deferral Calc'!J70</f>
        <v>10555.81</v>
      </c>
      <c r="K27" s="254">
        <f>'Deferral Calc'!K70</f>
        <v>-15749.12</v>
      </c>
      <c r="L27" s="254">
        <f>'Deferral Calc'!L70</f>
        <v>-18661.32</v>
      </c>
      <c r="M27" s="254">
        <f>'Deferral Calc'!M70</f>
        <v>-58870.65</v>
      </c>
      <c r="N27" s="254">
        <f>'Deferral Calc'!N70</f>
        <v>-112420.18</v>
      </c>
      <c r="O27" s="254">
        <f>'Deferral Calc'!O70</f>
        <v>-141087.79</v>
      </c>
      <c r="P27" s="53">
        <f t="shared" ref="P27:AW27" si="90">P3*P4</f>
        <v>-152203.5970055213</v>
      </c>
      <c r="Q27" s="53">
        <f t="shared" si="90"/>
        <v>-130557.38462031724</v>
      </c>
      <c r="R27" s="53">
        <f t="shared" si="90"/>
        <v>-104723.78238244289</v>
      </c>
      <c r="S27" s="53">
        <f t="shared" si="90"/>
        <v>-67975.862261049289</v>
      </c>
      <c r="T27" s="53">
        <f t="shared" si="90"/>
        <v>-31715.490643601628</v>
      </c>
      <c r="U27" s="53">
        <f t="shared" si="90"/>
        <v>-18918.725167974964</v>
      </c>
      <c r="V27" s="53">
        <f t="shared" si="90"/>
        <v>-15626.179108473396</v>
      </c>
      <c r="W27" s="53">
        <f t="shared" si="90"/>
        <v>21225.306961080034</v>
      </c>
      <c r="X27" s="53">
        <f t="shared" si="90"/>
        <v>29099.548707358754</v>
      </c>
      <c r="Y27" s="53">
        <f t="shared" si="90"/>
        <v>84133.051307407208</v>
      </c>
      <c r="Z27" s="53">
        <f t="shared" si="90"/>
        <v>150638.35122497909</v>
      </c>
      <c r="AA27" s="53">
        <f t="shared" si="90"/>
        <v>209236.23353830283</v>
      </c>
      <c r="AB27" s="53">
        <f t="shared" si="90"/>
        <v>213343.31360059069</v>
      </c>
      <c r="AC27" s="53">
        <f t="shared" si="90"/>
        <v>183044.90538456372</v>
      </c>
      <c r="AD27" s="53">
        <f t="shared" si="90"/>
        <v>146861.83109238785</v>
      </c>
      <c r="AE27" s="53">
        <f t="shared" si="90"/>
        <v>95737.502311248798</v>
      </c>
      <c r="AF27" s="53">
        <f t="shared" si="90"/>
        <v>44682.544896232524</v>
      </c>
      <c r="AG27" s="53">
        <f t="shared" si="90"/>
        <v>27585.517607166155</v>
      </c>
      <c r="AH27" s="53">
        <f t="shared" si="90"/>
        <v>23118.751947372926</v>
      </c>
      <c r="AI27" s="53">
        <f t="shared" si="90"/>
        <v>0</v>
      </c>
      <c r="AJ27" s="53">
        <f t="shared" si="90"/>
        <v>0</v>
      </c>
      <c r="AK27" s="53">
        <f t="shared" si="90"/>
        <v>0</v>
      </c>
      <c r="AL27" s="53">
        <f t="shared" si="90"/>
        <v>0</v>
      </c>
      <c r="AM27" s="53">
        <f t="shared" si="90"/>
        <v>0</v>
      </c>
      <c r="AN27" s="53">
        <f t="shared" si="90"/>
        <v>0</v>
      </c>
      <c r="AO27" s="53">
        <f t="shared" si="90"/>
        <v>0</v>
      </c>
      <c r="AP27" s="53">
        <f t="shared" si="90"/>
        <v>0</v>
      </c>
      <c r="AQ27" s="53">
        <f t="shared" si="90"/>
        <v>0</v>
      </c>
      <c r="AR27" s="53">
        <f t="shared" si="90"/>
        <v>0</v>
      </c>
      <c r="AS27" s="53">
        <f t="shared" si="90"/>
        <v>0</v>
      </c>
      <c r="AT27" s="53">
        <f t="shared" si="90"/>
        <v>0</v>
      </c>
      <c r="AU27" s="53">
        <f t="shared" si="90"/>
        <v>0</v>
      </c>
      <c r="AV27" s="53">
        <f t="shared" si="90"/>
        <v>0</v>
      </c>
      <c r="AW27" s="53">
        <f t="shared" si="90"/>
        <v>0</v>
      </c>
    </row>
    <row r="28" spans="1:49" x14ac:dyDescent="0.25">
      <c r="A28" s="236" t="s">
        <v>293</v>
      </c>
      <c r="B28" t="s">
        <v>294</v>
      </c>
      <c r="C28" s="53"/>
      <c r="D28" s="38">
        <f>SUM(C15:C20,C22)-SUM(D15:D20,D22)-SUM(D26:D27,D31:D32)</f>
        <v>2578.7940697134763</v>
      </c>
      <c r="E28" s="38">
        <f t="shared" ref="E28:H28" si="91">SUM(D15:D20,D22)-SUM(E15:E20,E22)-SUM(E26:E27,E31:E32)</f>
        <v>3515.5480569251813</v>
      </c>
      <c r="F28" s="38">
        <f t="shared" si="91"/>
        <v>5740.7621536334045</v>
      </c>
      <c r="G28" s="38">
        <f t="shared" si="91"/>
        <v>5367.1315445173532</v>
      </c>
      <c r="H28" s="38">
        <f t="shared" si="91"/>
        <v>2630.6538701127283</v>
      </c>
      <c r="I28" s="38">
        <f>SUM(H15:H20,H22)-SUM(I15:I20,I22)-SUM(I26:I27,I31:I32)</f>
        <v>1531.9894557210646</v>
      </c>
      <c r="J28" s="38">
        <f t="shared" ref="J28:AW28" si="92">SUM(I15:I20,I22)-SUM(J15:J20,J22)-SUM(J26:J27,J31:J32)</f>
        <v>1106.5347722055812</v>
      </c>
      <c r="K28" s="38">
        <f t="shared" si="92"/>
        <v>1115.9285350011123</v>
      </c>
      <c r="L28" s="38">
        <f t="shared" si="92"/>
        <v>635.78576893860009</v>
      </c>
      <c r="M28" s="38">
        <f t="shared" si="92"/>
        <v>-125.09438295193831</v>
      </c>
      <c r="N28" s="38">
        <f t="shared" si="92"/>
        <v>-290.86566878081067</v>
      </c>
      <c r="O28" s="38">
        <f t="shared" si="92"/>
        <v>-955.9020393419778</v>
      </c>
      <c r="P28" s="38">
        <f t="shared" si="92"/>
        <v>-2017.0598928936524</v>
      </c>
      <c r="Q28" s="38">
        <f t="shared" si="92"/>
        <v>-2405.4282593883254</v>
      </c>
      <c r="R28" s="38">
        <f t="shared" si="92"/>
        <v>-2730.5528745739284</v>
      </c>
      <c r="S28" s="38">
        <f t="shared" si="92"/>
        <v>-2971.8122240639495</v>
      </c>
      <c r="T28" s="38">
        <f t="shared" si="92"/>
        <v>-3114.8595892291087</v>
      </c>
      <c r="U28" s="38">
        <f t="shared" si="92"/>
        <v>-3191.862834527954</v>
      </c>
      <c r="V28" s="38">
        <f t="shared" si="92"/>
        <v>-3247.2870209127032</v>
      </c>
      <c r="W28" s="38">
        <f t="shared" si="92"/>
        <v>-3248.4996042938183</v>
      </c>
      <c r="X28" s="38">
        <f t="shared" si="92"/>
        <v>-3189.1493820044961</v>
      </c>
      <c r="Y28" s="38">
        <f t="shared" si="92"/>
        <v>-3044.4508490606677</v>
      </c>
      <c r="Z28" s="38">
        <f t="shared" si="92"/>
        <v>-2734.7766291809385</v>
      </c>
      <c r="AA28" s="38">
        <f t="shared" si="92"/>
        <v>-2254.853149018134</v>
      </c>
      <c r="AB28" s="38">
        <f t="shared" si="92"/>
        <v>-1688.7169062127941</v>
      </c>
      <c r="AC28" s="38">
        <f t="shared" si="92"/>
        <v>-1156.5148012913996</v>
      </c>
      <c r="AD28" s="38">
        <f t="shared" si="92"/>
        <v>-712.89832323233713</v>
      </c>
      <c r="AE28" s="38">
        <f t="shared" si="92"/>
        <v>-386.30915887367155</v>
      </c>
      <c r="AF28" s="38">
        <f t="shared" si="92"/>
        <v>-197.2032655854855</v>
      </c>
      <c r="AG28" s="38">
        <f t="shared" si="92"/>
        <v>-99.874356456424721</v>
      </c>
      <c r="AH28" s="38">
        <f t="shared" si="92"/>
        <v>-31.482817816722672</v>
      </c>
      <c r="AI28" s="38">
        <f t="shared" si="92"/>
        <v>-0.2614405195759133</v>
      </c>
      <c r="AJ28" s="38">
        <f t="shared" si="92"/>
        <v>-0.26214858764976157</v>
      </c>
      <c r="AK28" s="38">
        <f t="shared" si="92"/>
        <v>-0.26285857340798202</v>
      </c>
      <c r="AL28" s="38">
        <f t="shared" si="92"/>
        <v>-0.263570482044301</v>
      </c>
      <c r="AM28" s="38">
        <f t="shared" si="92"/>
        <v>-0.26428431876649938</v>
      </c>
      <c r="AN28" s="38">
        <f t="shared" si="92"/>
        <v>-0.26500008879649783</v>
      </c>
      <c r="AO28" s="38">
        <f t="shared" si="92"/>
        <v>-0.2657177973703142</v>
      </c>
      <c r="AP28" s="38">
        <f t="shared" si="92"/>
        <v>-0.26643744973819139</v>
      </c>
      <c r="AQ28" s="38">
        <f t="shared" si="92"/>
        <v>-0.26715905116456895</v>
      </c>
      <c r="AR28" s="38">
        <f t="shared" si="92"/>
        <v>-0.26788260692813992</v>
      </c>
      <c r="AS28" s="38">
        <f t="shared" si="92"/>
        <v>-0.26860812232190767</v>
      </c>
      <c r="AT28" s="38">
        <f t="shared" si="92"/>
        <v>-0.26933560265320011</v>
      </c>
      <c r="AU28" s="38">
        <f t="shared" si="92"/>
        <v>-0.27006505324371233</v>
      </c>
      <c r="AV28" s="38">
        <f t="shared" si="92"/>
        <v>-0.27079647942957763</v>
      </c>
      <c r="AW28" s="38">
        <f t="shared" si="92"/>
        <v>-0.27152988656136756</v>
      </c>
    </row>
    <row r="29" spans="1:49" x14ac:dyDescent="0.25">
      <c r="A29" s="236" t="s">
        <v>295</v>
      </c>
      <c r="B29" t="s">
        <v>296</v>
      </c>
      <c r="C29" s="53"/>
      <c r="D29" s="38">
        <f>SUM(D26:D27,D31:D32)*-0.21</f>
        <v>-42426.153445087439</v>
      </c>
      <c r="E29" s="38">
        <f t="shared" ref="E29:H29" si="93">SUM(E26:E27,E31:E32)*-0.21</f>
        <v>-51677.045294545962</v>
      </c>
      <c r="F29" s="38">
        <f t="shared" si="93"/>
        <v>-172956.88918709059</v>
      </c>
      <c r="G29" s="38">
        <f t="shared" si="93"/>
        <v>189222.61351710299</v>
      </c>
      <c r="H29" s="38">
        <f t="shared" si="93"/>
        <v>103386.26549999999</v>
      </c>
      <c r="I29" s="38">
        <f>SUM(I26:I27,I31:I32)*-0.21</f>
        <v>14292.685936704624</v>
      </c>
      <c r="J29" s="38">
        <f t="shared" ref="J29:AW29" si="94">SUM(J26:J27,J31:J32)*-0.21</f>
        <v>-13689.970498270555</v>
      </c>
      <c r="K29" s="38">
        <f t="shared" si="94"/>
        <v>12774.4071</v>
      </c>
      <c r="L29" s="38">
        <f t="shared" si="94"/>
        <v>58245.872999999992</v>
      </c>
      <c r="M29" s="38">
        <f t="shared" si="94"/>
        <v>54841.991399999999</v>
      </c>
      <c r="N29" s="38">
        <f t="shared" si="94"/>
        <v>-29187.230099999997</v>
      </c>
      <c r="O29" s="38">
        <f t="shared" si="94"/>
        <v>132196.86059999999</v>
      </c>
      <c r="P29" s="38">
        <f t="shared" si="94"/>
        <v>31962.75537115947</v>
      </c>
      <c r="Q29" s="38">
        <f t="shared" si="94"/>
        <v>27417.050770266622</v>
      </c>
      <c r="R29" s="38">
        <f t="shared" si="94"/>
        <v>21991.994300313007</v>
      </c>
      <c r="S29" s="38">
        <f t="shared" si="94"/>
        <v>14274.93107482035</v>
      </c>
      <c r="T29" s="38">
        <f t="shared" si="94"/>
        <v>6660.2530351563419</v>
      </c>
      <c r="U29" s="38">
        <f t="shared" si="94"/>
        <v>3972.9322852747423</v>
      </c>
      <c r="V29" s="38">
        <f t="shared" si="94"/>
        <v>3281.497612779413</v>
      </c>
      <c r="W29" s="38">
        <f t="shared" si="94"/>
        <v>-4457.314461826807</v>
      </c>
      <c r="X29" s="38">
        <f t="shared" si="94"/>
        <v>-6110.9052285453381</v>
      </c>
      <c r="Y29" s="38">
        <f t="shared" si="94"/>
        <v>-17667.940774555515</v>
      </c>
      <c r="Z29" s="38">
        <f t="shared" si="94"/>
        <v>-31634.053757245609</v>
      </c>
      <c r="AA29" s="38">
        <f t="shared" si="94"/>
        <v>-43939.609043043594</v>
      </c>
      <c r="AB29" s="38">
        <f t="shared" si="94"/>
        <v>-44802.09585612404</v>
      </c>
      <c r="AC29" s="38">
        <f t="shared" si="94"/>
        <v>-38439.430130758381</v>
      </c>
      <c r="AD29" s="38">
        <f t="shared" si="94"/>
        <v>-30840.984529401445</v>
      </c>
      <c r="AE29" s="38">
        <f t="shared" si="94"/>
        <v>-20104.875485362249</v>
      </c>
      <c r="AF29" s="38">
        <f t="shared" si="94"/>
        <v>-9383.3344282088292</v>
      </c>
      <c r="AG29" s="38">
        <f t="shared" si="94"/>
        <v>-5792.9586975048924</v>
      </c>
      <c r="AH29" s="38">
        <f t="shared" si="94"/>
        <v>-4854.9379089483145</v>
      </c>
      <c r="AI29" s="38">
        <f t="shared" si="94"/>
        <v>0</v>
      </c>
      <c r="AJ29" s="38">
        <f t="shared" si="94"/>
        <v>0</v>
      </c>
      <c r="AK29" s="38">
        <f t="shared" si="94"/>
        <v>0</v>
      </c>
      <c r="AL29" s="38">
        <f t="shared" si="94"/>
        <v>0</v>
      </c>
      <c r="AM29" s="38">
        <f t="shared" si="94"/>
        <v>0</v>
      </c>
      <c r="AN29" s="38">
        <f t="shared" si="94"/>
        <v>0</v>
      </c>
      <c r="AO29" s="38">
        <f t="shared" si="94"/>
        <v>0</v>
      </c>
      <c r="AP29" s="38">
        <f t="shared" si="94"/>
        <v>0</v>
      </c>
      <c r="AQ29" s="38">
        <f t="shared" si="94"/>
        <v>0</v>
      </c>
      <c r="AR29" s="38">
        <f t="shared" si="94"/>
        <v>0</v>
      </c>
      <c r="AS29" s="38">
        <f t="shared" si="94"/>
        <v>0</v>
      </c>
      <c r="AT29" s="38">
        <f t="shared" si="94"/>
        <v>0</v>
      </c>
      <c r="AU29" s="38">
        <f t="shared" si="94"/>
        <v>0</v>
      </c>
      <c r="AV29" s="38">
        <f t="shared" si="94"/>
        <v>0</v>
      </c>
      <c r="AW29" s="38">
        <f t="shared" si="94"/>
        <v>0</v>
      </c>
    </row>
    <row r="30" spans="1:49" x14ac:dyDescent="0.25">
      <c r="A30" s="236" t="s">
        <v>297</v>
      </c>
      <c r="B30" t="s">
        <v>298</v>
      </c>
      <c r="C30" s="53"/>
      <c r="D30" s="38">
        <f>D28*-0.21</f>
        <v>-541.54675463983006</v>
      </c>
      <c r="E30" s="38">
        <f t="shared" ref="E30:H30" si="95">E28*-0.21</f>
        <v>-738.2650919542881</v>
      </c>
      <c r="F30" s="38">
        <f t="shared" si="95"/>
        <v>-1205.560052263015</v>
      </c>
      <c r="G30" s="38">
        <f t="shared" si="95"/>
        <v>-1127.0976243486441</v>
      </c>
      <c r="H30" s="38">
        <f t="shared" si="95"/>
        <v>-552.4373127236729</v>
      </c>
      <c r="I30" s="38">
        <f>I28*-0.21</f>
        <v>-321.71778570142357</v>
      </c>
      <c r="J30" s="38">
        <f t="shared" ref="J30:AW30" si="96">J28*-0.21</f>
        <v>-232.37230216317207</v>
      </c>
      <c r="K30" s="38">
        <f t="shared" si="96"/>
        <v>-234.34499235023358</v>
      </c>
      <c r="L30" s="38">
        <f t="shared" si="96"/>
        <v>-133.51501147710601</v>
      </c>
      <c r="M30" s="38">
        <f t="shared" si="96"/>
        <v>26.269820419907045</v>
      </c>
      <c r="N30" s="38">
        <f t="shared" si="96"/>
        <v>61.081790443970235</v>
      </c>
      <c r="O30" s="38">
        <f t="shared" si="96"/>
        <v>200.73942826181533</v>
      </c>
      <c r="P30" s="38">
        <f t="shared" si="96"/>
        <v>423.582577507667</v>
      </c>
      <c r="Q30" s="38">
        <f t="shared" si="96"/>
        <v>505.13993447154832</v>
      </c>
      <c r="R30" s="38">
        <f t="shared" si="96"/>
        <v>573.41610366052498</v>
      </c>
      <c r="S30" s="38">
        <f t="shared" si="96"/>
        <v>624.08056705342938</v>
      </c>
      <c r="T30" s="38">
        <f t="shared" si="96"/>
        <v>654.12051373811278</v>
      </c>
      <c r="U30" s="38">
        <f t="shared" si="96"/>
        <v>670.29119525087026</v>
      </c>
      <c r="V30" s="38">
        <f t="shared" si="96"/>
        <v>681.93027439166758</v>
      </c>
      <c r="W30" s="38">
        <f t="shared" si="96"/>
        <v>682.18491690170185</v>
      </c>
      <c r="X30" s="38">
        <f t="shared" si="96"/>
        <v>669.72137022094421</v>
      </c>
      <c r="Y30" s="38">
        <f t="shared" si="96"/>
        <v>639.33467830274014</v>
      </c>
      <c r="Z30" s="38">
        <f t="shared" si="96"/>
        <v>574.30309212799705</v>
      </c>
      <c r="AA30" s="38">
        <f t="shared" si="96"/>
        <v>473.51916129380811</v>
      </c>
      <c r="AB30" s="38">
        <f t="shared" si="96"/>
        <v>354.63055030468678</v>
      </c>
      <c r="AC30" s="38">
        <f t="shared" si="96"/>
        <v>242.8681082711939</v>
      </c>
      <c r="AD30" s="38">
        <f t="shared" si="96"/>
        <v>149.7086478787908</v>
      </c>
      <c r="AE30" s="38">
        <f t="shared" si="96"/>
        <v>81.124923363471027</v>
      </c>
      <c r="AF30" s="38">
        <f t="shared" si="96"/>
        <v>41.412685772951953</v>
      </c>
      <c r="AG30" s="38">
        <f t="shared" si="96"/>
        <v>20.973614855849192</v>
      </c>
      <c r="AH30" s="38">
        <f t="shared" si="96"/>
        <v>6.6113917415117607</v>
      </c>
      <c r="AI30" s="38">
        <f t="shared" si="96"/>
        <v>5.4902509110941793E-2</v>
      </c>
      <c r="AJ30" s="38">
        <f t="shared" si="96"/>
        <v>5.5051203406449929E-2</v>
      </c>
      <c r="AK30" s="38">
        <f t="shared" si="96"/>
        <v>5.5200300415676223E-2</v>
      </c>
      <c r="AL30" s="38">
        <f t="shared" si="96"/>
        <v>5.5349801229303205E-2</v>
      </c>
      <c r="AM30" s="38">
        <f t="shared" si="96"/>
        <v>5.5499706940964871E-2</v>
      </c>
      <c r="AN30" s="38">
        <f t="shared" si="96"/>
        <v>5.5650018647264543E-2</v>
      </c>
      <c r="AO30" s="38">
        <f t="shared" si="96"/>
        <v>5.580073744776598E-2</v>
      </c>
      <c r="AP30" s="38">
        <f t="shared" si="96"/>
        <v>5.5951864445020191E-2</v>
      </c>
      <c r="AQ30" s="38">
        <f t="shared" si="96"/>
        <v>5.6103400744559474E-2</v>
      </c>
      <c r="AR30" s="38">
        <f t="shared" si="96"/>
        <v>5.6255347454909378E-2</v>
      </c>
      <c r="AS30" s="38">
        <f t="shared" si="96"/>
        <v>5.6407705687600611E-2</v>
      </c>
      <c r="AT30" s="38">
        <f t="shared" si="96"/>
        <v>5.6560476557172022E-2</v>
      </c>
      <c r="AU30" s="38">
        <f t="shared" si="96"/>
        <v>5.6713661181179584E-2</v>
      </c>
      <c r="AV30" s="38">
        <f t="shared" si="96"/>
        <v>5.68672606802113E-2</v>
      </c>
      <c r="AW30" s="38">
        <f t="shared" si="96"/>
        <v>5.7021276177887187E-2</v>
      </c>
    </row>
    <row r="31" spans="1:49" x14ac:dyDescent="0.25">
      <c r="A31">
        <v>456311</v>
      </c>
      <c r="B31" t="s">
        <v>299</v>
      </c>
      <c r="C31" s="53"/>
      <c r="D31" s="38">
        <f>-(SUM(D19:D20)-SUM(C19:C20))</f>
        <v>0</v>
      </c>
      <c r="E31" s="38">
        <f t="shared" ref="E31:H31" si="97">-(SUM(E19:E20)-SUM(D19:D20))</f>
        <v>0</v>
      </c>
      <c r="F31" s="38">
        <f t="shared" si="97"/>
        <v>0</v>
      </c>
      <c r="G31" s="38">
        <f t="shared" si="97"/>
        <v>0</v>
      </c>
      <c r="H31" s="38">
        <f t="shared" si="97"/>
        <v>0</v>
      </c>
      <c r="I31" s="38">
        <f>-(SUM(I19:I20)-SUM(H19:H20))</f>
        <v>0</v>
      </c>
      <c r="J31" s="38">
        <f t="shared" ref="J31:AW31" si="98">-(SUM(J19:J20)-SUM(I19:I20))</f>
        <v>0</v>
      </c>
      <c r="K31" s="38">
        <f t="shared" si="98"/>
        <v>0</v>
      </c>
      <c r="L31" s="38">
        <f t="shared" si="98"/>
        <v>0</v>
      </c>
      <c r="M31" s="38">
        <f t="shared" si="98"/>
        <v>0</v>
      </c>
      <c r="N31" s="38">
        <f t="shared" si="98"/>
        <v>0</v>
      </c>
      <c r="O31" s="38">
        <f>-(SUM(O19:O20)-SUM(N19:N20))</f>
        <v>0</v>
      </c>
      <c r="P31" s="38">
        <f t="shared" si="98"/>
        <v>0</v>
      </c>
      <c r="Q31" s="38">
        <f t="shared" si="98"/>
        <v>0</v>
      </c>
      <c r="R31" s="38">
        <f t="shared" si="98"/>
        <v>0</v>
      </c>
      <c r="S31" s="38">
        <f t="shared" si="98"/>
        <v>0</v>
      </c>
      <c r="T31" s="38">
        <f t="shared" si="98"/>
        <v>0</v>
      </c>
      <c r="U31" s="38">
        <f t="shared" si="98"/>
        <v>0</v>
      </c>
      <c r="V31" s="38">
        <f t="shared" si="98"/>
        <v>0</v>
      </c>
      <c r="W31" s="38">
        <f t="shared" si="98"/>
        <v>0</v>
      </c>
      <c r="X31" s="38">
        <f t="shared" si="98"/>
        <v>0</v>
      </c>
      <c r="Y31" s="38">
        <f t="shared" si="98"/>
        <v>0</v>
      </c>
      <c r="Z31" s="38">
        <f t="shared" si="98"/>
        <v>0</v>
      </c>
      <c r="AA31" s="38">
        <f t="shared" si="98"/>
        <v>0</v>
      </c>
      <c r="AB31" s="38">
        <f t="shared" si="98"/>
        <v>0</v>
      </c>
      <c r="AC31" s="38">
        <f t="shared" si="98"/>
        <v>0</v>
      </c>
      <c r="AD31" s="38">
        <f t="shared" si="98"/>
        <v>0</v>
      </c>
      <c r="AE31" s="38">
        <f t="shared" si="98"/>
        <v>0</v>
      </c>
      <c r="AF31" s="38">
        <f t="shared" si="98"/>
        <v>0</v>
      </c>
      <c r="AG31" s="38">
        <f t="shared" si="98"/>
        <v>0</v>
      </c>
      <c r="AH31" s="38">
        <f t="shared" si="98"/>
        <v>0</v>
      </c>
      <c r="AI31" s="38">
        <f t="shared" si="98"/>
        <v>0</v>
      </c>
      <c r="AJ31" s="38">
        <f t="shared" si="98"/>
        <v>0</v>
      </c>
      <c r="AK31" s="38">
        <f t="shared" si="98"/>
        <v>0</v>
      </c>
      <c r="AL31" s="38">
        <f t="shared" si="98"/>
        <v>0</v>
      </c>
      <c r="AM31" s="38">
        <f t="shared" si="98"/>
        <v>0</v>
      </c>
      <c r="AN31" s="38">
        <f t="shared" si="98"/>
        <v>0</v>
      </c>
      <c r="AO31" s="38">
        <f t="shared" si="98"/>
        <v>0</v>
      </c>
      <c r="AP31" s="38">
        <f t="shared" si="98"/>
        <v>0</v>
      </c>
      <c r="AQ31" s="38">
        <f t="shared" si="98"/>
        <v>0</v>
      </c>
      <c r="AR31" s="38">
        <f t="shared" si="98"/>
        <v>0</v>
      </c>
      <c r="AS31" s="38">
        <f t="shared" si="98"/>
        <v>0</v>
      </c>
      <c r="AT31" s="38">
        <f t="shared" si="98"/>
        <v>0</v>
      </c>
      <c r="AU31" s="38">
        <f t="shared" si="98"/>
        <v>0</v>
      </c>
      <c r="AV31" s="38">
        <f t="shared" si="98"/>
        <v>0</v>
      </c>
      <c r="AW31" s="38">
        <f t="shared" si="98"/>
        <v>0</v>
      </c>
    </row>
    <row r="32" spans="1:49" x14ac:dyDescent="0.25">
      <c r="A32">
        <v>449100</v>
      </c>
      <c r="B32" t="s">
        <v>286</v>
      </c>
      <c r="C32" s="253">
        <v>0</v>
      </c>
      <c r="D32" s="253"/>
      <c r="E32" s="253"/>
      <c r="F32" s="253"/>
      <c r="G32" s="253"/>
      <c r="H32" s="253"/>
      <c r="I32" s="253">
        <v>0</v>
      </c>
      <c r="K32" s="254"/>
      <c r="L32" s="253">
        <v>0</v>
      </c>
      <c r="N32" s="53"/>
      <c r="O32" s="253">
        <v>0</v>
      </c>
      <c r="P32" s="151"/>
      <c r="R32" s="253"/>
      <c r="U32" s="253"/>
      <c r="W32" s="254"/>
      <c r="X32" s="253"/>
      <c r="Z32" s="53"/>
      <c r="AA32" s="253"/>
      <c r="AB32" s="151"/>
      <c r="AD32" s="253"/>
      <c r="AG32" s="253"/>
      <c r="AI32" s="254"/>
      <c r="AJ32" s="253"/>
      <c r="AL32" s="53"/>
      <c r="AM32" s="253"/>
      <c r="AN32" s="151"/>
      <c r="AP32" s="253"/>
      <c r="AS32" s="253"/>
      <c r="AU32" s="254"/>
      <c r="AV32" s="253"/>
    </row>
    <row r="33" spans="1:49" x14ac:dyDescent="0.25">
      <c r="C33" s="53"/>
      <c r="D33" s="53"/>
      <c r="E33" s="53"/>
      <c r="F33" s="53"/>
      <c r="G33" s="53"/>
      <c r="H33" s="53"/>
    </row>
    <row r="34" spans="1:49" x14ac:dyDescent="0.25">
      <c r="A34" s="426" t="s">
        <v>234</v>
      </c>
      <c r="B34" s="426"/>
      <c r="C34" s="53" t="s">
        <v>304</v>
      </c>
      <c r="D34" s="256">
        <f>'Deferral Calc'!D50</f>
        <v>8048134.9322300004</v>
      </c>
      <c r="E34" s="256">
        <f>'Deferral Calc'!E50</f>
        <v>7886249.7823200002</v>
      </c>
      <c r="F34" s="256">
        <f>'Deferral Calc'!F50</f>
        <v>7168311.4264900004</v>
      </c>
      <c r="G34" s="256">
        <f>'Deferral Calc'!G50</f>
        <v>3525841.8090300001</v>
      </c>
      <c r="H34" s="256">
        <f>'Deferral Calc'!H50</f>
        <v>2849714.7724299999</v>
      </c>
      <c r="I34" s="256">
        <f>'Deferral Calc'!I50</f>
        <v>1847002.4246300003</v>
      </c>
      <c r="J34" s="256">
        <f>'Deferral Calc'!J50</f>
        <v>1757698.2273599999</v>
      </c>
      <c r="K34" s="256">
        <f>'Deferral Calc'!K50</f>
        <v>1659248.46379</v>
      </c>
      <c r="L34" s="256">
        <f>'Deferral Calc'!L50</f>
        <v>2050644.0757799998</v>
      </c>
      <c r="M34" s="256">
        <f>'Deferral Calc'!M50</f>
        <v>4959131.6679999996</v>
      </c>
      <c r="N34" s="256">
        <f>'Deferral Calc'!N50</f>
        <v>5749474.5793900006</v>
      </c>
      <c r="O34" s="256">
        <f>'Deferral Calc'!O50</f>
        <v>7709040.0711200004</v>
      </c>
    </row>
    <row r="35" spans="1:49" s="151" customFormat="1" x14ac:dyDescent="0.25">
      <c r="A35" s="272" t="s">
        <v>268</v>
      </c>
      <c r="B35" s="269" t="str">
        <f>B3</f>
        <v>GSFM Jul MidMonth_(07 14 20 pricing)_v2 GRC Update</v>
      </c>
      <c r="C35" s="271"/>
      <c r="D35" s="354">
        <v>9080426.0009680744</v>
      </c>
      <c r="E35" s="354">
        <v>8107028.4780681683</v>
      </c>
      <c r="F35" s="354">
        <v>6662630.6808154201</v>
      </c>
      <c r="G35" s="354">
        <v>4716451.3238452645</v>
      </c>
      <c r="H35" s="354">
        <v>2604224.4121371978</v>
      </c>
      <c r="I35" s="354">
        <v>1912166.4228575653</v>
      </c>
      <c r="J35" s="256">
        <v>1949344.114854475</v>
      </c>
      <c r="K35" s="256">
        <v>2100739.5668112137</v>
      </c>
      <c r="L35" s="256">
        <v>2378234.6424481906</v>
      </c>
      <c r="M35" s="256">
        <v>5081017.0813689819</v>
      </c>
      <c r="N35" s="256">
        <v>7033981.8549373308</v>
      </c>
      <c r="O35" s="256">
        <v>8718163.9176188335</v>
      </c>
      <c r="P35" s="256">
        <v>9264017.6375693306</v>
      </c>
      <c r="Q35" s="256">
        <v>7872329.8791056564</v>
      </c>
      <c r="R35" s="256">
        <v>6485715.8521168754</v>
      </c>
      <c r="S35" s="256">
        <v>4514090.025189477</v>
      </c>
      <c r="T35" s="256">
        <v>2411332.2049785256</v>
      </c>
      <c r="U35" s="256">
        <v>1843181.3246057781</v>
      </c>
      <c r="V35" s="256">
        <v>1791040.5045958452</v>
      </c>
      <c r="W35" s="256">
        <v>1837051.6514860315</v>
      </c>
      <c r="X35" s="256">
        <v>2494538.5987698454</v>
      </c>
      <c r="Y35" s="256">
        <v>5339806.4241406666</v>
      </c>
      <c r="Z35" s="256">
        <v>7738065.3194786049</v>
      </c>
      <c r="AA35" s="256">
        <v>9594874.3659445867</v>
      </c>
      <c r="AB35" s="256">
        <v>9461565.4794610888</v>
      </c>
      <c r="AC35" s="256">
        <v>8035328.3894039113</v>
      </c>
      <c r="AD35" s="256">
        <v>6608481.4786458304</v>
      </c>
      <c r="AE35" s="256">
        <v>4555752.4150625635</v>
      </c>
      <c r="AF35" s="256">
        <v>2415950.186490376</v>
      </c>
      <c r="AG35" s="256">
        <v>1737605.1509355116</v>
      </c>
      <c r="AH35" s="256">
        <v>1666419.343906994</v>
      </c>
      <c r="AI35" s="256">
        <v>1845481.912813735</v>
      </c>
      <c r="AJ35" s="256">
        <v>2427753.4360113041</v>
      </c>
      <c r="AK35" s="256">
        <v>5499866.1745670922</v>
      </c>
      <c r="AL35" s="256">
        <v>7965654.9448303003</v>
      </c>
      <c r="AM35" s="256">
        <v>9792995.7546511032</v>
      </c>
      <c r="AN35" s="256">
        <v>9643515.8587531783</v>
      </c>
      <c r="AO35" s="256">
        <v>8155847.9480339754</v>
      </c>
      <c r="AP35" s="256">
        <v>6725519.2967017516</v>
      </c>
      <c r="AQ35" s="256">
        <v>4633415.5118478397</v>
      </c>
      <c r="AR35" s="256">
        <v>2411366.5194712267</v>
      </c>
      <c r="AS35" s="256">
        <v>1720729.8153299342</v>
      </c>
      <c r="AT35" s="256">
        <v>1633627.0628266067</v>
      </c>
      <c r="AU35" s="256">
        <v>1769442.0745801094</v>
      </c>
      <c r="AV35" s="256">
        <v>2453675.3090060027</v>
      </c>
      <c r="AW35" s="256">
        <v>5558652.1631040312</v>
      </c>
    </row>
    <row r="36" spans="1:49" x14ac:dyDescent="0.25">
      <c r="A36" s="232" t="s">
        <v>230</v>
      </c>
      <c r="B36" s="233"/>
      <c r="C36" s="234"/>
      <c r="D36" s="235">
        <v>1.7600000000000001E-2</v>
      </c>
      <c r="E36" s="234">
        <f>D36</f>
        <v>1.7600000000000001E-2</v>
      </c>
      <c r="F36" s="234">
        <f t="shared" ref="F36:I36" si="99">E36</f>
        <v>1.7600000000000001E-2</v>
      </c>
      <c r="G36" s="234">
        <f t="shared" si="99"/>
        <v>1.7600000000000001E-2</v>
      </c>
      <c r="H36" s="234">
        <f t="shared" si="99"/>
        <v>1.7600000000000001E-2</v>
      </c>
      <c r="I36" s="234">
        <f t="shared" si="99"/>
        <v>1.7600000000000001E-2</v>
      </c>
      <c r="J36" s="234">
        <f>I36</f>
        <v>1.7600000000000001E-2</v>
      </c>
      <c r="K36" s="351">
        <v>4.0099999999999997E-3</v>
      </c>
      <c r="L36" s="234">
        <f t="shared" ref="L36:N36" si="100">K36</f>
        <v>4.0099999999999997E-3</v>
      </c>
      <c r="M36" s="234">
        <f t="shared" si="100"/>
        <v>4.0099999999999997E-3</v>
      </c>
      <c r="N36" s="234">
        <f t="shared" si="100"/>
        <v>4.0099999999999997E-3</v>
      </c>
      <c r="O36" s="234">
        <f t="shared" ref="O36" si="101">N36</f>
        <v>4.0099999999999997E-3</v>
      </c>
      <c r="P36" s="234">
        <f t="shared" ref="P36:AW36" si="102">O36</f>
        <v>4.0099999999999997E-3</v>
      </c>
      <c r="Q36" s="234">
        <f t="shared" si="102"/>
        <v>4.0099999999999997E-3</v>
      </c>
      <c r="R36" s="234">
        <f t="shared" si="102"/>
        <v>4.0099999999999997E-3</v>
      </c>
      <c r="S36" s="234">
        <f t="shared" si="102"/>
        <v>4.0099999999999997E-3</v>
      </c>
      <c r="T36" s="234">
        <f t="shared" si="102"/>
        <v>4.0099999999999997E-3</v>
      </c>
      <c r="U36" s="234">
        <f t="shared" si="102"/>
        <v>4.0099999999999997E-3</v>
      </c>
      <c r="V36" s="234">
        <f t="shared" si="102"/>
        <v>4.0099999999999997E-3</v>
      </c>
      <c r="W36" s="333">
        <f>ROUND(W37-W40,5)</f>
        <v>7.5900000000000004E-3</v>
      </c>
      <c r="X36" s="234">
        <f t="shared" si="102"/>
        <v>7.5900000000000004E-3</v>
      </c>
      <c r="Y36" s="234">
        <f t="shared" si="102"/>
        <v>7.5900000000000004E-3</v>
      </c>
      <c r="Z36" s="234">
        <f t="shared" si="102"/>
        <v>7.5900000000000004E-3</v>
      </c>
      <c r="AA36" s="234">
        <f t="shared" si="102"/>
        <v>7.5900000000000004E-3</v>
      </c>
      <c r="AB36" s="234">
        <f t="shared" si="102"/>
        <v>7.5900000000000004E-3</v>
      </c>
      <c r="AC36" s="234">
        <f t="shared" si="102"/>
        <v>7.5900000000000004E-3</v>
      </c>
      <c r="AD36" s="234">
        <f t="shared" si="102"/>
        <v>7.5900000000000004E-3</v>
      </c>
      <c r="AE36" s="234">
        <f t="shared" si="102"/>
        <v>7.5900000000000004E-3</v>
      </c>
      <c r="AF36" s="234">
        <f t="shared" si="102"/>
        <v>7.5900000000000004E-3</v>
      </c>
      <c r="AG36" s="234">
        <f t="shared" si="102"/>
        <v>7.5900000000000004E-3</v>
      </c>
      <c r="AH36" s="234">
        <f t="shared" si="102"/>
        <v>7.5900000000000004E-3</v>
      </c>
      <c r="AI36" s="234">
        <f>ROUND(AI37-AI40,5)</f>
        <v>0</v>
      </c>
      <c r="AJ36" s="234">
        <f t="shared" ref="AJ36:AL36" si="103">AI36</f>
        <v>0</v>
      </c>
      <c r="AK36" s="234">
        <f t="shared" si="103"/>
        <v>0</v>
      </c>
      <c r="AL36" s="234">
        <f t="shared" si="103"/>
        <v>0</v>
      </c>
      <c r="AM36" s="234">
        <f t="shared" si="102"/>
        <v>0</v>
      </c>
      <c r="AN36" s="234">
        <f t="shared" si="102"/>
        <v>0</v>
      </c>
      <c r="AO36" s="234">
        <f t="shared" si="102"/>
        <v>0</v>
      </c>
      <c r="AP36" s="234">
        <f t="shared" si="102"/>
        <v>0</v>
      </c>
      <c r="AQ36" s="234">
        <f t="shared" si="102"/>
        <v>0</v>
      </c>
      <c r="AR36" s="234">
        <f t="shared" si="102"/>
        <v>0</v>
      </c>
      <c r="AS36" s="234">
        <f t="shared" si="102"/>
        <v>0</v>
      </c>
      <c r="AT36" s="234">
        <f t="shared" si="102"/>
        <v>0</v>
      </c>
      <c r="AU36" s="234">
        <f t="shared" si="102"/>
        <v>0</v>
      </c>
      <c r="AV36" s="234">
        <f t="shared" si="102"/>
        <v>0</v>
      </c>
      <c r="AW36" s="234">
        <f t="shared" si="102"/>
        <v>0</v>
      </c>
    </row>
    <row r="37" spans="1:49" x14ac:dyDescent="0.25">
      <c r="A37" s="231" t="s">
        <v>269</v>
      </c>
      <c r="B37" s="230"/>
      <c r="C37" s="53"/>
      <c r="D37" s="53"/>
      <c r="E37" s="53"/>
      <c r="F37" s="53"/>
      <c r="G37" s="53"/>
      <c r="H37" s="53"/>
      <c r="I37" s="236"/>
      <c r="J37" s="350" t="str">
        <f>J5</f>
        <v>UG- 200499 filing</v>
      </c>
      <c r="K37" s="334">
        <f>ROUND((J48+J49+J50+J54)*1.024/(SUM(K35:V35)),5)</f>
        <v>3.96E-3</v>
      </c>
      <c r="L37" s="352">
        <f>L5</f>
        <v>0.95660000000000001</v>
      </c>
      <c r="M37" s="355" t="s">
        <v>228</v>
      </c>
      <c r="N37" s="284"/>
      <c r="O37" s="285"/>
      <c r="P37" s="283"/>
      <c r="W37" s="334">
        <f>ROUND((V48+V49+V50+V54)*1.015/(SUM(W35:AH35)),5)</f>
        <v>7.5900000000000004E-3</v>
      </c>
      <c r="X37" s="240">
        <f>L37</f>
        <v>0.95660000000000001</v>
      </c>
      <c r="Y37" s="151" t="str">
        <f>M37</f>
        <v>Conversion Factor</v>
      </c>
      <c r="Z37" s="284"/>
      <c r="AA37" s="285"/>
      <c r="AB37" s="283"/>
      <c r="AI37" s="237">
        <f>ROUND((AH48+AH49+AH50+AH54)*1.02/(SUM(AI35:AT35)),5)</f>
        <v>0</v>
      </c>
      <c r="AJ37" s="240">
        <f>X37</f>
        <v>0.95660000000000001</v>
      </c>
      <c r="AK37" s="239" t="s">
        <v>228</v>
      </c>
      <c r="AL37" s="284"/>
      <c r="AM37" s="285"/>
      <c r="AN37" s="283"/>
      <c r="AO37" s="151"/>
      <c r="AV37" s="236"/>
    </row>
    <row r="38" spans="1:49" x14ac:dyDescent="0.25">
      <c r="A38" s="231" t="s">
        <v>270</v>
      </c>
      <c r="B38" s="230"/>
      <c r="C38" s="53"/>
      <c r="D38" s="53"/>
      <c r="E38" s="53"/>
      <c r="F38" s="53"/>
      <c r="G38" s="53"/>
      <c r="H38" s="53"/>
      <c r="I38" s="236"/>
      <c r="J38" s="236" t="str">
        <f>J6</f>
        <v xml:space="preserve"> </v>
      </c>
      <c r="K38" s="53">
        <f>IF(J36&gt;0,K37*SUM(K35:V35)-J36*SUM(K35:V35),K37*SUM(K35:V35))</f>
        <v>-811496.03886195994</v>
      </c>
      <c r="L38" s="234">
        <f>ROUND(K36/L37,5)</f>
        <v>4.1900000000000001E-3</v>
      </c>
      <c r="M38" s="355" t="str">
        <f>M6</f>
        <v>Approved Schedule 175 Rate</v>
      </c>
      <c r="N38" s="271"/>
      <c r="O38" s="286"/>
      <c r="P38" s="283"/>
      <c r="V38" s="236" t="str">
        <f>V6</f>
        <v>Estimated Incremental</v>
      </c>
      <c r="W38" s="53">
        <f>IF(V36&gt;0,W37*SUM(W35:AH35)-V36*SUM(W35:AH35),W37*SUM(W35:AH35))</f>
        <v>220117.87091733914</v>
      </c>
      <c r="X38" s="234">
        <f>ROUND(W36/X37,5)</f>
        <v>7.9299999999999995E-3</v>
      </c>
      <c r="Y38" s="151" t="str">
        <f>Y6</f>
        <v>Estimated Schedule 175 Rate</v>
      </c>
      <c r="Z38" s="271"/>
      <c r="AA38" s="286"/>
      <c r="AB38" s="283"/>
      <c r="AI38" s="53">
        <f>IF(AH36&gt;0,AI37*SUM(AI35:AT35)-AH36*SUM(AI35:AT35),AI37*SUM(AI35:AT35))</f>
        <v>-474039.32645001076</v>
      </c>
      <c r="AJ38" s="234">
        <f>ROUND(AI36/AJ37,5)</f>
        <v>0</v>
      </c>
      <c r="AK38" s="239" t="str">
        <f>Y38</f>
        <v>Estimated Schedule 175 Rate</v>
      </c>
      <c r="AL38" s="271"/>
      <c r="AM38" s="286"/>
      <c r="AN38" s="283"/>
      <c r="AO38" s="151"/>
      <c r="AV38" s="236"/>
      <c r="AW38" s="234"/>
    </row>
    <row r="39" spans="1:49" x14ac:dyDescent="0.25">
      <c r="A39" s="231" t="s">
        <v>271</v>
      </c>
      <c r="B39" s="230"/>
      <c r="C39" s="53"/>
      <c r="D39" s="53"/>
      <c r="E39" s="53"/>
      <c r="F39" s="53"/>
      <c r="G39" s="53"/>
      <c r="H39" s="53"/>
      <c r="I39" s="350" t="s">
        <v>378</v>
      </c>
      <c r="J39" s="353">
        <v>38441.296000000002</v>
      </c>
      <c r="K39" s="53">
        <f>J39*1000*0.03</f>
        <v>1153238.8799999999</v>
      </c>
      <c r="L39" s="38">
        <f>IF(J36&gt;0,J36/L37*SUM(K35:V35)+K39,K39)</f>
        <v>2247836.0606896197</v>
      </c>
      <c r="M39" t="s">
        <v>273</v>
      </c>
      <c r="N39" s="271"/>
      <c r="O39" s="268"/>
      <c r="P39" s="151"/>
      <c r="U39" s="236" t="s">
        <v>272</v>
      </c>
      <c r="V39" s="53">
        <f>J39</f>
        <v>38441.296000000002</v>
      </c>
      <c r="W39" s="53">
        <f>V39*1000*0.03</f>
        <v>1153238.8799999999</v>
      </c>
      <c r="X39" s="38">
        <f>IF(V36&gt;0,V36/X37*SUM(W35:AH35)+W39,W39)</f>
        <v>1410981.5201870597</v>
      </c>
      <c r="Y39" s="151" t="str">
        <f t="shared" ref="Y39" si="104">M39</f>
        <v>Surcharge Cap</v>
      </c>
      <c r="Z39" s="271"/>
      <c r="AA39" s="268"/>
      <c r="AB39" s="151"/>
      <c r="AG39" s="236" t="s">
        <v>272</v>
      </c>
      <c r="AH39" s="53">
        <f>V39</f>
        <v>38441.296000000002</v>
      </c>
      <c r="AI39" s="53">
        <f>AH39*1000*0.03</f>
        <v>1153238.8799999999</v>
      </c>
      <c r="AJ39" s="38">
        <f>IF(AH36&gt;0,AH36/AJ37*SUM(AI35:AT35)+AI39,AI39)</f>
        <v>1648784.9038866931</v>
      </c>
      <c r="AK39" t="s">
        <v>273</v>
      </c>
      <c r="AL39" s="271"/>
      <c r="AM39" s="268"/>
      <c r="AN39" s="151"/>
      <c r="AO39" s="151"/>
      <c r="AV39" s="236"/>
      <c r="AW39" s="53"/>
    </row>
    <row r="40" spans="1:49" x14ac:dyDescent="0.25">
      <c r="A40" s="231" t="s">
        <v>300</v>
      </c>
      <c r="B40" s="230"/>
      <c r="C40" s="243"/>
      <c r="D40" s="243"/>
      <c r="E40" s="243"/>
      <c r="F40" s="243"/>
      <c r="G40" s="243"/>
      <c r="H40" s="243"/>
      <c r="I40" s="243"/>
      <c r="J40" s="243"/>
      <c r="K40" s="244">
        <f>IF(K38&gt;K39,K37-K42,0)</f>
        <v>0</v>
      </c>
      <c r="N40" s="287"/>
      <c r="O40" s="151"/>
      <c r="P40" s="151"/>
      <c r="W40" s="244">
        <f>IF(W38&gt;W39*X37,W37-W42,0)</f>
        <v>0</v>
      </c>
      <c r="Y40" s="151"/>
      <c r="Z40" s="287"/>
      <c r="AA40" s="151"/>
      <c r="AB40" s="151"/>
      <c r="AI40" s="244">
        <f>IF(AI38&gt;AI39*AJ37,AI37-AI42,0)</f>
        <v>0</v>
      </c>
      <c r="AL40" s="244"/>
    </row>
    <row r="41" spans="1:49" x14ac:dyDescent="0.25">
      <c r="A41" s="231" t="s">
        <v>275</v>
      </c>
      <c r="B41" s="230"/>
      <c r="C41" s="243"/>
      <c r="D41" s="243"/>
      <c r="E41" s="243"/>
      <c r="F41" s="243"/>
      <c r="G41" s="243"/>
      <c r="H41" s="243"/>
      <c r="I41" s="243"/>
      <c r="J41" s="335">
        <f>J49/SUM(K35:V35)</f>
        <v>2.7761279435660159E-3</v>
      </c>
      <c r="K41" s="336">
        <f>$J41*K35</f>
        <v>5831.9218135793781</v>
      </c>
      <c r="L41" s="271">
        <f>$J41*L35</f>
        <v>6602.2836472571544</v>
      </c>
      <c r="M41" s="271">
        <f t="shared" ref="M41:V41" si="105">$J41*M35</f>
        <v>14105.553501324672</v>
      </c>
      <c r="N41" s="271">
        <f t="shared" si="105"/>
        <v>19527.233582027842</v>
      </c>
      <c r="O41" s="271">
        <f t="shared" si="105"/>
        <v>24202.738468290612</v>
      </c>
      <c r="P41" s="271">
        <f t="shared" si="105"/>
        <v>25718.098233344648</v>
      </c>
      <c r="Q41" s="271">
        <f t="shared" si="105"/>
        <v>21854.59495835489</v>
      </c>
      <c r="R41" s="271">
        <f t="shared" si="105"/>
        <v>18005.177011090731</v>
      </c>
      <c r="S41" s="271">
        <f t="shared" si="105"/>
        <v>12531.691458701127</v>
      </c>
      <c r="T41" s="271">
        <f t="shared" si="105"/>
        <v>6694.1667154615407</v>
      </c>
      <c r="U41" s="271">
        <f t="shared" si="105"/>
        <v>5116.9071802971239</v>
      </c>
      <c r="V41" s="271">
        <f t="shared" si="105"/>
        <v>4972.1575928671036</v>
      </c>
      <c r="W41" s="336">
        <f>$K40*W35</f>
        <v>0</v>
      </c>
      <c r="X41" s="53">
        <f>$K40*X35</f>
        <v>0</v>
      </c>
      <c r="Y41" s="53">
        <f t="shared" ref="Y41:AH41" si="106">$K40*Y35</f>
        <v>0</v>
      </c>
      <c r="Z41" s="53">
        <f t="shared" si="106"/>
        <v>0</v>
      </c>
      <c r="AA41" s="53">
        <f t="shared" si="106"/>
        <v>0</v>
      </c>
      <c r="AB41" s="53">
        <f t="shared" si="106"/>
        <v>0</v>
      </c>
      <c r="AC41" s="53">
        <f t="shared" si="106"/>
        <v>0</v>
      </c>
      <c r="AD41" s="53">
        <f t="shared" si="106"/>
        <v>0</v>
      </c>
      <c r="AE41" s="53">
        <f t="shared" si="106"/>
        <v>0</v>
      </c>
      <c r="AF41" s="53">
        <f t="shared" si="106"/>
        <v>0</v>
      </c>
      <c r="AG41" s="53">
        <f t="shared" si="106"/>
        <v>0</v>
      </c>
      <c r="AH41" s="53">
        <f t="shared" si="106"/>
        <v>0</v>
      </c>
      <c r="AI41" s="246">
        <f>$W40*AI35</f>
        <v>0</v>
      </c>
      <c r="AJ41" s="271">
        <f>$W40*AJ35</f>
        <v>0</v>
      </c>
      <c r="AK41" s="271">
        <f t="shared" ref="AK41:AT41" si="107">$W40*AK35</f>
        <v>0</v>
      </c>
      <c r="AL41" s="271">
        <f t="shared" si="107"/>
        <v>0</v>
      </c>
      <c r="AM41" s="271">
        <f t="shared" si="107"/>
        <v>0</v>
      </c>
      <c r="AN41" s="271">
        <f t="shared" si="107"/>
        <v>0</v>
      </c>
      <c r="AO41" s="271">
        <f t="shared" si="107"/>
        <v>0</v>
      </c>
      <c r="AP41" s="271">
        <f t="shared" si="107"/>
        <v>0</v>
      </c>
      <c r="AQ41" s="271">
        <f t="shared" si="107"/>
        <v>0</v>
      </c>
      <c r="AR41" s="271">
        <f t="shared" si="107"/>
        <v>0</v>
      </c>
      <c r="AS41" s="271">
        <f t="shared" si="107"/>
        <v>0</v>
      </c>
      <c r="AT41" s="271">
        <f t="shared" si="107"/>
        <v>0</v>
      </c>
      <c r="AU41" s="246">
        <f>$AI40*AU35</f>
        <v>0</v>
      </c>
      <c r="AV41" s="53">
        <f t="shared" ref="AV41" si="108">$AI40*AV35</f>
        <v>0</v>
      </c>
      <c r="AW41" s="53">
        <f>Z40*AW35</f>
        <v>0</v>
      </c>
    </row>
    <row r="42" spans="1:49" x14ac:dyDescent="0.25">
      <c r="A42" s="231" t="s">
        <v>276</v>
      </c>
      <c r="B42" s="230"/>
      <c r="C42" s="243"/>
      <c r="D42" s="243"/>
      <c r="E42" s="243"/>
      <c r="F42" s="243"/>
      <c r="G42" s="243"/>
      <c r="H42" s="243"/>
      <c r="I42" s="243"/>
      <c r="J42" s="243"/>
      <c r="K42" s="337">
        <f>L39/SUM(K35:V35)*L37</f>
        <v>3.6142898379486456E-2</v>
      </c>
      <c r="L42" s="244">
        <f t="shared" ref="L42" si="109">K42</f>
        <v>3.6142898379486456E-2</v>
      </c>
      <c r="M42" s="244">
        <f t="shared" ref="M42" si="110">L42</f>
        <v>3.6142898379486456E-2</v>
      </c>
      <c r="N42" s="244">
        <f t="shared" ref="N42" si="111">M42</f>
        <v>3.6142898379486456E-2</v>
      </c>
      <c r="O42" s="244">
        <f t="shared" ref="O42" si="112">N42</f>
        <v>3.6142898379486456E-2</v>
      </c>
      <c r="P42" s="244">
        <f t="shared" ref="P42" si="113">O42</f>
        <v>3.6142898379486456E-2</v>
      </c>
      <c r="Q42" s="244">
        <f t="shared" ref="Q42" si="114">P42</f>
        <v>3.6142898379486456E-2</v>
      </c>
      <c r="R42" s="244">
        <f t="shared" ref="R42" si="115">Q42</f>
        <v>3.6142898379486456E-2</v>
      </c>
      <c r="S42" s="244">
        <f t="shared" ref="S42" si="116">R42</f>
        <v>3.6142898379486456E-2</v>
      </c>
      <c r="T42" s="244">
        <f t="shared" ref="T42" si="117">S42</f>
        <v>3.6142898379486456E-2</v>
      </c>
      <c r="U42" s="244">
        <f t="shared" ref="U42" si="118">T42</f>
        <v>3.6142898379486456E-2</v>
      </c>
      <c r="V42" s="244">
        <f t="shared" ref="V42" si="119">U42</f>
        <v>3.6142898379486456E-2</v>
      </c>
      <c r="W42" s="337">
        <f>X39/SUM(W35:AH35)*X37</f>
        <v>2.1952269488058805E-2</v>
      </c>
      <c r="X42" s="244">
        <f t="shared" ref="X42" si="120">W42</f>
        <v>2.1952269488058805E-2</v>
      </c>
      <c r="Y42" s="244">
        <f t="shared" ref="Y42:Z42" si="121">X42</f>
        <v>2.1952269488058805E-2</v>
      </c>
      <c r="Z42" s="244">
        <f t="shared" si="121"/>
        <v>2.1952269488058805E-2</v>
      </c>
      <c r="AA42" s="244">
        <f>Z42</f>
        <v>2.1952269488058805E-2</v>
      </c>
      <c r="AB42" s="244">
        <f t="shared" ref="AB42:AH42" si="122">AA42</f>
        <v>2.1952269488058805E-2</v>
      </c>
      <c r="AC42" s="244">
        <f t="shared" si="122"/>
        <v>2.1952269488058805E-2</v>
      </c>
      <c r="AD42" s="244">
        <f t="shared" si="122"/>
        <v>2.1952269488058805E-2</v>
      </c>
      <c r="AE42" s="244">
        <f t="shared" si="122"/>
        <v>2.1952269488058805E-2</v>
      </c>
      <c r="AF42" s="244">
        <f t="shared" si="122"/>
        <v>2.1952269488058805E-2</v>
      </c>
      <c r="AG42" s="244">
        <f t="shared" si="122"/>
        <v>2.1952269488058805E-2</v>
      </c>
      <c r="AH42" s="244">
        <f t="shared" si="122"/>
        <v>2.1952269488058805E-2</v>
      </c>
      <c r="AI42" s="244">
        <f>AJ39/SUM(AI35:AT35)*AJ37</f>
        <v>2.525351191872623E-2</v>
      </c>
      <c r="AJ42" s="244">
        <f>AI42</f>
        <v>2.525351191872623E-2</v>
      </c>
      <c r="AK42" s="244">
        <f t="shared" ref="AK42:AT42" si="123">AJ42</f>
        <v>2.525351191872623E-2</v>
      </c>
      <c r="AL42" s="244">
        <f t="shared" si="123"/>
        <v>2.525351191872623E-2</v>
      </c>
      <c r="AM42" s="244">
        <f t="shared" si="123"/>
        <v>2.525351191872623E-2</v>
      </c>
      <c r="AN42" s="244">
        <f t="shared" si="123"/>
        <v>2.525351191872623E-2</v>
      </c>
      <c r="AO42" s="244">
        <f t="shared" si="123"/>
        <v>2.525351191872623E-2</v>
      </c>
      <c r="AP42" s="244">
        <f t="shared" si="123"/>
        <v>2.525351191872623E-2</v>
      </c>
      <c r="AQ42" s="244">
        <f t="shared" si="123"/>
        <v>2.525351191872623E-2</v>
      </c>
      <c r="AR42" s="244">
        <f t="shared" si="123"/>
        <v>2.525351191872623E-2</v>
      </c>
      <c r="AS42" s="244">
        <f t="shared" si="123"/>
        <v>2.525351191872623E-2</v>
      </c>
      <c r="AT42" s="244">
        <f t="shared" si="123"/>
        <v>2.525351191872623E-2</v>
      </c>
      <c r="AU42" s="244">
        <f>AV39/SUM(AU35:BF35)*AV37</f>
        <v>0</v>
      </c>
      <c r="AV42" s="244">
        <f t="shared" ref="AV42:AW42" si="124">AU42</f>
        <v>0</v>
      </c>
      <c r="AW42" s="244">
        <f t="shared" si="124"/>
        <v>0</v>
      </c>
    </row>
    <row r="43" spans="1:49" x14ac:dyDescent="0.25">
      <c r="A43" s="231" t="str">
        <f>A11</f>
        <v>Maximum 24 Month Recovery of 2020 Deferral</v>
      </c>
      <c r="B43" s="230"/>
      <c r="C43" s="243"/>
      <c r="D43" s="53">
        <f>SUMPRODUCT($K35:$V35,-$K42:$V42)-SUM($W41:AB41)</f>
        <v>-2150279.9756556898</v>
      </c>
      <c r="E43" s="53">
        <f>SUMPRODUCT($K35:$V35,-$K42:$V42)-SUM($W41:AC41)</f>
        <v>-2150279.9756556898</v>
      </c>
      <c r="F43" s="53">
        <f>SUMPRODUCT($K35:$V35,-$K42:$V42)-SUM($W41:AD41)</f>
        <v>-2150279.9756556898</v>
      </c>
      <c r="G43" s="53">
        <f>SUMPRODUCT($K35:$V35,-$K42:$V42)-SUM($W41:AE41)</f>
        <v>-2150279.9756556898</v>
      </c>
      <c r="H43" s="53">
        <f>SUMPRODUCT($K35:$V35,-$K42:$V42)-SUM($W41:AF41)</f>
        <v>-2150279.9756556898</v>
      </c>
      <c r="I43" s="53">
        <f>SUMPRODUCT($K35:$V35,-$K42:$V42)-SUM($W41:AG41)</f>
        <v>-2150279.9756556898</v>
      </c>
      <c r="J43" s="53">
        <f>SUMPRODUCT($K35:$V35,-$K42:$V42)-SUM($W41:AH41)</f>
        <v>-2150279.9756556898</v>
      </c>
      <c r="K43" s="53"/>
      <c r="L43" s="53"/>
      <c r="M43" s="53"/>
      <c r="N43" s="53"/>
      <c r="O43" s="338">
        <f>SUMPRODUCT($W35:$AH35,-$W42:$AH42)-SUM($AI41:AM41)</f>
        <v>-1349744.9222109413</v>
      </c>
      <c r="P43" s="340">
        <f>SUMPRODUCT($W35:$AH35,-$W42:$AH42)-SUM($AI41:AN41)</f>
        <v>-1349744.9222109413</v>
      </c>
      <c r="Q43" s="53">
        <f>SUMPRODUCT($Z35:$AK35,-$Z42:$AK42)-SUM($AL41:AO41)</f>
        <v>-1384240.9518925773</v>
      </c>
      <c r="R43" s="53">
        <f>SUMPRODUCT($Z35:$AK35,-$Z42:$AK42)-SUM($AL41:AP41)</f>
        <v>-1384240.9518925773</v>
      </c>
      <c r="S43" s="53">
        <f>SUMPRODUCT($Z35:$AK35,-$Z42:$AK42)-SUM($AL41:AQ41)</f>
        <v>-1384240.9518925773</v>
      </c>
      <c r="T43" s="53">
        <f>SUMPRODUCT($Z35:$AK35,-$Z42:$AK42)-SUM($AL41:AR41)</f>
        <v>-1384240.9518925773</v>
      </c>
      <c r="U43" s="53">
        <f>SUMPRODUCT($W35:$AH35,-$W42:$AH42)-SUM($AI41:AS41)</f>
        <v>-1349744.9222109413</v>
      </c>
      <c r="V43" s="53">
        <f>SUMPRODUCT($W35:$AH35,-$W42:$AH42)-SUM($AI41:AT41)</f>
        <v>-1349744.9222109413</v>
      </c>
      <c r="W43" s="53">
        <f>SUMPRODUCT($W35:$AH35,-$W42:$AH42)-SUM($AI41:AU41)</f>
        <v>-1349744.9222109413</v>
      </c>
      <c r="X43" s="53">
        <f>SUMPRODUCT($W35:$AH35,-$W42:$AH42)-SUM($AI41:AV41)</f>
        <v>-1349744.9222109413</v>
      </c>
      <c r="Y43" s="53">
        <f>SUMPRODUCT($W35:$AH35,-$W42:$AH42)-SUM($AI41:AW41)</f>
        <v>-1349744.9222109413</v>
      </c>
      <c r="Z43" s="53">
        <f>SUMPRODUCT($W35:$AH35,-$W42:$AH42)-SUM($AI41:AX41)</f>
        <v>-1349744.9222109413</v>
      </c>
      <c r="AA43" s="53">
        <f>SUMPRODUCT($W35:$AH35,-$W42:$AH42)-SUM($AI41:AY41)</f>
        <v>-1349744.9222109413</v>
      </c>
      <c r="AJ43" s="236"/>
      <c r="AK43" s="53"/>
      <c r="AL43" s="53"/>
      <c r="AM43" s="38"/>
      <c r="AV43" s="236"/>
      <c r="AW43" s="242"/>
    </row>
    <row r="44" spans="1:49" x14ac:dyDescent="0.25">
      <c r="A44" s="231" t="s">
        <v>301</v>
      </c>
      <c r="B44" s="230"/>
      <c r="C44" s="243"/>
      <c r="D44" s="245">
        <f>IF($J48&gt;0,IF(D43+D48+D54&lt;0,0,+D43+D48+D54),0)</f>
        <v>0</v>
      </c>
      <c r="E44" s="245">
        <f t="shared" ref="E44:J44" si="125">IF($J48&gt;0,IF(E43+E48+E54&lt;0,0,+E43+E48+E54),0)</f>
        <v>0</v>
      </c>
      <c r="F44" s="245">
        <f t="shared" si="125"/>
        <v>0</v>
      </c>
      <c r="G44" s="245">
        <f t="shared" si="125"/>
        <v>0</v>
      </c>
      <c r="H44" s="245">
        <f t="shared" si="125"/>
        <v>0</v>
      </c>
      <c r="I44" s="245">
        <f t="shared" si="125"/>
        <v>0</v>
      </c>
      <c r="J44" s="245">
        <f t="shared" si="125"/>
        <v>0</v>
      </c>
      <c r="K44" s="245"/>
      <c r="L44" s="245"/>
      <c r="M44" s="245"/>
      <c r="O44" s="339">
        <f>IF($V48&gt;0,IF(O43+O47+O48+O54&lt;0,0,+O43+O47+O48+O54),0)</f>
        <v>0</v>
      </c>
      <c r="P44" s="245">
        <f>IF($V48&gt;0,IF(P43+P48+P54&lt;0,0,+P43+P48+P54),0)</f>
        <v>0</v>
      </c>
      <c r="Q44" s="245">
        <f t="shared" ref="Q44:T44" si="126">IF($Y48&gt;0,IF(Q43+Q48+Q54&lt;0,0,+Q43+Q48+Q54),0)</f>
        <v>0</v>
      </c>
      <c r="R44" s="245">
        <f t="shared" si="126"/>
        <v>0</v>
      </c>
      <c r="S44" s="245">
        <f t="shared" si="126"/>
        <v>0</v>
      </c>
      <c r="T44" s="245">
        <f t="shared" si="126"/>
        <v>0</v>
      </c>
      <c r="U44" s="245">
        <f t="shared" ref="U44:AA44" si="127">IF($V48&gt;0,IF(U43+U48+U54&lt;0,0,+U43+U48+U54),0)</f>
        <v>0</v>
      </c>
      <c r="V44" s="245">
        <f t="shared" si="127"/>
        <v>0</v>
      </c>
      <c r="W44" s="245">
        <f t="shared" si="127"/>
        <v>0</v>
      </c>
      <c r="X44" s="245">
        <f t="shared" si="127"/>
        <v>0</v>
      </c>
      <c r="Y44" s="245">
        <f t="shared" si="127"/>
        <v>0</v>
      </c>
      <c r="Z44" s="245">
        <f t="shared" si="127"/>
        <v>0</v>
      </c>
      <c r="AA44" s="245">
        <f t="shared" si="127"/>
        <v>0</v>
      </c>
    </row>
    <row r="45" spans="1:49" x14ac:dyDescent="0.25">
      <c r="A45" s="231"/>
      <c r="B45" s="230"/>
      <c r="C45" s="38"/>
      <c r="D45" s="38"/>
      <c r="E45" s="38"/>
      <c r="F45" s="38"/>
      <c r="G45" s="38"/>
      <c r="H45" s="38"/>
      <c r="I45" s="38"/>
      <c r="J45" s="38"/>
      <c r="K45" s="38"/>
      <c r="L45" s="38"/>
      <c r="M45" s="38"/>
    </row>
    <row r="46" spans="1:49" x14ac:dyDescent="0.25">
      <c r="A46" t="s">
        <v>278</v>
      </c>
      <c r="C46" s="53"/>
      <c r="D46" s="53"/>
      <c r="E46" s="53"/>
      <c r="F46" s="53"/>
      <c r="G46" s="53"/>
      <c r="H46" s="53"/>
      <c r="I46" s="53"/>
      <c r="J46" s="53"/>
      <c r="K46" s="53"/>
      <c r="L46" s="53"/>
      <c r="M46" s="53"/>
    </row>
    <row r="47" spans="1:49" x14ac:dyDescent="0.25">
      <c r="A47">
        <v>186338</v>
      </c>
      <c r="B47" t="s">
        <v>279</v>
      </c>
      <c r="C47" s="254">
        <v>63249</v>
      </c>
      <c r="D47" s="332">
        <f>0-D58+(0+0-D58)/2*D56/12</f>
        <v>-270995.73278200004</v>
      </c>
      <c r="E47" s="53">
        <f t="shared" ref="E47:O47" si="128">D47-E58+(D47+D47-E58)/2*E56/12</f>
        <v>-416671.8343777429</v>
      </c>
      <c r="F47" s="53">
        <f t="shared" si="128"/>
        <v>-609603.1183191709</v>
      </c>
      <c r="G47" s="53">
        <f t="shared" si="128"/>
        <v>-292891.50741980929</v>
      </c>
      <c r="H47" s="53">
        <f t="shared" si="128"/>
        <v>-108870.21018667937</v>
      </c>
      <c r="I47" s="53">
        <f t="shared" si="128"/>
        <v>123124.27809471518</v>
      </c>
      <c r="J47" s="53">
        <f t="shared" si="128"/>
        <v>189123.67475291647</v>
      </c>
      <c r="K47" s="53">
        <f t="shared" si="128"/>
        <v>296420.1975539602</v>
      </c>
      <c r="L47" s="53">
        <f t="shared" si="128"/>
        <v>418703.01925092691</v>
      </c>
      <c r="M47" s="53">
        <f t="shared" si="128"/>
        <v>267439.00338327314</v>
      </c>
      <c r="N47" s="53">
        <f t="shared" si="128"/>
        <v>433867.37481014448</v>
      </c>
      <c r="O47" s="53">
        <f t="shared" si="128"/>
        <v>445000.65914608864</v>
      </c>
      <c r="P47" s="332">
        <f>0-P58+(0+0-P58)/2*P56/12</f>
        <v>0</v>
      </c>
      <c r="Q47" s="53">
        <f>P47-Q58+(P47+P47-Q58)/2*Q56/12</f>
        <v>0</v>
      </c>
      <c r="R47" s="53">
        <f t="shared" ref="R47:Y47" si="129">Q47-R58+(Q47+Q47-R58)/2*R56/12</f>
        <v>0</v>
      </c>
      <c r="S47" s="53">
        <f t="shared" si="129"/>
        <v>0</v>
      </c>
      <c r="T47" s="53">
        <f t="shared" si="129"/>
        <v>0</v>
      </c>
      <c r="U47" s="53">
        <f t="shared" si="129"/>
        <v>0</v>
      </c>
      <c r="V47" s="53">
        <f t="shared" si="129"/>
        <v>0</v>
      </c>
      <c r="W47" s="53">
        <f t="shared" si="129"/>
        <v>0</v>
      </c>
      <c r="X47" s="53">
        <f t="shared" si="129"/>
        <v>0</v>
      </c>
      <c r="Y47" s="53">
        <f t="shared" si="129"/>
        <v>0</v>
      </c>
      <c r="Z47" s="53">
        <f>Y47-Z58+(Y47+Y47-Z58)/2*Z56/12</f>
        <v>0</v>
      </c>
      <c r="AA47" s="53">
        <f>Z47-AA58+(Z47+Z47-AA58)/2*AA56/12</f>
        <v>0</v>
      </c>
      <c r="AB47" s="332">
        <f>0-AB58+(0+0-AB58)/2*AB56/12</f>
        <v>0</v>
      </c>
      <c r="AC47" s="53">
        <f>AB47-AC58+(AB47+AB47-AC58)/2*AC56/12</f>
        <v>0</v>
      </c>
      <c r="AD47" s="53">
        <f t="shared" ref="AD47:AL47" si="130">AC47-AD58+(AC47+AC47-AD58)/2*AD56/12</f>
        <v>0</v>
      </c>
      <c r="AE47" s="53">
        <f t="shared" si="130"/>
        <v>0</v>
      </c>
      <c r="AF47" s="53">
        <f t="shared" si="130"/>
        <v>0</v>
      </c>
      <c r="AG47" s="53">
        <f t="shared" si="130"/>
        <v>0</v>
      </c>
      <c r="AH47" s="53">
        <f t="shared" si="130"/>
        <v>0</v>
      </c>
      <c r="AI47" s="53">
        <f t="shared" si="130"/>
        <v>0</v>
      </c>
      <c r="AJ47" s="53">
        <f t="shared" si="130"/>
        <v>0</v>
      </c>
      <c r="AK47" s="53">
        <f t="shared" si="130"/>
        <v>0</v>
      </c>
      <c r="AL47" s="53">
        <f t="shared" si="130"/>
        <v>0</v>
      </c>
      <c r="AM47" s="53">
        <f>AL47-AM58+(AL47+AL47-AM58)/2*AM56/12</f>
        <v>0</v>
      </c>
      <c r="AN47" s="246">
        <f>0-AN58+(0+0-AN58)/2*AN56/12</f>
        <v>0</v>
      </c>
      <c r="AO47" s="53">
        <f>AN47-AO58+(AN47+AN47-AO58)/2*AO56/12</f>
        <v>0</v>
      </c>
      <c r="AP47" s="53">
        <f t="shared" ref="AP47:AW47" si="131">AO47-AP58+(AO47+AO47-AP58)/2*AP56/12</f>
        <v>0</v>
      </c>
      <c r="AQ47" s="53">
        <f t="shared" si="131"/>
        <v>0</v>
      </c>
      <c r="AR47" s="53">
        <f t="shared" si="131"/>
        <v>0</v>
      </c>
      <c r="AS47" s="53">
        <f t="shared" si="131"/>
        <v>0</v>
      </c>
      <c r="AT47" s="53">
        <f t="shared" si="131"/>
        <v>0</v>
      </c>
      <c r="AU47" s="53">
        <f t="shared" si="131"/>
        <v>0</v>
      </c>
      <c r="AV47" s="53">
        <f t="shared" si="131"/>
        <v>0</v>
      </c>
      <c r="AW47" s="53">
        <f t="shared" si="131"/>
        <v>0</v>
      </c>
    </row>
    <row r="48" spans="1:49" x14ac:dyDescent="0.25">
      <c r="A48">
        <v>182339</v>
      </c>
      <c r="B48" t="s">
        <v>280</v>
      </c>
      <c r="C48" s="254">
        <v>0</v>
      </c>
      <c r="D48" s="332">
        <f>C47+(C47+C54)*D56/12</f>
        <v>63510.429199999999</v>
      </c>
      <c r="E48" s="53">
        <f t="shared" ref="E48:I48" si="132">D48+(D48+D54)*E56/12</f>
        <v>63772.938974026663</v>
      </c>
      <c r="F48" s="53">
        <f t="shared" si="132"/>
        <v>64036.533788452638</v>
      </c>
      <c r="G48" s="53">
        <f t="shared" si="132"/>
        <v>64290.011734698594</v>
      </c>
      <c r="H48" s="53">
        <f t="shared" si="132"/>
        <v>64544.493031148442</v>
      </c>
      <c r="I48" s="53">
        <f t="shared" si="132"/>
        <v>64799.981649396737</v>
      </c>
      <c r="J48" s="53">
        <f>I48+(I48+I54)*J56/12</f>
        <v>64985.201596944593</v>
      </c>
      <c r="K48" s="336">
        <v>0</v>
      </c>
      <c r="L48" s="53">
        <f>K48+(K48+K54)*L56/12</f>
        <v>0</v>
      </c>
      <c r="M48" s="53">
        <f>L48+(L48+L54)*M56/12</f>
        <v>0</v>
      </c>
      <c r="N48" s="53">
        <f>M48+(M48+M54)*N56/12</f>
        <v>0</v>
      </c>
      <c r="O48" s="53">
        <v>0</v>
      </c>
      <c r="P48" s="332">
        <f>O47+(O47+O54)*P56/12</f>
        <v>446205.8692646093</v>
      </c>
      <c r="Q48" s="53">
        <f>P48+(P48+P54)*Q56/12</f>
        <v>447414.34349386761</v>
      </c>
      <c r="R48" s="53">
        <f t="shared" ref="R48:Y48" si="133">Q48+(Q48+Q54)*R56/12</f>
        <v>448626.09067416348</v>
      </c>
      <c r="S48" s="53">
        <f t="shared" si="133"/>
        <v>449841.11966973933</v>
      </c>
      <c r="T48" s="53">
        <f t="shared" si="133"/>
        <v>451059.43936884485</v>
      </c>
      <c r="U48" s="53">
        <f t="shared" si="133"/>
        <v>452281.05868380214</v>
      </c>
      <c r="V48" s="53">
        <f t="shared" si="133"/>
        <v>453505.98655107076</v>
      </c>
      <c r="W48" s="336">
        <v>0</v>
      </c>
      <c r="X48" s="53">
        <v>0</v>
      </c>
      <c r="Y48" s="53">
        <f t="shared" si="133"/>
        <v>0</v>
      </c>
      <c r="Z48" s="53">
        <v>0</v>
      </c>
      <c r="AA48" s="53">
        <v>0</v>
      </c>
      <c r="AB48" s="332">
        <f>AA47+(AA47+AA54)*AB56/12</f>
        <v>0</v>
      </c>
      <c r="AC48" s="53">
        <f>AB48+(AB48+AB54)*AC56/12</f>
        <v>0</v>
      </c>
      <c r="AD48" s="53">
        <f t="shared" ref="AD48:AK48" si="134">AC48+(AC48+AC54)*AD56/12</f>
        <v>0</v>
      </c>
      <c r="AE48" s="53">
        <f t="shared" si="134"/>
        <v>0</v>
      </c>
      <c r="AF48" s="53">
        <f t="shared" si="134"/>
        <v>0</v>
      </c>
      <c r="AG48" s="53">
        <f t="shared" si="134"/>
        <v>0</v>
      </c>
      <c r="AH48" s="53">
        <f t="shared" si="134"/>
        <v>0</v>
      </c>
      <c r="AI48" s="53">
        <f t="shared" si="134"/>
        <v>0</v>
      </c>
      <c r="AJ48" s="53">
        <f t="shared" si="134"/>
        <v>0</v>
      </c>
      <c r="AK48" s="53">
        <f t="shared" si="134"/>
        <v>0</v>
      </c>
      <c r="AL48" s="53">
        <v>0</v>
      </c>
      <c r="AM48" s="53">
        <v>0</v>
      </c>
      <c r="AN48" s="246">
        <f>AM47+(AM47+AM54)*AN56/12</f>
        <v>0</v>
      </c>
      <c r="AO48" s="53">
        <f>AN48+(AN48+AN54)*AO56/12</f>
        <v>0</v>
      </c>
      <c r="AP48" s="53">
        <f t="shared" ref="AP48:AW48" si="135">AO48+(AO48+AO54)*AP56/12</f>
        <v>0</v>
      </c>
      <c r="AQ48" s="53">
        <f t="shared" si="135"/>
        <v>0</v>
      </c>
      <c r="AR48" s="53">
        <f t="shared" si="135"/>
        <v>0</v>
      </c>
      <c r="AS48" s="53">
        <f t="shared" si="135"/>
        <v>0</v>
      </c>
      <c r="AT48" s="53">
        <f t="shared" si="135"/>
        <v>0</v>
      </c>
      <c r="AU48" s="53">
        <f t="shared" si="135"/>
        <v>0</v>
      </c>
      <c r="AV48" s="53">
        <f t="shared" si="135"/>
        <v>0</v>
      </c>
      <c r="AW48" s="53">
        <f t="shared" si="135"/>
        <v>0</v>
      </c>
    </row>
    <row r="49" spans="1:49" x14ac:dyDescent="0.25">
      <c r="A49">
        <v>182338</v>
      </c>
      <c r="B49" t="s">
        <v>281</v>
      </c>
      <c r="C49" s="254">
        <v>740948.34</v>
      </c>
      <c r="D49" s="53">
        <f t="shared" ref="D49:N49" si="136">IF(C49&lt;&gt;0,C49-D59+(C49+C49-D59)/2*D56/12,0)</f>
        <v>602093.1911716637</v>
      </c>
      <c r="E49" s="53">
        <f t="shared" si="136"/>
        <v>465593.55441319215</v>
      </c>
      <c r="F49" s="53">
        <f t="shared" si="136"/>
        <v>341115.64431961405</v>
      </c>
      <c r="G49" s="53">
        <f t="shared" si="136"/>
        <v>278384.54988000152</v>
      </c>
      <c r="H49" s="53">
        <f t="shared" si="136"/>
        <v>228266.1654055682</v>
      </c>
      <c r="I49" s="53">
        <f t="shared" si="136"/>
        <v>195976.2232821736</v>
      </c>
      <c r="J49" s="53">
        <f t="shared" si="136"/>
        <v>165162.52416259682</v>
      </c>
      <c r="K49" s="336">
        <f>IF(J48+J49+J50+J54&gt;0,(J48+J49+J50+J54)-K59+(J48+J49+J50+J54-K59/2)*K56/12,0)</f>
        <v>223490.82561358745</v>
      </c>
      <c r="L49" s="53">
        <f t="shared" si="136"/>
        <v>215600.30444896629</v>
      </c>
      <c r="M49" s="53">
        <f t="shared" si="136"/>
        <v>196178.11697664059</v>
      </c>
      <c r="N49" s="53">
        <f t="shared" si="136"/>
        <v>173336.85514657732</v>
      </c>
      <c r="O49" s="53">
        <f>IF(N49&lt;&gt;0,N49-O59+(N49+N49-O59)/2*O56/12,0)</f>
        <v>142293.74357197428</v>
      </c>
      <c r="P49" s="53">
        <f>IF(O49&lt;&gt;0,O49-P59+(O49+O49-P59)/2*P56/12,0)</f>
        <v>105480.10618838634</v>
      </c>
      <c r="Q49" s="53">
        <f>IF(P49&lt;&gt;0,P49-Q59+(P49+P49-Q59)/2*Q56/12,0)</f>
        <v>74154.990269453934</v>
      </c>
      <c r="R49" s="53">
        <f t="shared" ref="R49:AA49" si="137">IF(Q49&lt;&gt;0,Q49-R59+(Q49+Q49-R59)/2*R56/12,0)</f>
        <v>48312.887346177238</v>
      </c>
      <c r="S49" s="53">
        <f t="shared" si="137"/>
        <v>30317.721299124467</v>
      </c>
      <c r="T49" s="53">
        <f t="shared" si="137"/>
        <v>20717.295616111798</v>
      </c>
      <c r="U49" s="53">
        <f t="shared" si="137"/>
        <v>13372.238988147545</v>
      </c>
      <c r="V49" s="53">
        <f t="shared" si="137"/>
        <v>6216.6573222377119</v>
      </c>
      <c r="W49" s="336">
        <f>IF(V48+V49+V50+V54&gt;0,(V48+V49+V50+V54)-W59+(V48+V49+V50+V54-W59/2)*W56/12,0)</f>
        <v>447005.62255251431</v>
      </c>
      <c r="X49" s="53">
        <f>IF(W49&lt;&gt;0,W49-X59+(W49+W49-X59)/2*X56/12,0)</f>
        <v>429257.07563606207</v>
      </c>
      <c r="Y49" s="53">
        <f t="shared" si="137"/>
        <v>389835.63292544562</v>
      </c>
      <c r="Z49" s="53">
        <f t="shared" si="137"/>
        <v>332079.98918716435</v>
      </c>
      <c r="AA49" s="53">
        <f t="shared" si="137"/>
        <v>260055.65873560103</v>
      </c>
      <c r="AB49" s="53">
        <f>IF(AA49&lt;&gt;0,AA49-AB59+(AA49+AA49-AB59)/2*AB56/12,0)</f>
        <v>188849.44700287335</v>
      </c>
      <c r="AC49" s="53">
        <f>IF(AB49&lt;&gt;0,AB49-AC59+(AB49+AB49-AC59)/2*AC56/12,0)</f>
        <v>128290.18366999476</v>
      </c>
      <c r="AD49" s="53">
        <f t="shared" ref="AD49:AH49" si="138">IF(AC49&lt;&gt;0,AC49-AD59+(AC49+AC49-AD59)/2*AD56/12,0)</f>
        <v>78411.339029148105</v>
      </c>
      <c r="AE49" s="53">
        <f t="shared" si="138"/>
        <v>43998.717649236125</v>
      </c>
      <c r="AF49" s="53">
        <f t="shared" si="138"/>
        <v>25755.987489396994</v>
      </c>
      <c r="AG49" s="53">
        <f t="shared" si="138"/>
        <v>12619.460870304951</v>
      </c>
      <c r="AH49" s="53">
        <f t="shared" si="138"/>
        <v>-11.611909744484983</v>
      </c>
      <c r="AI49" s="246">
        <f>IF(AH48+AH49+AH50+AH54&gt;0,(AH48+AH49+AH50+AH54)-AI59+(AH48+AH49+AH50+AH54-AI59/2)*AI56/12,0)</f>
        <v>0</v>
      </c>
      <c r="AJ49" s="53">
        <f>IF(AI49&lt;&gt;0,AI49-AJ59+(AI49+AI49-AJ59)/2*AJ$24/12,0)</f>
        <v>0</v>
      </c>
      <c r="AK49" s="53">
        <f>IF(AJ49&lt;&gt;0,AJ49-AK59+(AJ49+AJ49-AK59)/2*AK56/12,0)</f>
        <v>0</v>
      </c>
      <c r="AL49" s="53">
        <f t="shared" ref="AL49" si="139">IF(AK49&lt;&gt;0,AK49-AL59+(AK49+AK49-AL59)/2*AL56/12,0)</f>
        <v>0</v>
      </c>
      <c r="AM49" s="53">
        <f>IF(AL49&lt;&gt;0,AL49-AM59+(AL49+AL49-AM59)/2*AM56/12,0)</f>
        <v>0</v>
      </c>
      <c r="AN49" s="53">
        <f>IF(AM49&lt;&gt;0,AM49-AN59+(AM49+AM49-AN59)/2*AN56/12,0)</f>
        <v>0</v>
      </c>
      <c r="AO49" s="53">
        <f>IF(AN49&lt;&gt;0,AN49-AO59+(AN49+AN49-AO59)/2*AO56/12,0)</f>
        <v>0</v>
      </c>
      <c r="AP49" s="53">
        <f t="shared" ref="AP49:AW49" si="140">IF(AO49&lt;&gt;0,AO49-AP59+(AO49+AO49-AP59)/2*AP56/12,0)</f>
        <v>0</v>
      </c>
      <c r="AQ49" s="53">
        <f t="shared" si="140"/>
        <v>0</v>
      </c>
      <c r="AR49" s="53">
        <f t="shared" si="140"/>
        <v>0</v>
      </c>
      <c r="AS49" s="53">
        <f t="shared" si="140"/>
        <v>0</v>
      </c>
      <c r="AT49" s="53">
        <f t="shared" si="140"/>
        <v>0</v>
      </c>
      <c r="AU49" s="53">
        <f t="shared" si="140"/>
        <v>0</v>
      </c>
      <c r="AV49" s="53">
        <f t="shared" si="140"/>
        <v>0</v>
      </c>
      <c r="AW49" s="53">
        <f t="shared" si="140"/>
        <v>0</v>
      </c>
    </row>
    <row r="50" spans="1:49" ht="15.75" thickBot="1" x14ac:dyDescent="0.3">
      <c r="A50">
        <v>254338</v>
      </c>
      <c r="B50" t="s">
        <v>282</v>
      </c>
      <c r="C50" s="254">
        <v>0</v>
      </c>
      <c r="D50" s="53">
        <f t="shared" ref="D50:N50" si="141">IF(C50&lt;&gt;0,C50-D59+(C50+C50-D59)/2*D56/12,0)</f>
        <v>0</v>
      </c>
      <c r="E50" s="53">
        <f t="shared" si="141"/>
        <v>0</v>
      </c>
      <c r="F50" s="53">
        <f t="shared" si="141"/>
        <v>0</v>
      </c>
      <c r="G50" s="53">
        <f t="shared" si="141"/>
        <v>0</v>
      </c>
      <c r="H50" s="53">
        <f t="shared" si="141"/>
        <v>0</v>
      </c>
      <c r="I50" s="53">
        <f t="shared" si="141"/>
        <v>0</v>
      </c>
      <c r="J50" s="53">
        <f t="shared" si="141"/>
        <v>0</v>
      </c>
      <c r="K50" s="336">
        <f>IF((J48+J49+J50+J54)&lt;0,(J48+J49+J50+J54)-K59+(J48+J49+J50+J54-K59/2)*K56/12,0)</f>
        <v>0</v>
      </c>
      <c r="L50" s="53">
        <f t="shared" si="141"/>
        <v>0</v>
      </c>
      <c r="M50" s="53">
        <f t="shared" si="141"/>
        <v>0</v>
      </c>
      <c r="N50" s="53">
        <f t="shared" si="141"/>
        <v>0</v>
      </c>
      <c r="O50" s="53">
        <f>IF(N50&lt;&gt;0,N50-O59+(N50+N50-O59)/2*O56/12,0)</f>
        <v>0</v>
      </c>
      <c r="P50" s="53">
        <f>IF(O50&lt;&gt;0,O50-P59+(O50+O50-P59)/2*P56/12,0)</f>
        <v>0</v>
      </c>
      <c r="Q50" s="53">
        <f>IF(P50&lt;&gt;0,P50-Q59+(P50+P50-Q59)/2*Q56/12,0)</f>
        <v>0</v>
      </c>
      <c r="R50" s="53">
        <f t="shared" ref="R50:AA50" si="142">IF(Q50&lt;&gt;0,Q50-R59+(Q50+Q50-R59)/2*R56/12,0)</f>
        <v>0</v>
      </c>
      <c r="S50" s="53">
        <f t="shared" si="142"/>
        <v>0</v>
      </c>
      <c r="T50" s="53">
        <f t="shared" si="142"/>
        <v>0</v>
      </c>
      <c r="U50" s="53">
        <f t="shared" si="142"/>
        <v>0</v>
      </c>
      <c r="V50" s="53">
        <f t="shared" si="142"/>
        <v>0</v>
      </c>
      <c r="W50" s="336">
        <f>IF((V48+V49+V50+V54)&lt;0,(V48+V49+V50+V54)-W59+(V48+V49+V50+V54-W59/2)*W56/12,0)</f>
        <v>0</v>
      </c>
      <c r="X50" s="53">
        <f>IF(W50&lt;&gt;0,W50-X59+(W50+W50-X59)/2*X56/12,0)</f>
        <v>0</v>
      </c>
      <c r="Y50" s="53">
        <f t="shared" si="142"/>
        <v>0</v>
      </c>
      <c r="Z50" s="53">
        <f t="shared" si="142"/>
        <v>0</v>
      </c>
      <c r="AA50" s="53">
        <f t="shared" si="142"/>
        <v>0</v>
      </c>
      <c r="AB50" s="53">
        <f>IF(AA50&lt;&gt;0,AA50-AB59+(AA50+AA50-AB59)/2*AB56/12,0)</f>
        <v>0</v>
      </c>
      <c r="AC50" s="53">
        <f>IF(AB50&lt;&gt;0,AB50-AC59+(AB50+AB50-AC59)/2*AC56/12,0)</f>
        <v>0</v>
      </c>
      <c r="AD50" s="53">
        <f t="shared" ref="AD50:AH50" si="143">IF(AC50&lt;&gt;0,AC50-AD59+(AC50+AC50-AD59)/2*AD56/12,0)</f>
        <v>0</v>
      </c>
      <c r="AE50" s="53">
        <f t="shared" si="143"/>
        <v>0</v>
      </c>
      <c r="AF50" s="53">
        <f t="shared" si="143"/>
        <v>0</v>
      </c>
      <c r="AG50" s="53">
        <f t="shared" si="143"/>
        <v>0</v>
      </c>
      <c r="AH50" s="53">
        <f t="shared" si="143"/>
        <v>0</v>
      </c>
      <c r="AI50" s="246">
        <f>IF((AH48+AH49+AH50+AH54)&lt;0,(AH48+AH49+AH50+AH54)-AI59+(AH48+AH49+AH50+AH54-AI59/2)*AI56/12,0)</f>
        <v>-11.643358666709629</v>
      </c>
      <c r="AJ50" s="53">
        <f>IF(AI50&lt;&gt;0,AI50-AJ59+(AI50+AI50-AJ59)/2*AJ$24/12,0)</f>
        <v>-11.674892763098635</v>
      </c>
      <c r="AK50" s="53">
        <f>IF(AJ50&lt;&gt;0,AJ50-AK59+(AJ50+AJ50-AK59)/2*AK56/12,0)</f>
        <v>-11.706512264332027</v>
      </c>
      <c r="AL50" s="53">
        <f t="shared" ref="AL50" si="144">IF(AK50&lt;&gt;0,AK50-AL59+(AK50+AK50-AL59)/2*AL56/12,0)</f>
        <v>-11.738217401714593</v>
      </c>
      <c r="AM50" s="53">
        <f>IF(AL50&lt;&gt;0,AL50-AM59+(AL50+AL50-AM59)/2*AM56/12,0)</f>
        <v>-11.770008407177571</v>
      </c>
      <c r="AN50" s="53">
        <f>IF(AM50&lt;&gt;0,AM50-AN59+(AM50+AM50-AN59)/2*AN56/12,0)</f>
        <v>-11.801885513280343</v>
      </c>
      <c r="AO50" s="53">
        <f>IF(AN50&lt;&gt;0,AN50-AO59+(AN50+AN50-AO59)/2*AO56/12,0)</f>
        <v>-11.833848953212144</v>
      </c>
      <c r="AP50" s="53">
        <f t="shared" ref="AP50:AW50" si="145">IF(AO50&lt;&gt;0,AO50-AP59+(AO50+AO50-AP59)/2*AP56/12,0)</f>
        <v>-11.865898960793761</v>
      </c>
      <c r="AQ50" s="53">
        <f t="shared" si="145"/>
        <v>-11.898035770479243</v>
      </c>
      <c r="AR50" s="53">
        <f t="shared" si="145"/>
        <v>-11.930259617357624</v>
      </c>
      <c r="AS50" s="53">
        <f t="shared" si="145"/>
        <v>-11.962570737154634</v>
      </c>
      <c r="AT50" s="53">
        <f t="shared" si="145"/>
        <v>-11.994969366234427</v>
      </c>
      <c r="AU50" s="53">
        <f t="shared" si="145"/>
        <v>-12.027455741601312</v>
      </c>
      <c r="AV50" s="53">
        <f t="shared" si="145"/>
        <v>-12.060030100901482</v>
      </c>
      <c r="AW50" s="53">
        <f t="shared" si="145"/>
        <v>-12.092692682424756</v>
      </c>
    </row>
    <row r="51" spans="1:49" ht="15.75" thickBot="1" x14ac:dyDescent="0.3">
      <c r="A51">
        <v>253311</v>
      </c>
      <c r="B51" t="s">
        <v>283</v>
      </c>
      <c r="C51" s="268">
        <f>SUM(AB41:AK41)</f>
        <v>0</v>
      </c>
      <c r="N51" s="53"/>
      <c r="O51" s="247">
        <f>-O44</f>
        <v>0</v>
      </c>
      <c r="AA51" s="247">
        <f>-AA44</f>
        <v>0</v>
      </c>
      <c r="AJ51" s="268"/>
      <c r="AM51" s="248"/>
    </row>
    <row r="52" spans="1:49" x14ac:dyDescent="0.25">
      <c r="A52">
        <v>253312</v>
      </c>
      <c r="B52" t="s">
        <v>284</v>
      </c>
      <c r="C52" s="254">
        <v>0</v>
      </c>
      <c r="D52" s="249">
        <f>-D44</f>
        <v>0</v>
      </c>
      <c r="E52" s="249">
        <f t="shared" ref="E52:M52" si="146">-E44</f>
        <v>0</v>
      </c>
      <c r="F52" s="249">
        <f t="shared" si="146"/>
        <v>0</v>
      </c>
      <c r="G52" s="249">
        <f t="shared" si="146"/>
        <v>0</v>
      </c>
      <c r="H52" s="249">
        <f t="shared" si="146"/>
        <v>0</v>
      </c>
      <c r="I52" s="249">
        <f t="shared" si="146"/>
        <v>0</v>
      </c>
      <c r="J52" s="249">
        <f t="shared" si="146"/>
        <v>0</v>
      </c>
      <c r="K52" s="249">
        <f t="shared" si="146"/>
        <v>0</v>
      </c>
      <c r="L52" s="249">
        <f t="shared" si="146"/>
        <v>0</v>
      </c>
      <c r="M52" s="249">
        <f t="shared" si="146"/>
        <v>0</v>
      </c>
      <c r="N52" s="53"/>
      <c r="O52" s="38"/>
      <c r="P52" s="38">
        <f>-P44</f>
        <v>0</v>
      </c>
      <c r="Q52" s="38">
        <f t="shared" ref="Q52:Y52" si="147">-Q44</f>
        <v>0</v>
      </c>
      <c r="R52" s="38">
        <f t="shared" si="147"/>
        <v>0</v>
      </c>
      <c r="S52" s="38">
        <f t="shared" si="147"/>
        <v>0</v>
      </c>
      <c r="T52" s="38">
        <f t="shared" si="147"/>
        <v>0</v>
      </c>
      <c r="U52" s="38">
        <f t="shared" si="147"/>
        <v>0</v>
      </c>
      <c r="V52" s="38">
        <f t="shared" si="147"/>
        <v>0</v>
      </c>
      <c r="W52" s="38">
        <f t="shared" si="147"/>
        <v>0</v>
      </c>
      <c r="X52" s="38">
        <f t="shared" si="147"/>
        <v>0</v>
      </c>
      <c r="Y52" s="38">
        <f t="shared" si="147"/>
        <v>0</v>
      </c>
      <c r="AA52" s="38"/>
      <c r="AB52" s="38"/>
      <c r="AC52" s="38"/>
      <c r="AD52" s="38"/>
      <c r="AE52" s="38"/>
      <c r="AF52" s="38"/>
      <c r="AG52" s="38"/>
      <c r="AH52" s="38"/>
      <c r="AJ52" s="38"/>
      <c r="AK52" s="38"/>
      <c r="AL52" s="38"/>
      <c r="AM52" s="38"/>
      <c r="AN52" s="38"/>
      <c r="AO52" s="38"/>
      <c r="AP52" s="38"/>
      <c r="AQ52" s="38"/>
      <c r="AR52" s="38"/>
      <c r="AS52" s="38"/>
      <c r="AT52" s="38"/>
      <c r="AU52" s="38"/>
      <c r="AV52" s="38"/>
      <c r="AW52" s="38"/>
    </row>
    <row r="53" spans="1:49" x14ac:dyDescent="0.25">
      <c r="A53">
        <v>283328</v>
      </c>
      <c r="B53" t="s">
        <v>285</v>
      </c>
      <c r="C53" s="53">
        <f>SUM(C47:C52)*-0.21</f>
        <v>-168881.44139999998</v>
      </c>
      <c r="D53" s="53">
        <f t="shared" ref="D53:I53" si="148">SUM(D47:D52)*-0.21</f>
        <v>-82867.656393829369</v>
      </c>
      <c r="E53" s="53">
        <f t="shared" si="148"/>
        <v>-23665.87839198994</v>
      </c>
      <c r="F53" s="53">
        <f t="shared" si="148"/>
        <v>42934.697444331883</v>
      </c>
      <c r="G53" s="53">
        <f t="shared" si="148"/>
        <v>-10454.441380927075</v>
      </c>
      <c r="H53" s="53">
        <f t="shared" si="148"/>
        <v>-38627.494132507825</v>
      </c>
      <c r="I53" s="53">
        <f t="shared" si="148"/>
        <v>-80619.101435519959</v>
      </c>
      <c r="J53" s="53">
        <f t="shared" ref="J53:AW53" si="149">SUM(J47:J52)*-0.21</f>
        <v>-88046.994107616149</v>
      </c>
      <c r="K53" s="53">
        <f t="shared" si="149"/>
        <v>-109181.31486518501</v>
      </c>
      <c r="L53" s="53">
        <f t="shared" si="149"/>
        <v>-133203.69797697756</v>
      </c>
      <c r="M53" s="53">
        <f t="shared" si="149"/>
        <v>-97359.595275581887</v>
      </c>
      <c r="N53" s="53">
        <f t="shared" si="149"/>
        <v>-127512.88829091156</v>
      </c>
      <c r="O53" s="53">
        <f t="shared" si="149"/>
        <v>-123331.82457079322</v>
      </c>
      <c r="P53" s="53">
        <f t="shared" si="149"/>
        <v>-115854.05484512908</v>
      </c>
      <c r="Q53" s="53">
        <f t="shared" si="149"/>
        <v>-109529.56009029751</v>
      </c>
      <c r="R53" s="53">
        <f t="shared" si="149"/>
        <v>-104357.18538427155</v>
      </c>
      <c r="S53" s="53">
        <f t="shared" si="149"/>
        <v>-100833.35660346139</v>
      </c>
      <c r="T53" s="53">
        <f t="shared" si="149"/>
        <v>-99073.114346840885</v>
      </c>
      <c r="U53" s="53">
        <f t="shared" si="149"/>
        <v>-97787.192511109432</v>
      </c>
      <c r="V53" s="53">
        <f t="shared" si="149"/>
        <v>-96541.755213394776</v>
      </c>
      <c r="W53" s="53">
        <f t="shared" si="149"/>
        <v>-93871.180736028007</v>
      </c>
      <c r="X53" s="53">
        <f t="shared" si="149"/>
        <v>-90143.985883573027</v>
      </c>
      <c r="Y53" s="53">
        <f t="shared" si="149"/>
        <v>-81865.482914343578</v>
      </c>
      <c r="Z53" s="53">
        <f t="shared" si="149"/>
        <v>-69736.797729304511</v>
      </c>
      <c r="AA53" s="53">
        <f t="shared" si="149"/>
        <v>-54611.688334476217</v>
      </c>
      <c r="AB53" s="53">
        <f t="shared" si="149"/>
        <v>-39658.3838706034</v>
      </c>
      <c r="AC53" s="53">
        <f t="shared" si="149"/>
        <v>-26940.938570698898</v>
      </c>
      <c r="AD53" s="53">
        <f t="shared" si="149"/>
        <v>-16466.381196121103</v>
      </c>
      <c r="AE53" s="53">
        <f t="shared" si="149"/>
        <v>-9239.7307063395856</v>
      </c>
      <c r="AF53" s="53">
        <f t="shared" si="149"/>
        <v>-5408.7573727733688</v>
      </c>
      <c r="AG53" s="53">
        <f t="shared" si="149"/>
        <v>-2650.0867827640395</v>
      </c>
      <c r="AH53" s="53">
        <f t="shared" si="149"/>
        <v>2.4385010463418464</v>
      </c>
      <c r="AI53" s="53">
        <f t="shared" si="149"/>
        <v>2.4451053200090218</v>
      </c>
      <c r="AJ53" s="53">
        <f t="shared" si="149"/>
        <v>2.4517274802507134</v>
      </c>
      <c r="AK53" s="53">
        <f t="shared" si="149"/>
        <v>2.4583675755097256</v>
      </c>
      <c r="AL53" s="53">
        <f t="shared" si="149"/>
        <v>2.4650256543600646</v>
      </c>
      <c r="AM53" s="53">
        <f t="shared" si="149"/>
        <v>2.4717017655072899</v>
      </c>
      <c r="AN53" s="53">
        <f t="shared" si="149"/>
        <v>2.4783959577888721</v>
      </c>
      <c r="AO53" s="53">
        <f t="shared" si="149"/>
        <v>2.4851082801745501</v>
      </c>
      <c r="AP53" s="53">
        <f t="shared" si="149"/>
        <v>2.4918387817666896</v>
      </c>
      <c r="AQ53" s="53">
        <f t="shared" si="149"/>
        <v>2.4985875118006411</v>
      </c>
      <c r="AR53" s="53">
        <f t="shared" si="149"/>
        <v>2.5053545196451008</v>
      </c>
      <c r="AS53" s="53">
        <f t="shared" si="149"/>
        <v>2.5121398548024731</v>
      </c>
      <c r="AT53" s="53">
        <f t="shared" si="149"/>
        <v>2.5189435669092295</v>
      </c>
      <c r="AU53" s="53">
        <f t="shared" si="149"/>
        <v>2.5257657057362755</v>
      </c>
      <c r="AV53" s="53">
        <f t="shared" si="149"/>
        <v>2.5326063211893111</v>
      </c>
      <c r="AW53" s="53">
        <f t="shared" si="149"/>
        <v>2.5394654633091989</v>
      </c>
    </row>
    <row r="54" spans="1:49" x14ac:dyDescent="0.25">
      <c r="A54">
        <v>229000</v>
      </c>
      <c r="B54" t="s">
        <v>286</v>
      </c>
      <c r="C54" s="241">
        <v>0</v>
      </c>
      <c r="D54" s="38">
        <f t="shared" ref="D54:I54" si="150">C54</f>
        <v>0</v>
      </c>
      <c r="E54" s="38">
        <f t="shared" si="150"/>
        <v>0</v>
      </c>
      <c r="F54" s="38">
        <f t="shared" si="150"/>
        <v>0</v>
      </c>
      <c r="G54" s="38">
        <f t="shared" si="150"/>
        <v>0</v>
      </c>
      <c r="H54" s="38">
        <f t="shared" si="150"/>
        <v>0</v>
      </c>
      <c r="I54" s="38">
        <f t="shared" si="150"/>
        <v>0</v>
      </c>
      <c r="J54" s="38">
        <f>I54</f>
        <v>0</v>
      </c>
      <c r="K54" s="336">
        <v>0</v>
      </c>
      <c r="L54" s="38">
        <f>K54</f>
        <v>0</v>
      </c>
      <c r="M54" s="38">
        <f>L54</f>
        <v>0</v>
      </c>
      <c r="N54" s="38">
        <f>M54</f>
        <v>0</v>
      </c>
      <c r="O54" s="250">
        <f>-SUM(D64:O64)</f>
        <v>0</v>
      </c>
      <c r="P54" s="38">
        <f t="shared" ref="P54:Z54" si="151">O54</f>
        <v>0</v>
      </c>
      <c r="Q54" s="38">
        <f t="shared" si="151"/>
        <v>0</v>
      </c>
      <c r="R54" s="38">
        <f t="shared" si="151"/>
        <v>0</v>
      </c>
      <c r="S54" s="38">
        <f t="shared" si="151"/>
        <v>0</v>
      </c>
      <c r="T54" s="38">
        <f t="shared" si="151"/>
        <v>0</v>
      </c>
      <c r="U54" s="38">
        <f t="shared" si="151"/>
        <v>0</v>
      </c>
      <c r="V54" s="38">
        <f t="shared" si="151"/>
        <v>0</v>
      </c>
      <c r="W54" s="336">
        <v>0</v>
      </c>
      <c r="X54" s="38">
        <f t="shared" si="151"/>
        <v>0</v>
      </c>
      <c r="Y54" s="38">
        <f t="shared" si="151"/>
        <v>0</v>
      </c>
      <c r="Z54" s="38">
        <f t="shared" si="151"/>
        <v>0</v>
      </c>
      <c r="AA54" s="250">
        <f>-SUM(P64:AA64)</f>
        <v>0</v>
      </c>
      <c r="AB54" s="38">
        <f t="shared" ref="AB54:AH54" si="152">AA54</f>
        <v>0</v>
      </c>
      <c r="AC54" s="38">
        <f t="shared" si="152"/>
        <v>0</v>
      </c>
      <c r="AD54" s="38">
        <f t="shared" si="152"/>
        <v>0</v>
      </c>
      <c r="AE54" s="38">
        <f t="shared" si="152"/>
        <v>0</v>
      </c>
      <c r="AF54" s="38">
        <f t="shared" si="152"/>
        <v>0</v>
      </c>
      <c r="AG54" s="38">
        <f t="shared" si="152"/>
        <v>0</v>
      </c>
      <c r="AH54" s="38">
        <f t="shared" si="152"/>
        <v>0</v>
      </c>
      <c r="AI54" s="246">
        <v>0</v>
      </c>
      <c r="AJ54" s="250">
        <f>-SUM(Y64:AJ64)</f>
        <v>0</v>
      </c>
      <c r="AK54" s="38">
        <f t="shared" ref="AK54:AL54" si="153">AJ54</f>
        <v>0</v>
      </c>
      <c r="AL54" s="38">
        <f t="shared" si="153"/>
        <v>0</v>
      </c>
      <c r="AM54" s="250">
        <f>-SUM(AB64:AM64)</f>
        <v>0</v>
      </c>
      <c r="AN54" s="38">
        <f t="shared" ref="AN54:AW54" si="154">AM54</f>
        <v>0</v>
      </c>
      <c r="AO54" s="38">
        <f t="shared" si="154"/>
        <v>0</v>
      </c>
      <c r="AP54" s="38">
        <f t="shared" si="154"/>
        <v>0</v>
      </c>
      <c r="AQ54" s="38">
        <f t="shared" si="154"/>
        <v>0</v>
      </c>
      <c r="AR54" s="38">
        <f t="shared" si="154"/>
        <v>0</v>
      </c>
      <c r="AS54" s="38">
        <f t="shared" si="154"/>
        <v>0</v>
      </c>
      <c r="AT54" s="38">
        <f t="shared" si="154"/>
        <v>0</v>
      </c>
      <c r="AU54" s="38">
        <f t="shared" si="154"/>
        <v>0</v>
      </c>
      <c r="AV54" s="38">
        <f t="shared" si="154"/>
        <v>0</v>
      </c>
      <c r="AW54" s="38">
        <f t="shared" si="154"/>
        <v>0</v>
      </c>
    </row>
    <row r="55" spans="1:49" x14ac:dyDescent="0.25">
      <c r="A55">
        <v>190449</v>
      </c>
      <c r="B55" t="s">
        <v>287</v>
      </c>
      <c r="C55" s="53">
        <f>C54*-0.21</f>
        <v>0</v>
      </c>
      <c r="D55" s="53">
        <f t="shared" ref="D55:AW55" si="155">D54*-0.21</f>
        <v>0</v>
      </c>
      <c r="E55" s="53">
        <f t="shared" si="155"/>
        <v>0</v>
      </c>
      <c r="F55" s="53">
        <f t="shared" si="155"/>
        <v>0</v>
      </c>
      <c r="G55" s="53">
        <f t="shared" si="155"/>
        <v>0</v>
      </c>
      <c r="H55" s="53">
        <f t="shared" si="155"/>
        <v>0</v>
      </c>
      <c r="I55" s="53">
        <f t="shared" si="155"/>
        <v>0</v>
      </c>
      <c r="J55" s="53">
        <f t="shared" si="155"/>
        <v>0</v>
      </c>
      <c r="K55" s="53">
        <f t="shared" si="155"/>
        <v>0</v>
      </c>
      <c r="L55" s="53">
        <f t="shared" si="155"/>
        <v>0</v>
      </c>
      <c r="M55" s="53">
        <f t="shared" si="155"/>
        <v>0</v>
      </c>
      <c r="N55" s="53">
        <f t="shared" si="155"/>
        <v>0</v>
      </c>
      <c r="O55" s="53">
        <f t="shared" si="155"/>
        <v>0</v>
      </c>
      <c r="P55" s="53">
        <f t="shared" si="155"/>
        <v>0</v>
      </c>
      <c r="Q55" s="53">
        <f t="shared" si="155"/>
        <v>0</v>
      </c>
      <c r="R55" s="53">
        <f t="shared" si="155"/>
        <v>0</v>
      </c>
      <c r="S55" s="53">
        <f t="shared" si="155"/>
        <v>0</v>
      </c>
      <c r="T55" s="53">
        <f t="shared" si="155"/>
        <v>0</v>
      </c>
      <c r="U55" s="53">
        <f t="shared" si="155"/>
        <v>0</v>
      </c>
      <c r="V55" s="53">
        <f t="shared" si="155"/>
        <v>0</v>
      </c>
      <c r="W55" s="53">
        <f t="shared" si="155"/>
        <v>0</v>
      </c>
      <c r="X55" s="53">
        <f t="shared" si="155"/>
        <v>0</v>
      </c>
      <c r="Y55" s="53">
        <f t="shared" si="155"/>
        <v>0</v>
      </c>
      <c r="Z55" s="53">
        <f t="shared" si="155"/>
        <v>0</v>
      </c>
      <c r="AA55" s="53">
        <f t="shared" si="155"/>
        <v>0</v>
      </c>
      <c r="AB55" s="53">
        <f t="shared" si="155"/>
        <v>0</v>
      </c>
      <c r="AC55" s="53">
        <f t="shared" si="155"/>
        <v>0</v>
      </c>
      <c r="AD55" s="53">
        <f t="shared" si="155"/>
        <v>0</v>
      </c>
      <c r="AE55" s="53">
        <f t="shared" si="155"/>
        <v>0</v>
      </c>
      <c r="AF55" s="53">
        <f t="shared" si="155"/>
        <v>0</v>
      </c>
      <c r="AG55" s="53">
        <f t="shared" si="155"/>
        <v>0</v>
      </c>
      <c r="AH55" s="53">
        <f t="shared" si="155"/>
        <v>0</v>
      </c>
      <c r="AI55" s="53">
        <f t="shared" si="155"/>
        <v>0</v>
      </c>
      <c r="AJ55" s="53">
        <f t="shared" si="155"/>
        <v>0</v>
      </c>
      <c r="AK55" s="53">
        <f t="shared" si="155"/>
        <v>0</v>
      </c>
      <c r="AL55" s="53">
        <f t="shared" si="155"/>
        <v>0</v>
      </c>
      <c r="AM55" s="53">
        <f t="shared" si="155"/>
        <v>0</v>
      </c>
      <c r="AN55" s="53">
        <f t="shared" si="155"/>
        <v>0</v>
      </c>
      <c r="AO55" s="53">
        <f t="shared" si="155"/>
        <v>0</v>
      </c>
      <c r="AP55" s="53">
        <f t="shared" si="155"/>
        <v>0</v>
      </c>
      <c r="AQ55" s="53">
        <f t="shared" si="155"/>
        <v>0</v>
      </c>
      <c r="AR55" s="53">
        <f t="shared" si="155"/>
        <v>0</v>
      </c>
      <c r="AS55" s="53">
        <f t="shared" si="155"/>
        <v>0</v>
      </c>
      <c r="AT55" s="53">
        <f t="shared" si="155"/>
        <v>0</v>
      </c>
      <c r="AU55" s="53">
        <f t="shared" si="155"/>
        <v>0</v>
      </c>
      <c r="AV55" s="53">
        <f t="shared" si="155"/>
        <v>0</v>
      </c>
      <c r="AW55" s="53">
        <f t="shared" si="155"/>
        <v>0</v>
      </c>
    </row>
    <row r="56" spans="1:49" x14ac:dyDescent="0.25">
      <c r="B56" t="s">
        <v>288</v>
      </c>
      <c r="C56" s="53"/>
      <c r="D56" s="251">
        <f t="shared" ref="D56:AW56" si="156">D24</f>
        <v>4.9599999999999998E-2</v>
      </c>
      <c r="E56" s="251">
        <f t="shared" si="156"/>
        <v>4.9599999999999998E-2</v>
      </c>
      <c r="F56" s="251">
        <f t="shared" si="156"/>
        <v>4.9599999999999998E-2</v>
      </c>
      <c r="G56" s="251">
        <f t="shared" si="156"/>
        <v>4.7500000000000001E-2</v>
      </c>
      <c r="H56" s="251">
        <f t="shared" si="156"/>
        <v>4.7500000000000001E-2</v>
      </c>
      <c r="I56" s="251">
        <f t="shared" si="156"/>
        <v>4.7500000000000001E-2</v>
      </c>
      <c r="J56" s="251">
        <f t="shared" si="156"/>
        <v>3.4299999999999997E-2</v>
      </c>
      <c r="K56" s="251">
        <f t="shared" si="156"/>
        <v>3.4299999999999997E-2</v>
      </c>
      <c r="L56" s="251">
        <f t="shared" si="156"/>
        <v>3.4299999999999997E-2</v>
      </c>
      <c r="M56" s="251">
        <f t="shared" si="156"/>
        <v>3.2500000000000001E-2</v>
      </c>
      <c r="N56" s="251">
        <f t="shared" si="156"/>
        <v>3.2500000000000001E-2</v>
      </c>
      <c r="O56" s="251">
        <f t="shared" si="156"/>
        <v>3.2500000000000001E-2</v>
      </c>
      <c r="P56" s="251">
        <f t="shared" si="156"/>
        <v>3.2500000000000001E-2</v>
      </c>
      <c r="Q56" s="251">
        <f t="shared" si="156"/>
        <v>3.2500000000000001E-2</v>
      </c>
      <c r="R56" s="251">
        <f t="shared" si="156"/>
        <v>3.2500000000000001E-2</v>
      </c>
      <c r="S56" s="251">
        <f t="shared" si="156"/>
        <v>3.2500000000000001E-2</v>
      </c>
      <c r="T56" s="251">
        <f t="shared" si="156"/>
        <v>3.2500000000000001E-2</v>
      </c>
      <c r="U56" s="251">
        <f t="shared" si="156"/>
        <v>3.2500000000000001E-2</v>
      </c>
      <c r="V56" s="251">
        <f t="shared" si="156"/>
        <v>3.2500000000000001E-2</v>
      </c>
      <c r="W56" s="251">
        <f t="shared" si="156"/>
        <v>3.2500000000000001E-2</v>
      </c>
      <c r="X56" s="251">
        <f t="shared" si="156"/>
        <v>3.2500000000000001E-2</v>
      </c>
      <c r="Y56" s="251">
        <f t="shared" si="156"/>
        <v>3.2500000000000001E-2</v>
      </c>
      <c r="Z56" s="251">
        <f t="shared" si="156"/>
        <v>3.2500000000000001E-2</v>
      </c>
      <c r="AA56" s="251">
        <f t="shared" si="156"/>
        <v>3.2500000000000001E-2</v>
      </c>
      <c r="AB56" s="251">
        <f t="shared" si="156"/>
        <v>3.2500000000000001E-2</v>
      </c>
      <c r="AC56" s="251">
        <f t="shared" si="156"/>
        <v>3.2500000000000001E-2</v>
      </c>
      <c r="AD56" s="251">
        <f t="shared" si="156"/>
        <v>3.2500000000000001E-2</v>
      </c>
      <c r="AE56" s="251">
        <f t="shared" si="156"/>
        <v>3.2500000000000001E-2</v>
      </c>
      <c r="AF56" s="251">
        <f t="shared" si="156"/>
        <v>3.2500000000000001E-2</v>
      </c>
      <c r="AG56" s="251">
        <f t="shared" si="156"/>
        <v>3.2500000000000001E-2</v>
      </c>
      <c r="AH56" s="251">
        <f t="shared" si="156"/>
        <v>3.2500000000000001E-2</v>
      </c>
      <c r="AI56" s="251">
        <f t="shared" si="156"/>
        <v>3.2500000000000001E-2</v>
      </c>
      <c r="AJ56" s="251">
        <f t="shared" si="156"/>
        <v>3.2500000000000001E-2</v>
      </c>
      <c r="AK56" s="251">
        <f t="shared" si="156"/>
        <v>3.2500000000000001E-2</v>
      </c>
      <c r="AL56" s="251">
        <f t="shared" si="156"/>
        <v>3.2500000000000001E-2</v>
      </c>
      <c r="AM56" s="251">
        <f t="shared" si="156"/>
        <v>3.2500000000000001E-2</v>
      </c>
      <c r="AN56" s="251">
        <f t="shared" si="156"/>
        <v>3.2500000000000001E-2</v>
      </c>
      <c r="AO56" s="251">
        <f t="shared" si="156"/>
        <v>3.2500000000000001E-2</v>
      </c>
      <c r="AP56" s="251">
        <f t="shared" si="156"/>
        <v>3.2500000000000001E-2</v>
      </c>
      <c r="AQ56" s="251">
        <f t="shared" si="156"/>
        <v>3.2500000000000001E-2</v>
      </c>
      <c r="AR56" s="251">
        <f t="shared" si="156"/>
        <v>3.2500000000000001E-2</v>
      </c>
      <c r="AS56" s="251">
        <f t="shared" si="156"/>
        <v>3.2500000000000001E-2</v>
      </c>
      <c r="AT56" s="251">
        <f t="shared" si="156"/>
        <v>3.2500000000000001E-2</v>
      </c>
      <c r="AU56" s="251">
        <f t="shared" si="156"/>
        <v>3.2500000000000001E-2</v>
      </c>
      <c r="AV56" s="251">
        <f t="shared" si="156"/>
        <v>3.2500000000000001E-2</v>
      </c>
      <c r="AW56" s="251">
        <f t="shared" si="156"/>
        <v>3.2500000000000001E-2</v>
      </c>
    </row>
    <row r="57" spans="1:49" x14ac:dyDescent="0.25">
      <c r="A57" t="s">
        <v>289</v>
      </c>
      <c r="C57" s="53"/>
    </row>
    <row r="58" spans="1:49" x14ac:dyDescent="0.25">
      <c r="A58">
        <v>456338</v>
      </c>
      <c r="B58" t="s">
        <v>302</v>
      </c>
      <c r="C58" s="252" t="s">
        <v>291</v>
      </c>
      <c r="D58" s="241">
        <f>'Deferral Calc'!D74</f>
        <v>270436.83</v>
      </c>
      <c r="E58" s="241">
        <f>'Deferral Calc'!E74</f>
        <v>144257.85300403557</v>
      </c>
      <c r="F58" s="241">
        <f>'Deferral Calc'!F74</f>
        <v>190814.69</v>
      </c>
      <c r="G58" s="241">
        <f>'Deferral Calc'!G74</f>
        <v>-318494.27</v>
      </c>
      <c r="H58" s="241">
        <f>'Deferral Calc'!H74</f>
        <v>-184814.88</v>
      </c>
      <c r="I58" s="241">
        <f>'Deferral Calc'!I74</f>
        <v>-231966.33282965812</v>
      </c>
      <c r="J58" s="241">
        <f>'Deferral Calc'!J74</f>
        <v>-65553.779153939715</v>
      </c>
      <c r="K58" s="241">
        <f>'Deferral Calc'!K74</f>
        <v>-106603.59</v>
      </c>
      <c r="L58" s="241">
        <f>'Deferral Calc'!L74</f>
        <v>-121262.25</v>
      </c>
      <c r="M58" s="241">
        <f>'Deferral Calc'!M74</f>
        <v>152191.91</v>
      </c>
      <c r="N58" s="241">
        <f>'Deferral Calc'!N74</f>
        <v>-165479.97</v>
      </c>
      <c r="O58" s="241">
        <f>'Deferral Calc'!O74</f>
        <v>-9944.76</v>
      </c>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row>
    <row r="59" spans="1:49" x14ac:dyDescent="0.25">
      <c r="A59">
        <v>456339</v>
      </c>
      <c r="B59" t="s">
        <v>303</v>
      </c>
      <c r="C59" s="252" t="s">
        <v>291</v>
      </c>
      <c r="D59" s="254">
        <f>'Deferral Calc'!D78</f>
        <v>141625.04354367929</v>
      </c>
      <c r="E59" s="254">
        <f>'Deferral Calc'!E78</f>
        <v>138701.63856228566</v>
      </c>
      <c r="F59" s="254">
        <f>'Deferral Calc'!F78</f>
        <v>126141.67066577669</v>
      </c>
      <c r="G59" s="254">
        <f>'Deferral Calc'!G78</f>
        <v>63954.76672257256</v>
      </c>
      <c r="H59" s="254">
        <f>'Deferral Calc'!H78</f>
        <v>51119.15</v>
      </c>
      <c r="I59" s="254">
        <f>'Deferral Calc'!I78</f>
        <v>33127.93</v>
      </c>
      <c r="J59" s="254">
        <f>'Deferral Calc'!J78</f>
        <v>31329.09</v>
      </c>
      <c r="K59" s="254">
        <f>'Deferral Calc'!K78</f>
        <v>7304.3</v>
      </c>
      <c r="L59" s="254">
        <f>'Deferral Calc'!L78</f>
        <v>8517.16</v>
      </c>
      <c r="M59" s="254">
        <f>'Deferral Calc'!M78</f>
        <v>19979.05</v>
      </c>
      <c r="N59" s="254">
        <f>'Deferral Calc'!N78</f>
        <v>23340.97</v>
      </c>
      <c r="O59" s="254">
        <f>'Deferral Calc'!O78</f>
        <v>31469.95</v>
      </c>
      <c r="P59" s="53">
        <f t="shared" ref="P59:AW59" si="157">P35*P36</f>
        <v>37148.710726653015</v>
      </c>
      <c r="Q59" s="53">
        <f t="shared" si="157"/>
        <v>31568.042815213681</v>
      </c>
      <c r="R59" s="53">
        <f t="shared" si="157"/>
        <v>26007.720566988668</v>
      </c>
      <c r="S59" s="53">
        <f t="shared" si="157"/>
        <v>18101.501001009801</v>
      </c>
      <c r="T59" s="53">
        <f t="shared" si="157"/>
        <v>9669.4421419638875</v>
      </c>
      <c r="U59" s="53">
        <f t="shared" si="157"/>
        <v>7391.1571116691694</v>
      </c>
      <c r="V59" s="53">
        <f t="shared" si="157"/>
        <v>7182.0724234293384</v>
      </c>
      <c r="W59" s="53">
        <f t="shared" si="157"/>
        <v>13943.222034778979</v>
      </c>
      <c r="X59" s="53">
        <f t="shared" si="157"/>
        <v>18933.547964663128</v>
      </c>
      <c r="Y59" s="53">
        <f t="shared" si="157"/>
        <v>40529.130759227664</v>
      </c>
      <c r="Z59" s="53">
        <f t="shared" si="157"/>
        <v>58731.915774842615</v>
      </c>
      <c r="AA59" s="53">
        <f t="shared" si="157"/>
        <v>72825.096437519416</v>
      </c>
      <c r="AB59" s="53">
        <f t="shared" si="157"/>
        <v>71813.281989109673</v>
      </c>
      <c r="AC59" s="53">
        <f t="shared" si="157"/>
        <v>60988.142475575689</v>
      </c>
      <c r="AD59" s="53">
        <f t="shared" si="157"/>
        <v>50158.374422921857</v>
      </c>
      <c r="AE59" s="53">
        <f t="shared" si="157"/>
        <v>34578.160830324858</v>
      </c>
      <c r="AF59" s="53">
        <f t="shared" si="157"/>
        <v>18337.061915461956</v>
      </c>
      <c r="AG59" s="53">
        <f t="shared" si="157"/>
        <v>13188.423095600534</v>
      </c>
      <c r="AH59" s="53">
        <f t="shared" si="157"/>
        <v>12648.122820254084</v>
      </c>
      <c r="AI59" s="53">
        <f t="shared" si="157"/>
        <v>0</v>
      </c>
      <c r="AJ59" s="53">
        <f t="shared" si="157"/>
        <v>0</v>
      </c>
      <c r="AK59" s="53">
        <f t="shared" si="157"/>
        <v>0</v>
      </c>
      <c r="AL59" s="53">
        <f t="shared" si="157"/>
        <v>0</v>
      </c>
      <c r="AM59" s="53">
        <f t="shared" si="157"/>
        <v>0</v>
      </c>
      <c r="AN59" s="53">
        <f t="shared" si="157"/>
        <v>0</v>
      </c>
      <c r="AO59" s="53">
        <f t="shared" si="157"/>
        <v>0</v>
      </c>
      <c r="AP59" s="53">
        <f t="shared" si="157"/>
        <v>0</v>
      </c>
      <c r="AQ59" s="53">
        <f t="shared" si="157"/>
        <v>0</v>
      </c>
      <c r="AR59" s="53">
        <f t="shared" si="157"/>
        <v>0</v>
      </c>
      <c r="AS59" s="53">
        <f t="shared" si="157"/>
        <v>0</v>
      </c>
      <c r="AT59" s="53">
        <f t="shared" si="157"/>
        <v>0</v>
      </c>
      <c r="AU59" s="53">
        <f t="shared" si="157"/>
        <v>0</v>
      </c>
      <c r="AV59" s="53">
        <f t="shared" si="157"/>
        <v>0</v>
      </c>
      <c r="AW59" s="53">
        <f t="shared" si="157"/>
        <v>0</v>
      </c>
    </row>
    <row r="60" spans="1:49" x14ac:dyDescent="0.25">
      <c r="A60" s="236" t="s">
        <v>293</v>
      </c>
      <c r="B60" t="s">
        <v>294</v>
      </c>
      <c r="C60" s="53"/>
      <c r="D60" s="38">
        <f t="shared" ref="D60:AW60" si="158">SUM(C47:C52,C54)-SUM(D47:D52,D54)-SUM(D58:D59,D63:D64)</f>
        <v>-2472.4211333430139</v>
      </c>
      <c r="E60" s="38">
        <f t="shared" si="158"/>
        <v>-1046.2629861334572</v>
      </c>
      <c r="F60" s="38">
        <f t="shared" si="158"/>
        <v>189.23855480342172</v>
      </c>
      <c r="G60" s="38">
        <f t="shared" si="158"/>
        <v>305.50887143239379</v>
      </c>
      <c r="H60" s="38">
        <f t="shared" si="158"/>
        <v>-461.66405514642247</v>
      </c>
      <c r="I60" s="38">
        <f t="shared" si="158"/>
        <v>-1121.631946590147</v>
      </c>
      <c r="J60" s="38">
        <f t="shared" si="158"/>
        <v>-1146.2283322326257</v>
      </c>
      <c r="K60" s="38">
        <f t="shared" si="158"/>
        <v>-1340.3326550897764</v>
      </c>
      <c r="L60" s="38">
        <f t="shared" si="158"/>
        <v>-1647.2105323455471</v>
      </c>
      <c r="M60" s="38">
        <f t="shared" si="158"/>
        <v>-1484.7566600205319</v>
      </c>
      <c r="N60" s="38">
        <f>SUM(M47:M52,M54)-SUM(N47:N52,N54)-SUM(N58:N59,N63:N64)</f>
        <v>-1448.1095968080335</v>
      </c>
      <c r="O60" s="38">
        <f t="shared" si="158"/>
        <v>-1615.36276134121</v>
      </c>
      <c r="P60" s="38">
        <f t="shared" si="158"/>
        <v>-1540.2834615856627</v>
      </c>
      <c r="Q60" s="38">
        <f t="shared" si="158"/>
        <v>-1451.4011255395671</v>
      </c>
      <c r="R60" s="38">
        <f t="shared" si="158"/>
        <v>-1377.3648240078837</v>
      </c>
      <c r="S60" s="38">
        <f t="shared" si="158"/>
        <v>-1321.3639495328789</v>
      </c>
      <c r="T60" s="38">
        <f t="shared" si="158"/>
        <v>-1287.3361580567052</v>
      </c>
      <c r="U60" s="38">
        <f t="shared" si="158"/>
        <v>-1267.7197986622114</v>
      </c>
      <c r="V60" s="38">
        <f t="shared" si="158"/>
        <v>-1251.4186247881671</v>
      </c>
      <c r="W60" s="38">
        <f t="shared" si="158"/>
        <v>-1226.2007139847938</v>
      </c>
      <c r="X60" s="38">
        <f t="shared" si="158"/>
        <v>-1185.0010482108919</v>
      </c>
      <c r="Y60" s="38">
        <f t="shared" si="158"/>
        <v>-1107.6880486112132</v>
      </c>
      <c r="Z60" s="38">
        <f t="shared" si="158"/>
        <v>-976.27203656134225</v>
      </c>
      <c r="AA60" s="38">
        <f t="shared" si="158"/>
        <v>-800.76598595609539</v>
      </c>
      <c r="AB60" s="38">
        <f t="shared" si="158"/>
        <v>-607.07025638199411</v>
      </c>
      <c r="AC60" s="38">
        <f t="shared" si="158"/>
        <v>-428.87914269710018</v>
      </c>
      <c r="AD60" s="38">
        <f t="shared" si="158"/>
        <v>-279.52978207520209</v>
      </c>
      <c r="AE60" s="38">
        <f t="shared" si="158"/>
        <v>-165.53945041287807</v>
      </c>
      <c r="AF60" s="38">
        <f t="shared" si="158"/>
        <v>-94.331755622824858</v>
      </c>
      <c r="AG60" s="38">
        <f t="shared" si="158"/>
        <v>-51.896476508491105</v>
      </c>
      <c r="AH60" s="38">
        <f t="shared" si="158"/>
        <v>-17.050040204649122</v>
      </c>
      <c r="AI60" s="38">
        <f t="shared" si="158"/>
        <v>3.1448922224646125E-2</v>
      </c>
      <c r="AJ60" s="38">
        <f t="shared" si="158"/>
        <v>3.1534096389005839E-2</v>
      </c>
      <c r="AK60" s="38">
        <f t="shared" si="158"/>
        <v>3.1619501233391745E-2</v>
      </c>
      <c r="AL60" s="38">
        <f t="shared" si="158"/>
        <v>3.1705137382566306E-2</v>
      </c>
      <c r="AM60" s="38">
        <f t="shared" si="158"/>
        <v>3.1791005462977751E-2</v>
      </c>
      <c r="AN60" s="38">
        <f t="shared" si="158"/>
        <v>3.1877106102772501E-2</v>
      </c>
      <c r="AO60" s="38">
        <f t="shared" si="158"/>
        <v>3.1963439931800508E-2</v>
      </c>
      <c r="AP60" s="38">
        <f t="shared" si="158"/>
        <v>3.2050007581617024E-2</v>
      </c>
      <c r="AQ60" s="38">
        <f t="shared" si="158"/>
        <v>3.2136809685482604E-2</v>
      </c>
      <c r="AR60" s="38">
        <f t="shared" si="158"/>
        <v>3.2223846878380868E-2</v>
      </c>
      <c r="AS60" s="38">
        <f t="shared" si="158"/>
        <v>3.2311119797009624E-2</v>
      </c>
      <c r="AT60" s="38">
        <f t="shared" si="158"/>
        <v>3.2398629079793295E-2</v>
      </c>
      <c r="AU60" s="38">
        <f t="shared" si="158"/>
        <v>3.2486375366884701E-2</v>
      </c>
      <c r="AV60" s="38">
        <f t="shared" si="158"/>
        <v>3.2574359300170386E-2</v>
      </c>
      <c r="AW60" s="38">
        <f t="shared" si="158"/>
        <v>3.266258152327417E-2</v>
      </c>
    </row>
    <row r="61" spans="1:49" x14ac:dyDescent="0.25">
      <c r="A61" s="236" t="s">
        <v>295</v>
      </c>
      <c r="B61" t="s">
        <v>296</v>
      </c>
      <c r="C61" s="53"/>
      <c r="D61" s="38">
        <f t="shared" ref="D61:AW61" si="159">SUM(D58:D59,D63:D64)*-0.21</f>
        <v>-86532.993444172651</v>
      </c>
      <c r="E61" s="38">
        <f t="shared" si="159"/>
        <v>-59421.493228927458</v>
      </c>
      <c r="F61" s="38">
        <f t="shared" si="159"/>
        <v>-66560.835739813105</v>
      </c>
      <c r="G61" s="38">
        <f t="shared" si="159"/>
        <v>53453.295688259765</v>
      </c>
      <c r="H61" s="38">
        <f t="shared" si="159"/>
        <v>28076.103300000002</v>
      </c>
      <c r="I61" s="38">
        <f t="shared" si="159"/>
        <v>41756.064594228206</v>
      </c>
      <c r="J61" s="38">
        <f t="shared" si="159"/>
        <v>7187.1847223273408</v>
      </c>
      <c r="K61" s="38">
        <f t="shared" si="159"/>
        <v>20852.850899999998</v>
      </c>
      <c r="L61" s="38">
        <f t="shared" si="159"/>
        <v>23676.4689</v>
      </c>
      <c r="M61" s="38">
        <f t="shared" si="159"/>
        <v>-36155.901599999997</v>
      </c>
      <c r="N61" s="38">
        <f>SUM(N58:N59,N63:N64)*-0.21</f>
        <v>29849.19</v>
      </c>
      <c r="O61" s="38">
        <f t="shared" si="159"/>
        <v>-4520.2899000000007</v>
      </c>
      <c r="P61" s="38">
        <f t="shared" si="159"/>
        <v>-7801.2292525971325</v>
      </c>
      <c r="Q61" s="38">
        <f t="shared" si="159"/>
        <v>-6629.2889911948723</v>
      </c>
      <c r="R61" s="38">
        <f t="shared" si="159"/>
        <v>-5461.6213190676199</v>
      </c>
      <c r="S61" s="38">
        <f t="shared" si="159"/>
        <v>-3801.315210212058</v>
      </c>
      <c r="T61" s="38">
        <f t="shared" si="159"/>
        <v>-2030.5828498124163</v>
      </c>
      <c r="U61" s="38">
        <f t="shared" si="159"/>
        <v>-1552.1429934505254</v>
      </c>
      <c r="V61" s="38">
        <f t="shared" si="159"/>
        <v>-1508.2352089201611</v>
      </c>
      <c r="W61" s="38">
        <f t="shared" si="159"/>
        <v>-2928.0766273035856</v>
      </c>
      <c r="X61" s="38">
        <f t="shared" si="159"/>
        <v>-3976.0450725792566</v>
      </c>
      <c r="Y61" s="38">
        <f t="shared" si="159"/>
        <v>-8511.1174594378099</v>
      </c>
      <c r="Z61" s="38">
        <f t="shared" si="159"/>
        <v>-12333.702312716949</v>
      </c>
      <c r="AA61" s="38">
        <f t="shared" si="159"/>
        <v>-15293.270251879077</v>
      </c>
      <c r="AB61" s="38">
        <f t="shared" si="159"/>
        <v>-15080.789217713031</v>
      </c>
      <c r="AC61" s="38">
        <f t="shared" si="159"/>
        <v>-12807.509919870894</v>
      </c>
      <c r="AD61" s="38">
        <f t="shared" si="159"/>
        <v>-10533.25862881359</v>
      </c>
      <c r="AE61" s="38">
        <f t="shared" si="159"/>
        <v>-7261.4137743682195</v>
      </c>
      <c r="AF61" s="38">
        <f t="shared" si="159"/>
        <v>-3850.7830022470107</v>
      </c>
      <c r="AG61" s="38">
        <f t="shared" si="159"/>
        <v>-2769.5688500761121</v>
      </c>
      <c r="AH61" s="38">
        <f t="shared" si="159"/>
        <v>-2656.1057922533578</v>
      </c>
      <c r="AI61" s="38">
        <f t="shared" si="159"/>
        <v>0</v>
      </c>
      <c r="AJ61" s="38">
        <f t="shared" si="159"/>
        <v>0</v>
      </c>
      <c r="AK61" s="38">
        <f t="shared" si="159"/>
        <v>0</v>
      </c>
      <c r="AL61" s="38">
        <f t="shared" si="159"/>
        <v>0</v>
      </c>
      <c r="AM61" s="38">
        <f t="shared" si="159"/>
        <v>0</v>
      </c>
      <c r="AN61" s="38">
        <f t="shared" si="159"/>
        <v>0</v>
      </c>
      <c r="AO61" s="38">
        <f t="shared" si="159"/>
        <v>0</v>
      </c>
      <c r="AP61" s="38">
        <f t="shared" si="159"/>
        <v>0</v>
      </c>
      <c r="AQ61" s="38">
        <f t="shared" si="159"/>
        <v>0</v>
      </c>
      <c r="AR61" s="38">
        <f t="shared" si="159"/>
        <v>0</v>
      </c>
      <c r="AS61" s="38">
        <f t="shared" si="159"/>
        <v>0</v>
      </c>
      <c r="AT61" s="38">
        <f t="shared" si="159"/>
        <v>0</v>
      </c>
      <c r="AU61" s="38">
        <f t="shared" si="159"/>
        <v>0</v>
      </c>
      <c r="AV61" s="38">
        <f t="shared" si="159"/>
        <v>0</v>
      </c>
      <c r="AW61" s="38">
        <f t="shared" si="159"/>
        <v>0</v>
      </c>
    </row>
    <row r="62" spans="1:49" x14ac:dyDescent="0.25">
      <c r="A62" s="236" t="s">
        <v>297</v>
      </c>
      <c r="B62" t="s">
        <v>298</v>
      </c>
      <c r="C62" s="53"/>
      <c r="D62" s="38">
        <f t="shared" ref="D62:AW62" si="160">D60*-0.21</f>
        <v>519.20843800203295</v>
      </c>
      <c r="E62" s="38">
        <f t="shared" si="160"/>
        <v>219.71522708802598</v>
      </c>
      <c r="F62" s="38">
        <f t="shared" si="160"/>
        <v>-39.740096508718558</v>
      </c>
      <c r="G62" s="38">
        <f t="shared" si="160"/>
        <v>-64.156863000802687</v>
      </c>
      <c r="H62" s="38">
        <f t="shared" si="160"/>
        <v>96.949451580748715</v>
      </c>
      <c r="I62" s="38">
        <f t="shared" si="160"/>
        <v>235.54270878393086</v>
      </c>
      <c r="J62" s="38">
        <f t="shared" si="160"/>
        <v>240.70794976885139</v>
      </c>
      <c r="K62" s="38">
        <f t="shared" si="160"/>
        <v>281.469857568853</v>
      </c>
      <c r="L62" s="38">
        <f t="shared" si="160"/>
        <v>345.91421179256486</v>
      </c>
      <c r="M62" s="38">
        <f t="shared" si="160"/>
        <v>311.79889860431166</v>
      </c>
      <c r="N62" s="38">
        <f t="shared" si="160"/>
        <v>304.10301532968703</v>
      </c>
      <c r="O62" s="38">
        <f t="shared" si="160"/>
        <v>339.2261798816541</v>
      </c>
      <c r="P62" s="38">
        <f t="shared" si="160"/>
        <v>323.45952693298915</v>
      </c>
      <c r="Q62" s="38">
        <f t="shared" si="160"/>
        <v>304.7942363633091</v>
      </c>
      <c r="R62" s="38">
        <f t="shared" si="160"/>
        <v>289.24661304165556</v>
      </c>
      <c r="S62" s="38">
        <f t="shared" si="160"/>
        <v>277.48642940190456</v>
      </c>
      <c r="T62" s="38">
        <f t="shared" si="160"/>
        <v>270.34059319190811</v>
      </c>
      <c r="U62" s="38">
        <f t="shared" si="160"/>
        <v>266.22115771906437</v>
      </c>
      <c r="V62" s="38">
        <f t="shared" si="160"/>
        <v>262.79791120551511</v>
      </c>
      <c r="W62" s="38">
        <f t="shared" si="160"/>
        <v>257.50214993680669</v>
      </c>
      <c r="X62" s="38">
        <f t="shared" si="160"/>
        <v>248.85022012428729</v>
      </c>
      <c r="Y62" s="38">
        <f t="shared" si="160"/>
        <v>232.61449020835477</v>
      </c>
      <c r="Z62" s="38">
        <f t="shared" si="160"/>
        <v>205.01712767788186</v>
      </c>
      <c r="AA62" s="38">
        <f t="shared" si="160"/>
        <v>168.16085705078004</v>
      </c>
      <c r="AB62" s="38">
        <f t="shared" si="160"/>
        <v>127.48475384021876</v>
      </c>
      <c r="AC62" s="38">
        <f t="shared" si="160"/>
        <v>90.064619966391035</v>
      </c>
      <c r="AD62" s="38">
        <f t="shared" si="160"/>
        <v>58.70125423579244</v>
      </c>
      <c r="AE62" s="38">
        <f t="shared" si="160"/>
        <v>34.763284586704394</v>
      </c>
      <c r="AF62" s="38">
        <f t="shared" si="160"/>
        <v>19.809668680793219</v>
      </c>
      <c r="AG62" s="38">
        <f t="shared" si="160"/>
        <v>10.898260066783132</v>
      </c>
      <c r="AH62" s="38">
        <f t="shared" si="160"/>
        <v>3.5805084429763157</v>
      </c>
      <c r="AI62" s="38">
        <f t="shared" si="160"/>
        <v>-6.6042736671756861E-3</v>
      </c>
      <c r="AJ62" s="38">
        <f t="shared" si="160"/>
        <v>-6.6221602416912263E-3</v>
      </c>
      <c r="AK62" s="38">
        <f t="shared" si="160"/>
        <v>-6.640095259012266E-3</v>
      </c>
      <c r="AL62" s="38">
        <f t="shared" si="160"/>
        <v>-6.6580788503389238E-3</v>
      </c>
      <c r="AM62" s="38">
        <f t="shared" si="160"/>
        <v>-6.6761111472253276E-3</v>
      </c>
      <c r="AN62" s="38">
        <f t="shared" si="160"/>
        <v>-6.6941922815822253E-3</v>
      </c>
      <c r="AO62" s="38">
        <f t="shared" si="160"/>
        <v>-6.7123223856781064E-3</v>
      </c>
      <c r="AP62" s="38">
        <f t="shared" si="160"/>
        <v>-6.7305015921395751E-3</v>
      </c>
      <c r="AQ62" s="38">
        <f t="shared" si="160"/>
        <v>-6.7487300339513466E-3</v>
      </c>
      <c r="AR62" s="38">
        <f t="shared" si="160"/>
        <v>-6.7670078444599822E-3</v>
      </c>
      <c r="AS62" s="38">
        <f t="shared" si="160"/>
        <v>-6.7853351573720208E-3</v>
      </c>
      <c r="AT62" s="38">
        <f t="shared" si="160"/>
        <v>-6.8037121067565914E-3</v>
      </c>
      <c r="AU62" s="38">
        <f t="shared" si="160"/>
        <v>-6.8221388270457871E-3</v>
      </c>
      <c r="AV62" s="38">
        <f t="shared" si="160"/>
        <v>-6.8406154530357812E-3</v>
      </c>
      <c r="AW62" s="38">
        <f t="shared" si="160"/>
        <v>-6.8591421198875751E-3</v>
      </c>
    </row>
    <row r="63" spans="1:49" x14ac:dyDescent="0.25">
      <c r="A63">
        <v>456311</v>
      </c>
      <c r="B63" t="s">
        <v>299</v>
      </c>
      <c r="C63" s="53"/>
      <c r="D63" s="38">
        <f t="shared" ref="D63" si="161">-(SUM(D51:D52)-SUM(C51:C52))</f>
        <v>0</v>
      </c>
      <c r="E63" s="38">
        <f t="shared" ref="E63" si="162">-(SUM(E51:E52)-SUM(D51:D52))</f>
        <v>0</v>
      </c>
      <c r="F63" s="38">
        <f t="shared" ref="F63:AW63" si="163">-(SUM(F51:F52)-SUM(E51:E52))</f>
        <v>0</v>
      </c>
      <c r="G63" s="38">
        <f t="shared" si="163"/>
        <v>0</v>
      </c>
      <c r="H63" s="38">
        <f t="shared" si="163"/>
        <v>0</v>
      </c>
      <c r="I63" s="38">
        <f t="shared" si="163"/>
        <v>0</v>
      </c>
      <c r="J63" s="38">
        <f t="shared" si="163"/>
        <v>0</v>
      </c>
      <c r="K63" s="38">
        <f t="shared" si="163"/>
        <v>0</v>
      </c>
      <c r="L63" s="38">
        <f t="shared" si="163"/>
        <v>0</v>
      </c>
      <c r="M63" s="38">
        <f t="shared" si="163"/>
        <v>0</v>
      </c>
      <c r="N63" s="38">
        <f t="shared" si="163"/>
        <v>0</v>
      </c>
      <c r="O63" s="38">
        <f t="shared" si="163"/>
        <v>0</v>
      </c>
      <c r="P63" s="38">
        <f t="shared" si="163"/>
        <v>0</v>
      </c>
      <c r="Q63" s="38">
        <f t="shared" si="163"/>
        <v>0</v>
      </c>
      <c r="R63" s="38">
        <f t="shared" si="163"/>
        <v>0</v>
      </c>
      <c r="S63" s="38">
        <f t="shared" si="163"/>
        <v>0</v>
      </c>
      <c r="T63" s="38">
        <f t="shared" si="163"/>
        <v>0</v>
      </c>
      <c r="U63" s="38">
        <f t="shared" si="163"/>
        <v>0</v>
      </c>
      <c r="V63" s="38">
        <f t="shared" si="163"/>
        <v>0</v>
      </c>
      <c r="W63" s="38">
        <f t="shared" si="163"/>
        <v>0</v>
      </c>
      <c r="X63" s="38">
        <f t="shared" si="163"/>
        <v>0</v>
      </c>
      <c r="Y63" s="38">
        <f t="shared" si="163"/>
        <v>0</v>
      </c>
      <c r="Z63" s="38">
        <f t="shared" si="163"/>
        <v>0</v>
      </c>
      <c r="AA63" s="38">
        <f t="shared" si="163"/>
        <v>0</v>
      </c>
      <c r="AB63" s="38">
        <f t="shared" si="163"/>
        <v>0</v>
      </c>
      <c r="AC63" s="38">
        <f t="shared" si="163"/>
        <v>0</v>
      </c>
      <c r="AD63" s="38">
        <f t="shared" si="163"/>
        <v>0</v>
      </c>
      <c r="AE63" s="38">
        <f t="shared" si="163"/>
        <v>0</v>
      </c>
      <c r="AF63" s="38">
        <f t="shared" si="163"/>
        <v>0</v>
      </c>
      <c r="AG63" s="38">
        <f t="shared" si="163"/>
        <v>0</v>
      </c>
      <c r="AH63" s="38">
        <f t="shared" si="163"/>
        <v>0</v>
      </c>
      <c r="AI63" s="38">
        <f t="shared" si="163"/>
        <v>0</v>
      </c>
      <c r="AJ63" s="38">
        <f t="shared" si="163"/>
        <v>0</v>
      </c>
      <c r="AK63" s="38">
        <f t="shared" si="163"/>
        <v>0</v>
      </c>
      <c r="AL63" s="38">
        <f t="shared" si="163"/>
        <v>0</v>
      </c>
      <c r="AM63" s="38">
        <f t="shared" si="163"/>
        <v>0</v>
      </c>
      <c r="AN63" s="38">
        <f t="shared" si="163"/>
        <v>0</v>
      </c>
      <c r="AO63" s="38">
        <f t="shared" si="163"/>
        <v>0</v>
      </c>
      <c r="AP63" s="38">
        <f t="shared" si="163"/>
        <v>0</v>
      </c>
      <c r="AQ63" s="38">
        <f t="shared" si="163"/>
        <v>0</v>
      </c>
      <c r="AR63" s="38">
        <f t="shared" si="163"/>
        <v>0</v>
      </c>
      <c r="AS63" s="38">
        <f t="shared" si="163"/>
        <v>0</v>
      </c>
      <c r="AT63" s="38">
        <f t="shared" si="163"/>
        <v>0</v>
      </c>
      <c r="AU63" s="38">
        <f t="shared" si="163"/>
        <v>0</v>
      </c>
      <c r="AV63" s="38">
        <f t="shared" si="163"/>
        <v>0</v>
      </c>
      <c r="AW63" s="38">
        <f t="shared" si="163"/>
        <v>0</v>
      </c>
    </row>
    <row r="64" spans="1:49" x14ac:dyDescent="0.25">
      <c r="A64">
        <v>449100</v>
      </c>
      <c r="B64" t="s">
        <v>286</v>
      </c>
      <c r="C64" s="253">
        <v>0</v>
      </c>
      <c r="D64" s="253"/>
      <c r="E64" s="253"/>
      <c r="F64" s="253"/>
      <c r="G64" s="253"/>
      <c r="H64" s="253"/>
      <c r="I64" s="253">
        <v>0</v>
      </c>
      <c r="K64" s="254"/>
      <c r="L64" s="253">
        <v>0</v>
      </c>
      <c r="N64" s="53"/>
      <c r="O64" s="253">
        <v>0</v>
      </c>
      <c r="P64" s="151"/>
      <c r="R64" s="253"/>
      <c r="U64" s="253"/>
      <c r="W64" s="254"/>
      <c r="X64" s="253"/>
      <c r="Z64" s="53"/>
      <c r="AA64" s="253"/>
      <c r="AB64" s="151"/>
      <c r="AD64" s="253"/>
      <c r="AG64" s="253"/>
      <c r="AI64" s="254"/>
      <c r="AJ64" s="253"/>
      <c r="AL64" s="53"/>
      <c r="AM64" s="253"/>
      <c r="AN64" s="151"/>
      <c r="AP64" s="253"/>
      <c r="AS64" s="253"/>
      <c r="AU64" s="254"/>
      <c r="AV64" s="253"/>
    </row>
    <row r="65" spans="3:8" x14ac:dyDescent="0.25">
      <c r="C65" s="53"/>
      <c r="D65" s="53"/>
      <c r="E65" s="53"/>
      <c r="F65" s="53"/>
      <c r="G65" s="53"/>
      <c r="H65" s="53"/>
    </row>
    <row r="66" spans="3:8" x14ac:dyDescent="0.25">
      <c r="C66" s="53"/>
      <c r="D66" s="53"/>
      <c r="E66" s="53"/>
      <c r="F66" s="53"/>
      <c r="G66" s="53"/>
      <c r="H66" s="53"/>
    </row>
    <row r="67" spans="3:8" x14ac:dyDescent="0.25">
      <c r="C67" s="53"/>
      <c r="D67" s="53"/>
      <c r="E67" s="53"/>
      <c r="F67" s="53"/>
      <c r="G67" s="53"/>
      <c r="H67" s="53"/>
    </row>
  </sheetData>
  <mergeCells count="2">
    <mergeCell ref="A2:B2"/>
    <mergeCell ref="A34:B34"/>
  </mergeCells>
  <printOptions horizontalCentered="1"/>
  <pageMargins left="0.45" right="0.45" top="0.5" bottom="0.5" header="0.3" footer="0.3"/>
  <pageSetup scale="57" fitToWidth="3" orientation="landscape" useFirstPageNumber="1" r:id="rId1"/>
  <headerFooter scaleWithDoc="0">
    <oddFooter>&amp;L&amp;F / &amp;A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03"/>
  <sheetViews>
    <sheetView zoomScaleNormal="100" workbookViewId="0">
      <selection activeCell="O6" sqref="O6"/>
    </sheetView>
  </sheetViews>
  <sheetFormatPr defaultRowHeight="15" x14ac:dyDescent="0.25"/>
  <cols>
    <col min="1" max="1" width="9.42578125" customWidth="1"/>
    <col min="2" max="2" width="33" customWidth="1"/>
    <col min="3" max="3" width="18.5703125" customWidth="1"/>
    <col min="4" max="5" width="15" hidden="1" customWidth="1"/>
    <col min="6" max="6" width="16.140625" hidden="1" customWidth="1"/>
    <col min="7" max="9" width="13.42578125" hidden="1" customWidth="1"/>
    <col min="10" max="10" width="12.28515625" hidden="1" customWidth="1"/>
    <col min="11" max="13" width="13.42578125" hidden="1" customWidth="1"/>
    <col min="14" max="15" width="15" customWidth="1"/>
    <col min="16" max="16" width="4.7109375" customWidth="1"/>
    <col min="17" max="17" width="15" customWidth="1"/>
  </cols>
  <sheetData>
    <row r="1" spans="1:17" ht="15.75" x14ac:dyDescent="0.25">
      <c r="A1" s="424" t="s">
        <v>0</v>
      </c>
      <c r="B1" s="424"/>
      <c r="C1" s="424"/>
      <c r="D1" s="424"/>
      <c r="E1" s="424"/>
      <c r="F1" s="424"/>
      <c r="G1" s="424"/>
      <c r="H1" s="424"/>
      <c r="I1" s="424"/>
      <c r="J1" s="424"/>
      <c r="K1" s="424"/>
      <c r="L1" s="424"/>
      <c r="M1" s="424"/>
      <c r="N1" s="424"/>
      <c r="O1" s="424"/>
      <c r="P1" s="394"/>
      <c r="Q1" s="106"/>
    </row>
    <row r="2" spans="1:17" ht="42" customHeight="1" x14ac:dyDescent="0.25">
      <c r="A2" s="427" t="s">
        <v>334</v>
      </c>
      <c r="B2" s="424"/>
      <c r="C2" s="424"/>
      <c r="D2" s="424"/>
      <c r="E2" s="424"/>
      <c r="F2" s="424"/>
      <c r="G2" s="424"/>
      <c r="H2" s="424"/>
      <c r="I2" s="424"/>
      <c r="J2" s="424"/>
      <c r="K2" s="424"/>
      <c r="L2" s="424"/>
      <c r="M2" s="424"/>
      <c r="N2" s="424"/>
      <c r="O2" s="424"/>
      <c r="P2" s="394"/>
      <c r="Q2" s="106"/>
    </row>
    <row r="3" spans="1:17" ht="15.75" customHeight="1" x14ac:dyDescent="0.25">
      <c r="A3" s="428" t="s">
        <v>312</v>
      </c>
      <c r="B3" s="424"/>
      <c r="C3" s="424"/>
      <c r="D3" s="424"/>
      <c r="E3" s="424"/>
      <c r="F3" s="424"/>
      <c r="G3" s="424"/>
      <c r="H3" s="424"/>
      <c r="I3" s="424"/>
      <c r="J3" s="424"/>
      <c r="K3" s="424"/>
      <c r="L3" s="424"/>
      <c r="M3" s="424"/>
      <c r="N3" s="424"/>
      <c r="O3" s="424"/>
      <c r="P3" s="394"/>
      <c r="Q3" s="106"/>
    </row>
    <row r="4" spans="1:17" ht="15" customHeight="1" x14ac:dyDescent="0.25">
      <c r="A4" s="107"/>
      <c r="B4" s="105"/>
      <c r="C4" s="105"/>
      <c r="D4" s="56"/>
      <c r="E4" s="105"/>
      <c r="F4" s="105"/>
      <c r="G4" s="105"/>
      <c r="H4" s="105"/>
      <c r="I4" s="105"/>
      <c r="J4" s="105"/>
      <c r="K4" s="105"/>
      <c r="L4" s="105"/>
      <c r="M4" s="105"/>
      <c r="N4" s="105"/>
      <c r="O4" s="105"/>
      <c r="P4" s="394"/>
      <c r="Q4" s="106"/>
    </row>
    <row r="5" spans="1:17" x14ac:dyDescent="0.25">
      <c r="A5" s="55"/>
      <c r="B5" s="55"/>
      <c r="C5" s="55"/>
      <c r="D5" s="56"/>
      <c r="E5" s="108"/>
      <c r="F5" s="108"/>
      <c r="G5" s="108"/>
      <c r="H5" s="161"/>
      <c r="I5" s="108"/>
      <c r="J5" s="108"/>
      <c r="K5" s="108"/>
      <c r="L5" s="108"/>
      <c r="M5" s="108"/>
      <c r="N5" s="108"/>
      <c r="O5" s="108"/>
      <c r="P5" s="108"/>
      <c r="Q5" s="106"/>
    </row>
    <row r="6" spans="1:17" x14ac:dyDescent="0.25">
      <c r="A6" s="109" t="s">
        <v>40</v>
      </c>
      <c r="B6" s="110"/>
      <c r="C6" s="111" t="s">
        <v>41</v>
      </c>
      <c r="D6" s="112">
        <v>43831</v>
      </c>
      <c r="E6" s="112">
        <f t="shared" ref="E6:O6" si="0">EDATE(D6,1)</f>
        <v>43862</v>
      </c>
      <c r="F6" s="112">
        <f t="shared" si="0"/>
        <v>43891</v>
      </c>
      <c r="G6" s="293">
        <f t="shared" si="0"/>
        <v>43922</v>
      </c>
      <c r="H6" s="112">
        <f t="shared" si="0"/>
        <v>43952</v>
      </c>
      <c r="I6" s="112">
        <f t="shared" si="0"/>
        <v>43983</v>
      </c>
      <c r="J6" s="112">
        <f t="shared" si="0"/>
        <v>44013</v>
      </c>
      <c r="K6" s="112">
        <f t="shared" si="0"/>
        <v>44044</v>
      </c>
      <c r="L6" s="112">
        <f t="shared" si="0"/>
        <v>44075</v>
      </c>
      <c r="M6" s="112">
        <f t="shared" si="0"/>
        <v>44105</v>
      </c>
      <c r="N6" s="112">
        <f t="shared" si="0"/>
        <v>44136</v>
      </c>
      <c r="O6" s="112">
        <f t="shared" si="0"/>
        <v>44166</v>
      </c>
      <c r="P6" s="112"/>
      <c r="Q6" s="112" t="s">
        <v>59</v>
      </c>
    </row>
    <row r="7" spans="1:17" ht="16.899999999999999" customHeight="1" x14ac:dyDescent="0.25">
      <c r="A7" s="56"/>
      <c r="B7" s="56" t="s">
        <v>44</v>
      </c>
      <c r="C7" s="56" t="s">
        <v>45</v>
      </c>
      <c r="D7" s="56" t="s">
        <v>46</v>
      </c>
      <c r="E7" s="56" t="s">
        <v>47</v>
      </c>
      <c r="F7" s="56" t="s">
        <v>74</v>
      </c>
      <c r="G7" s="294" t="s">
        <v>75</v>
      </c>
      <c r="H7" s="162" t="s">
        <v>76</v>
      </c>
      <c r="I7" s="56" t="s">
        <v>77</v>
      </c>
      <c r="J7" s="56" t="s">
        <v>78</v>
      </c>
      <c r="K7" s="56" t="s">
        <v>79</v>
      </c>
      <c r="L7" s="56" t="s">
        <v>80</v>
      </c>
      <c r="M7" s="56" t="s">
        <v>81</v>
      </c>
      <c r="N7" s="56" t="s">
        <v>82</v>
      </c>
      <c r="O7" s="56" t="s">
        <v>83</v>
      </c>
      <c r="P7" s="56"/>
      <c r="Q7" s="56" t="s">
        <v>84</v>
      </c>
    </row>
    <row r="8" spans="1:17" x14ac:dyDescent="0.25">
      <c r="A8" s="56"/>
      <c r="B8" s="56"/>
      <c r="C8" s="56"/>
      <c r="D8" s="56"/>
      <c r="E8" s="56"/>
      <c r="F8" s="56"/>
      <c r="G8" s="294"/>
      <c r="H8" s="162"/>
      <c r="I8" s="56"/>
      <c r="J8" s="56"/>
      <c r="K8" s="56"/>
      <c r="L8" s="56"/>
      <c r="M8" s="56"/>
      <c r="N8" s="56"/>
      <c r="O8" s="56"/>
      <c r="P8" s="56"/>
      <c r="Q8" s="56"/>
    </row>
    <row r="9" spans="1:17" x14ac:dyDescent="0.25">
      <c r="A9" s="56"/>
      <c r="B9" s="113" t="s">
        <v>161</v>
      </c>
      <c r="C9" s="56"/>
      <c r="D9" s="56"/>
      <c r="E9" s="56"/>
      <c r="F9" s="56"/>
      <c r="G9" s="294"/>
      <c r="H9" s="162"/>
      <c r="I9" s="56"/>
      <c r="J9" s="56"/>
      <c r="K9" s="56"/>
      <c r="L9" s="56"/>
      <c r="M9" s="56"/>
      <c r="N9" s="56"/>
      <c r="O9" s="56"/>
      <c r="P9" s="56"/>
      <c r="Q9" s="106"/>
    </row>
    <row r="10" spans="1:17" x14ac:dyDescent="0.25">
      <c r="A10" s="56">
        <v>1</v>
      </c>
      <c r="B10" s="55" t="s">
        <v>162</v>
      </c>
      <c r="C10" s="56" t="s">
        <v>163</v>
      </c>
      <c r="D10" s="56"/>
      <c r="E10" s="56"/>
      <c r="F10" s="56"/>
      <c r="G10" s="295">
        <f>'04.2020 Base Rate Revenue'!$C16</f>
        <v>167876</v>
      </c>
      <c r="H10" s="114">
        <f>'05.2020 Base Rate Revenue'!$C16</f>
        <v>167226</v>
      </c>
      <c r="I10" s="114">
        <f>'06.2020 Base Rate Revenue'!$C16</f>
        <v>168009</v>
      </c>
      <c r="J10" s="114">
        <f>'07.2020 Base Rate Revenue'!$C16</f>
        <v>168008</v>
      </c>
      <c r="K10" s="114">
        <f>'08.2020 Base Rate Revenue'!$C16</f>
        <v>167867</v>
      </c>
      <c r="L10" s="114">
        <f>'09.2020 Base Rate Revenue'!$C16</f>
        <v>168830</v>
      </c>
      <c r="M10" s="114">
        <f>'10.2020 Base Rate Revenue'!$C16</f>
        <v>168858</v>
      </c>
      <c r="N10" s="114">
        <f>'11.2020 Base Rate Revenue'!$C16</f>
        <v>168988</v>
      </c>
      <c r="O10" s="114">
        <f>'12.2020 Base Rate Revenue'!$C16</f>
        <v>169632</v>
      </c>
      <c r="P10" s="114"/>
      <c r="Q10" s="106"/>
    </row>
    <row r="11" spans="1:17" x14ac:dyDescent="0.25">
      <c r="A11" s="56">
        <v>2</v>
      </c>
      <c r="B11" s="136" t="s">
        <v>332</v>
      </c>
      <c r="C11" s="56" t="s">
        <v>163</v>
      </c>
      <c r="D11" s="56"/>
      <c r="E11" s="56"/>
      <c r="F11" s="56"/>
      <c r="G11" s="295">
        <f>'04.2020 Base Rate Revenue'!$I16</f>
        <v>8680515.4363800008</v>
      </c>
      <c r="H11" s="114">
        <f>'05.2020 Base Rate Revenue'!$I16</f>
        <v>5177292.2706300002</v>
      </c>
      <c r="I11" s="114">
        <f>'06.2020 Base Rate Revenue'!$I16</f>
        <v>3321590.0041199997</v>
      </c>
      <c r="J11" s="114">
        <f>'07.2020 Base Rate Revenue'!$I16</f>
        <v>2633257.6504199998</v>
      </c>
      <c r="K11" s="114">
        <f>'08.2020 Base Rate Revenue'!$I16</f>
        <v>2239101.1601499999</v>
      </c>
      <c r="L11" s="114">
        <f>'09.2020 Base Rate Revenue'!$I16</f>
        <v>2847296.4844299997</v>
      </c>
      <c r="M11" s="114">
        <f>'10.2020 Base Rate Revenue'!$I16</f>
        <v>8977248.5705399998</v>
      </c>
      <c r="N11" s="114">
        <f>'11.2020 Base Rate Revenue'!$I16</f>
        <v>17157822.990000002</v>
      </c>
      <c r="O11" s="114">
        <f>'12.2020 Base Rate Revenue'!$I16</f>
        <v>21531817.68</v>
      </c>
      <c r="P11" s="114"/>
      <c r="Q11" s="106"/>
    </row>
    <row r="12" spans="1:17" x14ac:dyDescent="0.25">
      <c r="A12" s="56">
        <v>3</v>
      </c>
      <c r="B12" s="55" t="s">
        <v>329</v>
      </c>
      <c r="C12" s="56" t="s">
        <v>163</v>
      </c>
      <c r="D12" s="56"/>
      <c r="E12" s="56"/>
      <c r="F12" s="56"/>
      <c r="G12" s="296">
        <f>'04.2020 Base Rate Revenue'!$I36</f>
        <v>5252399.1651499998</v>
      </c>
      <c r="H12" s="123">
        <f>'05.2020 Base Rate Revenue'!$I36</f>
        <v>3776494.5376899997</v>
      </c>
      <c r="I12" s="123">
        <f>'06.2020 Base Rate Revenue'!$I36</f>
        <v>3000532.4151799995</v>
      </c>
      <c r="J12" s="123">
        <f>'07.2020 Base Rate Revenue'!$I36</f>
        <v>2761937.1970799998</v>
      </c>
      <c r="K12" s="123">
        <f>'08.2020 Base Rate Revenue'!$I36</f>
        <v>2607616.0860400004</v>
      </c>
      <c r="L12" s="123">
        <f>'09.2020 Base Rate Revenue'!$I36</f>
        <v>2797558.38913</v>
      </c>
      <c r="M12" s="123">
        <f>'10.2020 Base Rate Revenue'!$I36</f>
        <v>5409453.3911500005</v>
      </c>
      <c r="N12" s="123">
        <f>'11.2020 Base Rate Revenue'!$I36</f>
        <v>9409132.8969499972</v>
      </c>
      <c r="O12" s="123">
        <f>'12.2020 Base Rate Revenue'!$I36</f>
        <v>11826569.679900004</v>
      </c>
      <c r="P12" s="123"/>
      <c r="Q12" s="106"/>
    </row>
    <row r="13" spans="1:17" x14ac:dyDescent="0.25">
      <c r="A13" s="56">
        <v>4</v>
      </c>
      <c r="B13" s="55" t="s">
        <v>165</v>
      </c>
      <c r="C13" s="56" t="s">
        <v>163</v>
      </c>
      <c r="D13" s="56"/>
      <c r="E13" s="56"/>
      <c r="F13" s="56"/>
      <c r="G13" s="296">
        <f>'04.2020 Base Rate Revenue'!$C36</f>
        <v>1613347</v>
      </c>
      <c r="H13" s="123">
        <f>'05.2020 Base Rate Revenue'!$C36</f>
        <v>1609139.5</v>
      </c>
      <c r="I13" s="123">
        <f>'06.2020 Base Rate Revenue'!$C36</f>
        <v>1623885</v>
      </c>
      <c r="J13" s="123">
        <f>'07.2020 Base Rate Revenue'!$C36</f>
        <v>1623369.5</v>
      </c>
      <c r="K13" s="123">
        <f>'08.2020 Base Rate Revenue'!$C36</f>
        <v>1621146.5</v>
      </c>
      <c r="L13" s="123">
        <f>'09.2020 Base Rate Revenue'!$C36</f>
        <v>1628022</v>
      </c>
      <c r="M13" s="123">
        <f>'10.2020 Base Rate Revenue'!$C36</f>
        <v>1627063</v>
      </c>
      <c r="N13" s="123">
        <f>'11.2020 Base Rate Revenue'!$C36</f>
        <v>1625839.5</v>
      </c>
      <c r="O13" s="123">
        <f>'12.2020 Base Rate Revenue'!$C36</f>
        <v>1629449.5</v>
      </c>
      <c r="P13" s="123"/>
      <c r="Q13" s="106"/>
    </row>
    <row r="14" spans="1:17" ht="20.25" customHeight="1" x14ac:dyDescent="0.25">
      <c r="A14" s="56">
        <v>5</v>
      </c>
      <c r="B14" s="55" t="s">
        <v>330</v>
      </c>
      <c r="C14" s="56" t="s">
        <v>163</v>
      </c>
      <c r="D14" s="56"/>
      <c r="E14" s="56"/>
      <c r="F14" s="56"/>
      <c r="G14" s="320">
        <f>'04.2020 Base Rate Revenue'!$C$82</f>
        <v>4208</v>
      </c>
      <c r="H14" s="322">
        <f>'05.2020 Base Rate Revenue'!$C$82</f>
        <v>4233</v>
      </c>
      <c r="I14" s="322">
        <f>'06.2020 Base Rate Revenue'!$C$82</f>
        <v>4349</v>
      </c>
      <c r="J14" s="322">
        <f>'07.2020 Base Rate Revenue'!$C$82</f>
        <v>4745</v>
      </c>
      <c r="K14" s="322">
        <f>'08.2020 Base Rate Revenue'!$C$82</f>
        <v>4977</v>
      </c>
      <c r="L14" s="322">
        <f>'09.2020 Base Rate Revenue'!$C$82</f>
        <v>5290</v>
      </c>
      <c r="M14" s="322">
        <f>'10.2020 Base Rate Revenue'!$C$82</f>
        <v>5449</v>
      </c>
      <c r="N14" s="322">
        <f>'11.2020 Base Rate Revenue'!$C$82</f>
        <v>5715</v>
      </c>
      <c r="O14" s="322">
        <f>'12.2020 Base Rate Revenue'!$C$82</f>
        <v>5901</v>
      </c>
      <c r="P14" s="322"/>
      <c r="Q14" s="106"/>
    </row>
    <row r="15" spans="1:17" x14ac:dyDescent="0.25">
      <c r="A15" s="56">
        <v>6</v>
      </c>
      <c r="B15" s="136" t="s">
        <v>354</v>
      </c>
      <c r="C15" s="56" t="s">
        <v>163</v>
      </c>
      <c r="D15" s="56"/>
      <c r="E15" s="56"/>
      <c r="F15" s="56"/>
      <c r="G15" s="320">
        <f>'04.2020 Base Rate Revenue'!$D$82</f>
        <v>268677</v>
      </c>
      <c r="H15" s="322">
        <f>'05.2020 Base Rate Revenue'!$D$82</f>
        <v>120935.51622</v>
      </c>
      <c r="I15" s="322">
        <f>'06.2020 Base Rate Revenue'!$D$82</f>
        <v>82419.100000000006</v>
      </c>
      <c r="J15" s="322">
        <f>'07.2020 Base Rate Revenue'!$D$82</f>
        <v>54756.319149999996</v>
      </c>
      <c r="K15" s="322">
        <f>'08.2020 Base Rate Revenue'!$D$82</f>
        <v>35744.457240000003</v>
      </c>
      <c r="L15" s="322">
        <f>'09.2020 Base Rate Revenue'!$D$82</f>
        <v>44184.928159999996</v>
      </c>
      <c r="M15" s="322">
        <f>'10.2020 Base Rate Revenue'!$D$82</f>
        <v>100287</v>
      </c>
      <c r="N15" s="322">
        <f>'11.2020 Base Rate Revenue'!$D$82</f>
        <v>370194.34148</v>
      </c>
      <c r="O15" s="322">
        <f>'12.2020 Base Rate Revenue'!$D$82</f>
        <v>614290.78149999992</v>
      </c>
      <c r="P15" s="322"/>
      <c r="Q15" s="106"/>
    </row>
    <row r="16" spans="1:17" x14ac:dyDescent="0.25">
      <c r="A16" s="56">
        <v>7</v>
      </c>
      <c r="B16" s="55" t="s">
        <v>331</v>
      </c>
      <c r="C16" s="56" t="s">
        <v>163</v>
      </c>
      <c r="D16" s="56"/>
      <c r="E16" s="56"/>
      <c r="F16" s="56"/>
      <c r="G16" s="321">
        <f>'04.2020 Base Rate Revenue'!$F$82</f>
        <v>153300.92000000001</v>
      </c>
      <c r="H16" s="323">
        <f>'05.2020 Base Rate Revenue'!$F$82</f>
        <v>92622.14</v>
      </c>
      <c r="I16" s="323">
        <f>'06.2020 Base Rate Revenue'!$F$82</f>
        <v>77766.52</v>
      </c>
      <c r="J16" s="323">
        <f>'07.2020 Base Rate Revenue'!$F$82</f>
        <v>69541.41</v>
      </c>
      <c r="K16" s="323">
        <f>'08.2020 Base Rate Revenue'!$F$82</f>
        <v>62486.350000000006</v>
      </c>
      <c r="L16" s="323">
        <f>'09.2020 Base Rate Revenue'!$F$82</f>
        <v>69408.45</v>
      </c>
      <c r="M16" s="323">
        <f>'10.2020 Base Rate Revenue'!$F$82</f>
        <v>94794.75</v>
      </c>
      <c r="N16" s="323">
        <f>'11.2020 Base Rate Revenue'!$F$82</f>
        <v>219658.68</v>
      </c>
      <c r="O16" s="323">
        <f>'12.2020 Base Rate Revenue'!$F$82</f>
        <v>343300.71</v>
      </c>
      <c r="P16" s="323"/>
      <c r="Q16" s="106"/>
    </row>
    <row r="17" spans="1:17" x14ac:dyDescent="0.25">
      <c r="A17" s="56">
        <v>8</v>
      </c>
      <c r="B17" s="55" t="s">
        <v>333</v>
      </c>
      <c r="C17" s="56" t="s">
        <v>163</v>
      </c>
      <c r="D17" s="56"/>
      <c r="E17" s="56"/>
      <c r="F17" s="56"/>
      <c r="G17" s="321">
        <f>'04.2020 Base Rate Revenue'!$E$82</f>
        <v>40631.5</v>
      </c>
      <c r="H17" s="323">
        <f>'05.2020 Base Rate Revenue'!$E$82</f>
        <v>41053.660000000003</v>
      </c>
      <c r="I17" s="323">
        <f>'06.2020 Base Rate Revenue'!$E$82</f>
        <v>42531.5</v>
      </c>
      <c r="J17" s="323">
        <f>'07.2020 Base Rate Revenue'!$E$82</f>
        <v>45847</v>
      </c>
      <c r="K17" s="323">
        <f>'08.2020 Base Rate Revenue'!$E$82</f>
        <v>47224.5</v>
      </c>
      <c r="L17" s="323">
        <f>'09.2020 Base Rate Revenue'!$E$82</f>
        <v>50372.06</v>
      </c>
      <c r="M17" s="323">
        <f>'10.2020 Base Rate Revenue'!$E$82</f>
        <v>51661</v>
      </c>
      <c r="N17" s="323">
        <f>'11.2020 Base Rate Revenue'!$E$82</f>
        <v>54542.559999999998</v>
      </c>
      <c r="O17" s="323">
        <f>'12.2020 Base Rate Revenue'!$E$82</f>
        <v>56078.5</v>
      </c>
      <c r="P17" s="323"/>
      <c r="Q17" s="106"/>
    </row>
    <row r="18" spans="1:17" x14ac:dyDescent="0.25">
      <c r="A18" s="56"/>
      <c r="B18" s="113"/>
      <c r="C18" s="56"/>
      <c r="D18" s="56"/>
      <c r="E18" s="56"/>
      <c r="F18" s="56"/>
      <c r="G18" s="294"/>
      <c r="H18" s="162"/>
      <c r="I18" s="56"/>
      <c r="J18" s="56"/>
      <c r="K18" s="56"/>
      <c r="L18" s="56"/>
      <c r="M18" s="56"/>
      <c r="N18" s="56"/>
      <c r="O18" s="56"/>
      <c r="P18" s="56"/>
      <c r="Q18" s="106"/>
    </row>
    <row r="19" spans="1:17" x14ac:dyDescent="0.25">
      <c r="A19" s="56">
        <v>9</v>
      </c>
      <c r="B19" s="55" t="s">
        <v>355</v>
      </c>
      <c r="C19" s="56" t="str">
        <f>"("&amp;A10&amp;") - ("&amp;A14&amp;")"</f>
        <v>(1) - (5)</v>
      </c>
      <c r="D19" s="114">
        <f>'01.2020 Base Rate Revenue'!$C16</f>
        <v>167769</v>
      </c>
      <c r="E19" s="114">
        <f>'02.2020 Base Rate Revenue'!$C16+'02.2020 Base Rate Revenue'!D16</f>
        <v>167465</v>
      </c>
      <c r="F19" s="114">
        <f>'03.2020 Base Rate Revenue'!$C16+'03.2020 Base Rate Revenue'!D16</f>
        <v>167740</v>
      </c>
      <c r="G19" s="318">
        <f>G10-G14</f>
        <v>163668</v>
      </c>
      <c r="H19" s="115">
        <f t="shared" ref="H19:O19" si="1">H10-H14</f>
        <v>162993</v>
      </c>
      <c r="I19" s="115">
        <f>I10-I14</f>
        <v>163660</v>
      </c>
      <c r="J19" s="115">
        <f t="shared" si="1"/>
        <v>163263</v>
      </c>
      <c r="K19" s="115">
        <f t="shared" si="1"/>
        <v>162890</v>
      </c>
      <c r="L19" s="115">
        <f t="shared" si="1"/>
        <v>163540</v>
      </c>
      <c r="M19" s="115">
        <f t="shared" si="1"/>
        <v>163409</v>
      </c>
      <c r="N19" s="115">
        <f t="shared" si="1"/>
        <v>163273</v>
      </c>
      <c r="O19" s="115">
        <f t="shared" si="1"/>
        <v>163731</v>
      </c>
      <c r="P19" s="115"/>
      <c r="Q19" s="115">
        <f>SUM(D19:O19)</f>
        <v>1973401</v>
      </c>
    </row>
    <row r="20" spans="1:17" ht="25.5" x14ac:dyDescent="0.25">
      <c r="A20" s="116">
        <f t="shared" ref="A20:A21" si="2">A19+1</f>
        <v>10</v>
      </c>
      <c r="B20" s="117" t="s">
        <v>164</v>
      </c>
      <c r="C20" s="118" t="s">
        <v>359</v>
      </c>
      <c r="D20" s="119">
        <f>'UG-170486 Auth Base'!D90</f>
        <v>55.60659793197712</v>
      </c>
      <c r="E20" s="119">
        <f>'UG-170486 Auth Base'!E90</f>
        <v>44.263101987627543</v>
      </c>
      <c r="F20" s="119">
        <f>'UG-170486 Auth Base'!F90</f>
        <v>36.07004415129321</v>
      </c>
      <c r="G20" s="297">
        <f>'UG-190335 Auth Base'!G90</f>
        <v>27.528453134263444</v>
      </c>
      <c r="H20" s="119">
        <f>'UG-190335 Auth Base'!H90</f>
        <v>16.274018081808052</v>
      </c>
      <c r="I20" s="119">
        <f>'UG-190335 Auth Base'!I90</f>
        <v>8.7168382222626644</v>
      </c>
      <c r="J20" s="119">
        <f>'UG-190335 Auth Base'!J90</f>
        <v>6.4785954827932208</v>
      </c>
      <c r="K20" s="119">
        <f>'UG-190335 Auth Base'!K90</f>
        <v>6.2518978959999378</v>
      </c>
      <c r="L20" s="119">
        <f>'UG-190335 Auth Base'!L90</f>
        <v>8.6899263250780123</v>
      </c>
      <c r="M20" s="119">
        <f>'UG-190335 Auth Base'!M90</f>
        <v>24.177876885571344</v>
      </c>
      <c r="N20" s="119">
        <f>'UG-190335 Auth Base'!N90</f>
        <v>45.04821131204578</v>
      </c>
      <c r="O20" s="119">
        <f>'UG-190335 Auth Base'!O90</f>
        <v>63.76693227791737</v>
      </c>
      <c r="P20" s="119"/>
      <c r="Q20" s="119">
        <f>SUM(D20:O20)</f>
        <v>342.87249368863769</v>
      </c>
    </row>
    <row r="21" spans="1:17" x14ac:dyDescent="0.25">
      <c r="A21" s="56">
        <f t="shared" si="2"/>
        <v>11</v>
      </c>
      <c r="B21" s="55" t="s">
        <v>27</v>
      </c>
      <c r="C21" s="56" t="str">
        <f>"("&amp;A19&amp;") x ("&amp;A20&amp;")"</f>
        <v>(9) x (10)</v>
      </c>
      <c r="D21" s="120">
        <f t="shared" ref="D21:N21" si="3">D19*D20</f>
        <v>9329063.3284498695</v>
      </c>
      <c r="E21" s="120">
        <f t="shared" si="3"/>
        <v>7412520.3743580468</v>
      </c>
      <c r="F21" s="120">
        <f t="shared" si="3"/>
        <v>6050389.2059379229</v>
      </c>
      <c r="G21" s="298">
        <f t="shared" si="3"/>
        <v>4505526.8675786294</v>
      </c>
      <c r="H21" s="163">
        <f t="shared" si="3"/>
        <v>2652551.02920814</v>
      </c>
      <c r="I21" s="120">
        <f t="shared" si="3"/>
        <v>1426597.7434555076</v>
      </c>
      <c r="J21" s="120">
        <f t="shared" si="3"/>
        <v>1057714.9343072695</v>
      </c>
      <c r="K21" s="120">
        <f t="shared" si="3"/>
        <v>1018371.6482794299</v>
      </c>
      <c r="L21" s="120">
        <f t="shared" si="3"/>
        <v>1421150.5512032581</v>
      </c>
      <c r="M21" s="120">
        <f t="shared" si="3"/>
        <v>3950882.6839943277</v>
      </c>
      <c r="N21" s="120">
        <f t="shared" si="3"/>
        <v>7355156.6055516507</v>
      </c>
      <c r="O21" s="408">
        <f>O19*O20+'Annual Adjustment (Dec Only)'!C16</f>
        <v>10420881.51666227</v>
      </c>
      <c r="P21" s="407" t="s">
        <v>409</v>
      </c>
      <c r="Q21" s="120">
        <f>SUM(D21:O21)</f>
        <v>56600806.488986321</v>
      </c>
    </row>
    <row r="22" spans="1:17" x14ac:dyDescent="0.25">
      <c r="A22" s="56"/>
      <c r="B22" s="55"/>
      <c r="C22" s="56"/>
      <c r="D22" s="120"/>
      <c r="E22" s="120"/>
      <c r="F22" s="120"/>
      <c r="G22" s="298"/>
      <c r="H22" s="163"/>
      <c r="I22" s="120"/>
      <c r="J22" s="120"/>
      <c r="K22" s="120"/>
      <c r="L22" s="120"/>
      <c r="M22" s="120"/>
      <c r="N22" s="120"/>
      <c r="O22" s="120"/>
      <c r="P22" s="120"/>
      <c r="Q22" s="120"/>
    </row>
    <row r="23" spans="1:17" x14ac:dyDescent="0.25">
      <c r="A23" s="56">
        <v>12</v>
      </c>
      <c r="B23" s="55" t="s">
        <v>356</v>
      </c>
      <c r="C23" s="56" t="str">
        <f>"("&amp;A11&amp;") - ("&amp;A15&amp;")"</f>
        <v>(2) - (6)</v>
      </c>
      <c r="D23" s="114">
        <f>'01.2020 Base Rate Revenue'!$I16</f>
        <v>19902225.49027</v>
      </c>
      <c r="E23" s="114">
        <f>'02.2020 Base Rate Revenue'!$I16</f>
        <v>18156995.431090001</v>
      </c>
      <c r="F23" s="114">
        <f>'03.2020 Base Rate Revenue'!$I16</f>
        <v>16737084.3763</v>
      </c>
      <c r="G23" s="318">
        <f>G11-G15</f>
        <v>8411838.4363800008</v>
      </c>
      <c r="H23" s="115">
        <f>H11-H15</f>
        <v>5056356.7544100005</v>
      </c>
      <c r="I23" s="115">
        <f t="shared" ref="I23:O23" si="4">I11-I15</f>
        <v>3239170.9041199996</v>
      </c>
      <c r="J23" s="115">
        <f t="shared" si="4"/>
        <v>2578501.33127</v>
      </c>
      <c r="K23" s="115">
        <f t="shared" si="4"/>
        <v>2203356.70291</v>
      </c>
      <c r="L23" s="115">
        <f t="shared" si="4"/>
        <v>2803111.5562699996</v>
      </c>
      <c r="M23" s="115">
        <f t="shared" si="4"/>
        <v>8876961.5705399998</v>
      </c>
      <c r="N23" s="115">
        <f t="shared" si="4"/>
        <v>16787628.64852</v>
      </c>
      <c r="O23" s="115">
        <f t="shared" si="4"/>
        <v>20917526.898499999</v>
      </c>
      <c r="P23" s="115"/>
      <c r="Q23" s="121">
        <f>SUM(D23:O23)</f>
        <v>125670758.10058001</v>
      </c>
    </row>
    <row r="24" spans="1:17" ht="26.25" x14ac:dyDescent="0.25">
      <c r="A24" s="56">
        <v>13</v>
      </c>
      <c r="B24" s="122" t="s">
        <v>357</v>
      </c>
      <c r="C24" s="56" t="str">
        <f>"("&amp;A12&amp;") - ("&amp;A16&amp;")"</f>
        <v>(3) - (7)</v>
      </c>
      <c r="D24" s="123">
        <f>'01.2020 Base Rate Revenue'!$I36</f>
        <v>11069164.310629999</v>
      </c>
      <c r="E24" s="123">
        <f>'02.2020 Base Rate Revenue'!$I36</f>
        <v>9201681.0988299996</v>
      </c>
      <c r="F24" s="123">
        <f>'03.2020 Base Rate Revenue'!$I36</f>
        <v>8457284.0481899995</v>
      </c>
      <c r="G24" s="319">
        <f>G12-G16</f>
        <v>5099098.2451499999</v>
      </c>
      <c r="H24" s="124">
        <f t="shared" ref="H24:O24" si="5">H12-H16</f>
        <v>3683872.3976899995</v>
      </c>
      <c r="I24" s="124">
        <f t="shared" si="5"/>
        <v>2922765.8951799995</v>
      </c>
      <c r="J24" s="124">
        <f t="shared" si="5"/>
        <v>2692395.7870799997</v>
      </c>
      <c r="K24" s="124">
        <f t="shared" si="5"/>
        <v>2545129.7360400003</v>
      </c>
      <c r="L24" s="124">
        <f t="shared" si="5"/>
        <v>2728149.9391299998</v>
      </c>
      <c r="M24" s="124">
        <f t="shared" si="5"/>
        <v>5314658.6411500005</v>
      </c>
      <c r="N24" s="124">
        <f t="shared" si="5"/>
        <v>9189474.2169499975</v>
      </c>
      <c r="O24" s="124">
        <f t="shared" si="5"/>
        <v>11483268.969900003</v>
      </c>
      <c r="P24" s="124"/>
      <c r="Q24" s="124">
        <f>SUM(D24:O24)</f>
        <v>74386943.285919994</v>
      </c>
    </row>
    <row r="25" spans="1:17" ht="27" customHeight="1" x14ac:dyDescent="0.25">
      <c r="A25" s="376">
        <v>14</v>
      </c>
      <c r="B25" s="380" t="s">
        <v>358</v>
      </c>
      <c r="C25" s="376" t="str">
        <f>"("&amp;A13&amp;") - ("&amp;A17&amp;")"</f>
        <v>(4) - (8)</v>
      </c>
      <c r="D25" s="377">
        <f>'01.2020 Base Rate Revenue'!$C36</f>
        <v>1611950.5</v>
      </c>
      <c r="E25" s="377">
        <f>'02.2020 Base Rate Revenue'!$C36</f>
        <v>1607723.5</v>
      </c>
      <c r="F25" s="377">
        <f>'03.2020 Base Rate Revenue'!$C36</f>
        <v>1613622.5</v>
      </c>
      <c r="G25" s="378">
        <f>G13-G17</f>
        <v>1572715.5</v>
      </c>
      <c r="H25" s="379">
        <f t="shared" ref="H25:O25" si="6">H13-H17</f>
        <v>1568085.84</v>
      </c>
      <c r="I25" s="379">
        <f t="shared" si="6"/>
        <v>1581353.5</v>
      </c>
      <c r="J25" s="379">
        <f t="shared" si="6"/>
        <v>1577522.5</v>
      </c>
      <c r="K25" s="379">
        <f t="shared" si="6"/>
        <v>1573922</v>
      </c>
      <c r="L25" s="379">
        <f t="shared" si="6"/>
        <v>1577649.94</v>
      </c>
      <c r="M25" s="379">
        <f t="shared" si="6"/>
        <v>1575402</v>
      </c>
      <c r="N25" s="379">
        <f t="shared" si="6"/>
        <v>1571296.94</v>
      </c>
      <c r="O25" s="379">
        <f t="shared" si="6"/>
        <v>1573371</v>
      </c>
      <c r="P25" s="379"/>
      <c r="Q25" s="379">
        <f>SUM(D25:O25)</f>
        <v>19004615.719999999</v>
      </c>
    </row>
    <row r="26" spans="1:17" x14ac:dyDescent="0.25">
      <c r="A26" s="56">
        <v>15</v>
      </c>
      <c r="B26" s="55" t="s">
        <v>166</v>
      </c>
      <c r="C26" s="56" t="str">
        <f>"("&amp;A24&amp;") - ("&amp;A25&amp;")"</f>
        <v>(13) - (14)</v>
      </c>
      <c r="D26" s="120">
        <f>D24-D25</f>
        <v>9457213.8106299993</v>
      </c>
      <c r="E26" s="120">
        <f t="shared" ref="E26:O26" si="7">E24-E25</f>
        <v>7593957.5988299996</v>
      </c>
      <c r="F26" s="120">
        <f t="shared" si="7"/>
        <v>6843661.5481899995</v>
      </c>
      <c r="G26" s="298">
        <f t="shared" si="7"/>
        <v>3526382.7451499999</v>
      </c>
      <c r="H26" s="163">
        <f t="shared" si="7"/>
        <v>2115786.5576899992</v>
      </c>
      <c r="I26" s="120">
        <f t="shared" si="7"/>
        <v>1341412.3951799995</v>
      </c>
      <c r="J26" s="120">
        <f t="shared" si="7"/>
        <v>1114873.2870799997</v>
      </c>
      <c r="K26" s="120">
        <f t="shared" si="7"/>
        <v>971207.73604000034</v>
      </c>
      <c r="L26" s="120">
        <f t="shared" si="7"/>
        <v>1150499.9991299999</v>
      </c>
      <c r="M26" s="120">
        <f t="shared" si="7"/>
        <v>3739256.6411500005</v>
      </c>
      <c r="N26" s="120">
        <f t="shared" si="7"/>
        <v>7618177.276949998</v>
      </c>
      <c r="O26" s="120">
        <f t="shared" si="7"/>
        <v>9909897.9699000027</v>
      </c>
      <c r="P26" s="120"/>
      <c r="Q26" s="120">
        <f>SUM(D26:O26)</f>
        <v>55382327.565920003</v>
      </c>
    </row>
    <row r="27" spans="1:17" x14ac:dyDescent="0.25">
      <c r="A27" s="56">
        <v>16</v>
      </c>
      <c r="B27" s="136" t="s">
        <v>167</v>
      </c>
      <c r="C27" s="56" t="str">
        <f>"("&amp;A26&amp;") / ("&amp;A19&amp;")"</f>
        <v>(15) / (9)</v>
      </c>
      <c r="D27" s="125">
        <f>D26/D19</f>
        <v>56.37044871597255</v>
      </c>
      <c r="E27" s="125">
        <f t="shared" ref="E27:L27" si="8">E26/E19</f>
        <v>45.346535687039079</v>
      </c>
      <c r="F27" s="125">
        <f t="shared" si="8"/>
        <v>40.799222297543814</v>
      </c>
      <c r="G27" s="299">
        <f t="shared" si="8"/>
        <v>21.545951225346432</v>
      </c>
      <c r="H27" s="164">
        <f t="shared" si="8"/>
        <v>12.980843089519176</v>
      </c>
      <c r="I27" s="125">
        <f t="shared" si="8"/>
        <v>8.1963362775265765</v>
      </c>
      <c r="J27" s="125">
        <f t="shared" si="8"/>
        <v>6.8286953386866571</v>
      </c>
      <c r="K27" s="125">
        <f t="shared" si="8"/>
        <v>5.9623533429922055</v>
      </c>
      <c r="L27" s="125">
        <f t="shared" si="8"/>
        <v>7.0349761473034116</v>
      </c>
      <c r="M27" s="125">
        <f>M26/M19</f>
        <v>22.882807196360055</v>
      </c>
      <c r="N27" s="125">
        <f>N26/N19</f>
        <v>46.659137009487168</v>
      </c>
      <c r="O27" s="125">
        <f>O26/O19</f>
        <v>60.525483689099822</v>
      </c>
      <c r="P27" s="125"/>
      <c r="Q27" s="125"/>
    </row>
    <row r="28" spans="1:17" x14ac:dyDescent="0.25">
      <c r="A28" s="56">
        <v>17</v>
      </c>
      <c r="B28" s="55" t="s">
        <v>168</v>
      </c>
      <c r="C28" s="56" t="str">
        <f>"("&amp;A$23&amp;") - ("&amp;A26&amp;")"</f>
        <v>(12) - (15)</v>
      </c>
      <c r="D28" s="126">
        <f>D21-D26</f>
        <v>-128150.48218012974</v>
      </c>
      <c r="E28" s="126">
        <f t="shared" ref="E28:O28" si="9">E21-E26</f>
        <v>-181437.22447195277</v>
      </c>
      <c r="F28" s="126">
        <f t="shared" si="9"/>
        <v>-793272.3422520766</v>
      </c>
      <c r="G28" s="300">
        <f t="shared" si="9"/>
        <v>979144.12242862955</v>
      </c>
      <c r="H28" s="126">
        <f t="shared" si="9"/>
        <v>536764.47151814075</v>
      </c>
      <c r="I28" s="126">
        <f t="shared" si="9"/>
        <v>85185.348275508033</v>
      </c>
      <c r="J28" s="126">
        <f t="shared" si="9"/>
        <v>-57158.35277273017</v>
      </c>
      <c r="K28" s="126">
        <f t="shared" si="9"/>
        <v>47163.912239429541</v>
      </c>
      <c r="L28" s="126">
        <f t="shared" si="9"/>
        <v>270650.55207325821</v>
      </c>
      <c r="M28" s="126">
        <f t="shared" si="9"/>
        <v>211626.04284432717</v>
      </c>
      <c r="N28" s="126">
        <f t="shared" si="9"/>
        <v>-263020.67139834724</v>
      </c>
      <c r="O28" s="126">
        <f t="shared" si="9"/>
        <v>510983.54676226713</v>
      </c>
      <c r="P28" s="126"/>
      <c r="Q28" s="127">
        <f t="shared" ref="Q28:Q31" si="10">SUM(D28:O28)</f>
        <v>1218478.9230663239</v>
      </c>
    </row>
    <row r="29" spans="1:17" x14ac:dyDescent="0.25">
      <c r="A29" s="56">
        <v>18</v>
      </c>
      <c r="B29" s="55" t="s">
        <v>169</v>
      </c>
      <c r="C29" s="56" t="s">
        <v>170</v>
      </c>
      <c r="D29" s="126">
        <f>D28*-'UG-170486 Auth Base'!$R$20</f>
        <v>5954.5121544997273</v>
      </c>
      <c r="E29" s="126">
        <f>E28*-'UG-170486 Auth Base'!$R$20</f>
        <v>8430.4806350892832</v>
      </c>
      <c r="F29" s="126">
        <f>F28*-'UG-170486 Auth Base'!$R$20</f>
        <v>36859.399382742733</v>
      </c>
      <c r="G29" s="300">
        <f>G28*-'UG-190335 Auth Base'!$W$20</f>
        <v>-43234.108725836137</v>
      </c>
      <c r="H29" s="126">
        <f>H28*-'UG-190335 Auth Base'!$W$20</f>
        <v>-23700.835239883505</v>
      </c>
      <c r="I29" s="126">
        <f>I28*-'UG-190335 Auth Base'!$W$20</f>
        <v>-3761.3590531050572</v>
      </c>
      <c r="J29" s="126">
        <f>J28*-'UG-190335 Auth Base'!$W$20</f>
        <v>2523.8270666799008</v>
      </c>
      <c r="K29" s="126">
        <f>K28*-'UG-190335 Auth Base'!$W$20</f>
        <v>-2082.5225449320114</v>
      </c>
      <c r="L29" s="126">
        <f>L28*-'UG-190335 Auth Base'!$W$20</f>
        <v>-11950.575126794716</v>
      </c>
      <c r="M29" s="126">
        <f>M28*-'UG-190335 Auth Base'!$W$20</f>
        <v>-9344.3479217912663</v>
      </c>
      <c r="N29" s="126">
        <f>N28*-'UG-190335 Auth Base'!$W$20</f>
        <v>11613.677745594023</v>
      </c>
      <c r="O29" s="126">
        <f>O28*-'UG-190335 Auth Base'!$W$20</f>
        <v>-22562.478507287906</v>
      </c>
      <c r="P29" s="126"/>
      <c r="Q29" s="127">
        <f t="shared" si="10"/>
        <v>-51254.330135024924</v>
      </c>
    </row>
    <row r="30" spans="1:17" x14ac:dyDescent="0.25">
      <c r="A30" s="56">
        <v>19</v>
      </c>
      <c r="B30" s="55"/>
      <c r="C30" s="128" t="s">
        <v>171</v>
      </c>
      <c r="D30" s="129">
        <v>4.9599999999999998E-2</v>
      </c>
      <c r="E30" s="129">
        <f>D30</f>
        <v>4.9599999999999998E-2</v>
      </c>
      <c r="F30" s="129">
        <f>E30</f>
        <v>4.9599999999999998E-2</v>
      </c>
      <c r="G30" s="301">
        <v>4.7500000000000001E-2</v>
      </c>
      <c r="H30" s="130">
        <f>G30</f>
        <v>4.7500000000000001E-2</v>
      </c>
      <c r="I30" s="130">
        <f>H30</f>
        <v>4.7500000000000001E-2</v>
      </c>
      <c r="J30" s="129">
        <v>3.4299999999999997E-2</v>
      </c>
      <c r="K30" s="129">
        <v>3.4299999999999997E-2</v>
      </c>
      <c r="L30" s="129">
        <f>K30</f>
        <v>3.4299999999999997E-2</v>
      </c>
      <c r="M30" s="129">
        <v>3.2500000000000001E-2</v>
      </c>
      <c r="N30" s="129">
        <f>IF(N10&gt;0,M30,0)</f>
        <v>3.2500000000000001E-2</v>
      </c>
      <c r="O30" s="129">
        <f>IF(O10&gt;0,N30,0)</f>
        <v>3.2500000000000001E-2</v>
      </c>
      <c r="P30" s="129"/>
      <c r="Q30" s="127"/>
    </row>
    <row r="31" spans="1:17" x14ac:dyDescent="0.25">
      <c r="A31" s="56">
        <v>20</v>
      </c>
      <c r="B31" s="55" t="s">
        <v>172</v>
      </c>
      <c r="C31" s="128" t="s">
        <v>173</v>
      </c>
      <c r="D31" s="131">
        <f>(D28+D29)/2*D30/12</f>
        <v>-252.5383380529687</v>
      </c>
      <c r="E31" s="131">
        <f>(D33+(E28+E29)/2)*E30/12</f>
        <v>-863.66777183274087</v>
      </c>
      <c r="F31" s="131">
        <f t="shared" ref="F31:O31" si="11">(E33+(F28+F29)/2)*F30/12</f>
        <v>-2788.0382844824576</v>
      </c>
      <c r="G31" s="302">
        <f t="shared" si="11"/>
        <v>-2325.7777065044115</v>
      </c>
      <c r="H31" s="165">
        <f t="shared" si="11"/>
        <v>532.7764389948378</v>
      </c>
      <c r="I31" s="131">
        <f t="shared" si="11"/>
        <v>1711.4754378692489</v>
      </c>
      <c r="J31" s="131">
        <f t="shared" si="11"/>
        <v>1279.0439970195441</v>
      </c>
      <c r="K31" s="131">
        <f t="shared" si="11"/>
        <v>1269.0469075611809</v>
      </c>
      <c r="L31" s="131">
        <f t="shared" si="11"/>
        <v>1706.8284697963334</v>
      </c>
      <c r="M31" s="131">
        <f t="shared" si="11"/>
        <v>2246.1259708825537</v>
      </c>
      <c r="N31" s="131">
        <f t="shared" si="11"/>
        <v>2185.6853866898582</v>
      </c>
      <c r="O31" s="131">
        <f t="shared" si="11"/>
        <v>2512.561510635991</v>
      </c>
      <c r="P31" s="131"/>
      <c r="Q31" s="127">
        <f t="shared" si="10"/>
        <v>7213.5220185769695</v>
      </c>
    </row>
    <row r="32" spans="1:17" ht="15.75" thickBot="1" x14ac:dyDescent="0.3">
      <c r="A32" s="56">
        <v>21</v>
      </c>
      <c r="B32" s="108" t="s">
        <v>174</v>
      </c>
      <c r="C32" s="56"/>
      <c r="D32" s="132">
        <f>D28+D29+D31</f>
        <v>-122448.50836368298</v>
      </c>
      <c r="E32" s="132">
        <f t="shared" ref="E32:O32" si="12">E28+E29+E31</f>
        <v>-173870.41160869622</v>
      </c>
      <c r="F32" s="132">
        <f t="shared" si="12"/>
        <v>-759200.98115381633</v>
      </c>
      <c r="G32" s="303">
        <f t="shared" si="12"/>
        <v>933584.23599628895</v>
      </c>
      <c r="H32" s="132">
        <f t="shared" si="12"/>
        <v>513596.4127172521</v>
      </c>
      <c r="I32" s="132">
        <f t="shared" si="12"/>
        <v>83135.46466027222</v>
      </c>
      <c r="J32" s="132">
        <f t="shared" si="12"/>
        <v>-53355.481709030726</v>
      </c>
      <c r="K32" s="132">
        <f t="shared" si="12"/>
        <v>46350.436602058711</v>
      </c>
      <c r="L32" s="132">
        <f t="shared" si="12"/>
        <v>260406.80541625983</v>
      </c>
      <c r="M32" s="132">
        <f t="shared" si="12"/>
        <v>204527.82089341848</v>
      </c>
      <c r="N32" s="132">
        <f t="shared" si="12"/>
        <v>-249221.30826606337</v>
      </c>
      <c r="O32" s="132">
        <f t="shared" si="12"/>
        <v>490933.62976561522</v>
      </c>
      <c r="P32" s="132"/>
      <c r="Q32" s="132">
        <f>SUM(D32:O32)</f>
        <v>1174438.1149498757</v>
      </c>
    </row>
    <row r="33" spans="1:17" ht="15.75" thickBot="1" x14ac:dyDescent="0.3">
      <c r="A33" s="56">
        <v>22</v>
      </c>
      <c r="B33" s="55" t="s">
        <v>175</v>
      </c>
      <c r="C33" s="56" t="str">
        <f>"Σ(("&amp;A28&amp;") ,("&amp;A29&amp;") , ("&amp;A31&amp;"))"</f>
        <v>Σ((17) ,(18) , (20))</v>
      </c>
      <c r="D33" s="120">
        <f>D28+D29+D31</f>
        <v>-122448.50836368298</v>
      </c>
      <c r="E33" s="120">
        <f>D33+E28+E29+E31</f>
        <v>-296318.91997237923</v>
      </c>
      <c r="F33" s="120">
        <f t="shared" ref="F33:N33" si="13">E33+F28+F29+F31</f>
        <v>-1055519.9011261954</v>
      </c>
      <c r="G33" s="298">
        <f t="shared" si="13"/>
        <v>-121935.66512990644</v>
      </c>
      <c r="H33" s="163">
        <f t="shared" si="13"/>
        <v>391660.74758734566</v>
      </c>
      <c r="I33" s="120">
        <f t="shared" si="13"/>
        <v>474796.21224761789</v>
      </c>
      <c r="J33" s="120">
        <f t="shared" si="13"/>
        <v>421440.73053858714</v>
      </c>
      <c r="K33" s="120">
        <f t="shared" si="13"/>
        <v>467791.16714064585</v>
      </c>
      <c r="L33" s="120">
        <f t="shared" si="13"/>
        <v>728197.9725569057</v>
      </c>
      <c r="M33" s="120">
        <f t="shared" si="13"/>
        <v>932725.79345032421</v>
      </c>
      <c r="N33" s="120">
        <f t="shared" si="13"/>
        <v>683504.48518426088</v>
      </c>
      <c r="O33" s="133">
        <f>N33+O28+O29+O31</f>
        <v>1174438.1149498762</v>
      </c>
      <c r="P33" s="405"/>
      <c r="Q33" s="106"/>
    </row>
    <row r="34" spans="1:17" ht="18" customHeight="1" x14ac:dyDescent="0.25">
      <c r="A34" s="56"/>
      <c r="B34" s="409" t="s">
        <v>410</v>
      </c>
      <c r="C34" s="410"/>
      <c r="D34" s="411"/>
      <c r="E34" s="411"/>
      <c r="F34" s="411"/>
      <c r="G34" s="412"/>
      <c r="H34" s="411"/>
      <c r="I34" s="411"/>
      <c r="J34" s="411"/>
      <c r="K34" s="411"/>
      <c r="L34" s="411"/>
      <c r="M34" s="411"/>
      <c r="N34" s="411"/>
      <c r="O34" s="411"/>
      <c r="P34" s="411"/>
      <c r="Q34" s="413"/>
    </row>
    <row r="35" spans="1:17" x14ac:dyDescent="0.25">
      <c r="A35" s="56"/>
      <c r="B35" s="55"/>
      <c r="C35" s="56"/>
      <c r="D35" s="72"/>
      <c r="E35" s="72"/>
      <c r="F35" s="72"/>
      <c r="G35" s="304"/>
      <c r="H35" s="166"/>
      <c r="I35" s="72"/>
      <c r="J35" s="72"/>
      <c r="K35" s="72"/>
      <c r="L35" s="72"/>
      <c r="M35" s="72"/>
      <c r="N35" s="72"/>
      <c r="O35" s="72"/>
      <c r="P35" s="72"/>
      <c r="Q35" s="106"/>
    </row>
    <row r="36" spans="1:17" x14ac:dyDescent="0.25">
      <c r="A36" s="56"/>
      <c r="B36" s="113" t="s">
        <v>29</v>
      </c>
      <c r="C36" s="56"/>
      <c r="D36" s="56"/>
      <c r="E36" s="56"/>
      <c r="F36" s="56"/>
      <c r="G36" s="294"/>
      <c r="H36" s="162"/>
      <c r="I36" s="56"/>
      <c r="J36" s="56"/>
      <c r="K36" s="56"/>
      <c r="L36" s="56"/>
      <c r="M36" s="56"/>
      <c r="N36" s="56"/>
      <c r="O36" s="56"/>
      <c r="P36" s="56"/>
      <c r="Q36" s="106"/>
    </row>
    <row r="37" spans="1:17" x14ac:dyDescent="0.25">
      <c r="A37" s="56">
        <v>23</v>
      </c>
      <c r="B37" s="55" t="s">
        <v>162</v>
      </c>
      <c r="C37" s="56" t="s">
        <v>163</v>
      </c>
      <c r="D37" s="56"/>
      <c r="E37" s="56"/>
      <c r="F37" s="56"/>
      <c r="G37" s="295">
        <f>'04.2020 Base Rate Revenue'!$C18</f>
        <v>3153</v>
      </c>
      <c r="H37" s="114">
        <f>'05.2020 Base Rate Revenue'!$C18</f>
        <v>3122</v>
      </c>
      <c r="I37" s="114">
        <f>'06.2020 Base Rate Revenue'!$C18</f>
        <v>3159</v>
      </c>
      <c r="J37" s="114">
        <f>'07.2020 Base Rate Revenue'!$C18</f>
        <v>3148</v>
      </c>
      <c r="K37" s="114">
        <f>'08.2020 Base Rate Revenue'!$C18</f>
        <v>3122</v>
      </c>
      <c r="L37" s="114">
        <f>'09.2020 Base Rate Revenue'!$C18</f>
        <v>3151</v>
      </c>
      <c r="M37" s="114">
        <f>'10.2020 Base Rate Revenue'!$C18</f>
        <v>3156</v>
      </c>
      <c r="N37" s="114">
        <f>'11.2020 Base Rate Revenue'!$C18</f>
        <v>3158</v>
      </c>
      <c r="O37" s="114">
        <f>'12.2020 Base Rate Revenue'!$C18</f>
        <v>3173</v>
      </c>
      <c r="P37" s="114"/>
      <c r="Q37" s="106"/>
    </row>
    <row r="38" spans="1:17" x14ac:dyDescent="0.25">
      <c r="A38" s="56">
        <v>24</v>
      </c>
      <c r="B38" s="136" t="s">
        <v>332</v>
      </c>
      <c r="C38" s="56" t="s">
        <v>163</v>
      </c>
      <c r="D38" s="56"/>
      <c r="E38" s="56"/>
      <c r="F38" s="56"/>
      <c r="G38" s="295">
        <f>'04.2020 Base Rate Revenue'!$I18</f>
        <v>3634381.8090300001</v>
      </c>
      <c r="H38" s="114">
        <f>'05.2020 Base Rate Revenue'!$I18</f>
        <v>2904967.92667</v>
      </c>
      <c r="I38" s="114">
        <f>'06.2020 Base Rate Revenue'!$I18</f>
        <v>1882575.8246300002</v>
      </c>
      <c r="J38" s="114">
        <f>'07.2020 Base Rate Revenue'!$I18</f>
        <v>1780378.2680599999</v>
      </c>
      <c r="K38" s="114">
        <f>'08.2020 Base Rate Revenue'!$I18</f>
        <v>1674514.8459600001</v>
      </c>
      <c r="L38" s="114">
        <f>'09.2020 Base Rate Revenue'!$I18</f>
        <v>2068490.6487999998</v>
      </c>
      <c r="M38" s="114">
        <f>'10.2020 Base Rate Revenue'!$I18</f>
        <v>4988125.6679999996</v>
      </c>
      <c r="N38" s="114">
        <f>'11.2020 Base Rate Revenue'!$I18</f>
        <v>5823340.1000000006</v>
      </c>
      <c r="O38" s="114">
        <f>'12.2020 Base Rate Revenue'!$I18</f>
        <v>7851509.3900000006</v>
      </c>
      <c r="P38" s="114"/>
      <c r="Q38" s="106"/>
    </row>
    <row r="39" spans="1:17" x14ac:dyDescent="0.25">
      <c r="A39" s="56">
        <v>25</v>
      </c>
      <c r="B39" s="55" t="s">
        <v>329</v>
      </c>
      <c r="C39" s="56" t="s">
        <v>163</v>
      </c>
      <c r="D39" s="56"/>
      <c r="E39" s="56"/>
      <c r="F39" s="56"/>
      <c r="G39" s="296">
        <f>'04.2020 Base Rate Revenue'!$I38</f>
        <v>1271851.6594199999</v>
      </c>
      <c r="H39" s="123">
        <f>'05.2020 Base Rate Revenue'!$I38</f>
        <v>1057693.92821</v>
      </c>
      <c r="I39" s="123">
        <f>'06.2020 Base Rate Revenue'!$I38</f>
        <v>769947.56831999996</v>
      </c>
      <c r="J39" s="123">
        <f>'07.2020 Base Rate Revenue'!$I38</f>
        <v>753246.57704000012</v>
      </c>
      <c r="K39" s="123">
        <f>'08.2020 Base Rate Revenue'!$I38</f>
        <v>745620.61048999999</v>
      </c>
      <c r="L39" s="123">
        <f>'09.2020 Base Rate Revenue'!$I38</f>
        <v>839522.80458000011</v>
      </c>
      <c r="M39" s="123">
        <f>'10.2020 Base Rate Revenue'!$I38</f>
        <v>1642482.98893</v>
      </c>
      <c r="N39" s="123">
        <f>'11.2020 Base Rate Revenue'!$I38</f>
        <v>1906840.4534799999</v>
      </c>
      <c r="O39" s="123">
        <f>'12.2020 Base Rate Revenue'!$I38</f>
        <v>2470330.58348</v>
      </c>
      <c r="P39" s="123"/>
      <c r="Q39" s="106"/>
    </row>
    <row r="40" spans="1:17" x14ac:dyDescent="0.25">
      <c r="A40" s="56">
        <v>26</v>
      </c>
      <c r="B40" s="55" t="s">
        <v>165</v>
      </c>
      <c r="C40" s="56" t="s">
        <v>163</v>
      </c>
      <c r="D40" s="56"/>
      <c r="E40" s="56"/>
      <c r="F40" s="56"/>
      <c r="G40" s="296">
        <f>'04.2020 Base Rate Revenue'!$C38</f>
        <v>322893.81</v>
      </c>
      <c r="H40" s="123">
        <f>'05.2020 Base Rate Revenue'!$C38</f>
        <v>336113.32</v>
      </c>
      <c r="I40" s="123">
        <f>'06.2020 Base Rate Revenue'!$C38</f>
        <v>340493.83999999997</v>
      </c>
      <c r="J40" s="123">
        <f>'07.2020 Base Rate Revenue'!$C38</f>
        <v>339112.1</v>
      </c>
      <c r="K40" s="123">
        <f>'08.2020 Base Rate Revenue'!$C38</f>
        <v>336676</v>
      </c>
      <c r="L40" s="123">
        <f>'09.2020 Base Rate Revenue'!$C38</f>
        <v>340190.85</v>
      </c>
      <c r="M40" s="123">
        <f>'10.2020 Base Rate Revenue'!$C38</f>
        <v>340206.81</v>
      </c>
      <c r="N40" s="123">
        <f>'11.2020 Base Rate Revenue'!$C38</f>
        <v>339538.82</v>
      </c>
      <c r="O40" s="123">
        <f>'12.2020 Base Rate Revenue'!$C38</f>
        <v>341751.92</v>
      </c>
      <c r="P40" s="123"/>
      <c r="Q40" s="106"/>
    </row>
    <row r="41" spans="1:17" ht="21" customHeight="1" x14ac:dyDescent="0.25">
      <c r="A41" s="56">
        <v>27</v>
      </c>
      <c r="B41" s="55" t="s">
        <v>330</v>
      </c>
      <c r="C41" s="56" t="s">
        <v>163</v>
      </c>
      <c r="D41" s="56"/>
      <c r="E41" s="56"/>
      <c r="F41" s="56"/>
      <c r="G41" s="320">
        <f>'04.2020 Base Rate Revenue'!$C$84</f>
        <v>41</v>
      </c>
      <c r="H41" s="322">
        <f>'05.2020 Base Rate Revenue'!$C$84</f>
        <v>38</v>
      </c>
      <c r="I41" s="322">
        <f>'06.2020 Base Rate Revenue'!$C$84</f>
        <v>38</v>
      </c>
      <c r="J41" s="322">
        <f>'07.2020 Base Rate Revenue'!$C$84</f>
        <v>38</v>
      </c>
      <c r="K41" s="322">
        <f>'08.2020 Base Rate Revenue'!$C$84</f>
        <v>42</v>
      </c>
      <c r="L41" s="322">
        <f>'09.2020 Base Rate Revenue'!$C$84</f>
        <v>37</v>
      </c>
      <c r="M41" s="322">
        <f>'10.2020 Base Rate Revenue'!$C$84</f>
        <v>36</v>
      </c>
      <c r="N41" s="322">
        <f>'11.2020 Base Rate Revenue'!$C$84</f>
        <v>44</v>
      </c>
      <c r="O41" s="322">
        <f>'12.2020 Base Rate Revenue'!$C$84</f>
        <v>42</v>
      </c>
      <c r="P41" s="322"/>
      <c r="Q41" s="106"/>
    </row>
    <row r="42" spans="1:17" x14ac:dyDescent="0.25">
      <c r="A42" s="56">
        <v>28</v>
      </c>
      <c r="B42" s="136" t="s">
        <v>354</v>
      </c>
      <c r="C42" s="56" t="s">
        <v>163</v>
      </c>
      <c r="D42" s="56"/>
      <c r="E42" s="56"/>
      <c r="F42" s="56"/>
      <c r="G42" s="320">
        <f>'04.2020 Base Rate Revenue'!$D$84</f>
        <v>108540</v>
      </c>
      <c r="H42" s="322">
        <f>'05.2020 Base Rate Revenue'!$D$84</f>
        <v>55253.154240000003</v>
      </c>
      <c r="I42" s="322">
        <f>'06.2020 Base Rate Revenue'!$D$84</f>
        <v>35573.4</v>
      </c>
      <c r="J42" s="322">
        <f>'07.2020 Base Rate Revenue'!$D$84</f>
        <v>22680.040700000001</v>
      </c>
      <c r="K42" s="322">
        <f>'08.2020 Base Rate Revenue'!$D$84</f>
        <v>15266.382170000001</v>
      </c>
      <c r="L42" s="322">
        <f>'09.2020 Base Rate Revenue'!$D$84</f>
        <v>17846.57302</v>
      </c>
      <c r="M42" s="322">
        <f>'10.2020 Base Rate Revenue'!$D$84</f>
        <v>28994</v>
      </c>
      <c r="N42" s="322">
        <f>'11.2020 Base Rate Revenue'!$D$84</f>
        <v>73865.520610000007</v>
      </c>
      <c r="O42" s="322">
        <f>'12.2020 Base Rate Revenue'!$D$84</f>
        <v>142469.31888000001</v>
      </c>
      <c r="P42" s="322"/>
      <c r="Q42" s="106"/>
    </row>
    <row r="43" spans="1:17" x14ac:dyDescent="0.25">
      <c r="A43" s="56">
        <v>29</v>
      </c>
      <c r="B43" s="55" t="s">
        <v>331</v>
      </c>
      <c r="C43" s="56" t="s">
        <v>163</v>
      </c>
      <c r="D43" s="56"/>
      <c r="E43" s="56"/>
      <c r="F43" s="56"/>
      <c r="G43" s="321">
        <f>'04.2020 Base Rate Revenue'!$F$84</f>
        <v>32148.65</v>
      </c>
      <c r="H43" s="323">
        <f>'05.2020 Base Rate Revenue'!$F$84</f>
        <v>18347.89</v>
      </c>
      <c r="I43" s="323">
        <f>'06.2020 Base Rate Revenue'!$F$84</f>
        <v>13156.25</v>
      </c>
      <c r="J43" s="323">
        <f>'07.2020 Base Rate Revenue'!$F$84</f>
        <v>9775.08</v>
      </c>
      <c r="K43" s="323">
        <f>'08.2020 Base Rate Revenue'!$F$84</f>
        <v>7888.57</v>
      </c>
      <c r="L43" s="323">
        <f>'09.2020 Base Rate Revenue'!$F$84</f>
        <v>8345.41</v>
      </c>
      <c r="M43" s="323">
        <f>'10.2020 Base Rate Revenue'!$F$84</f>
        <v>11208.43</v>
      </c>
      <c r="N43" s="323">
        <f>'11.2020 Base Rate Revenue'!$F$84</f>
        <v>23820.26</v>
      </c>
      <c r="O43" s="323">
        <f>'12.2020 Base Rate Revenue'!$F$84</f>
        <v>41806.769999999997</v>
      </c>
      <c r="P43" s="323"/>
      <c r="Q43" s="106"/>
    </row>
    <row r="44" spans="1:17" x14ac:dyDescent="0.25">
      <c r="A44" s="56">
        <v>30</v>
      </c>
      <c r="B44" s="55" t="s">
        <v>333</v>
      </c>
      <c r="C44" s="56" t="s">
        <v>163</v>
      </c>
      <c r="D44" s="56"/>
      <c r="E44" s="56"/>
      <c r="F44" s="56"/>
      <c r="G44" s="321">
        <f>'04.2020 Base Rate Revenue'!$E$84</f>
        <v>4089.6600000000003</v>
      </c>
      <c r="H44" s="323">
        <f>'05.2020 Base Rate Revenue'!$E$84</f>
        <v>3927.7</v>
      </c>
      <c r="I44" s="323">
        <f>'06.2020 Base Rate Revenue'!$E$84</f>
        <v>4108.87</v>
      </c>
      <c r="J44" s="323">
        <f>'07.2020 Base Rate Revenue'!$E$84</f>
        <v>4087.39</v>
      </c>
      <c r="K44" s="323">
        <f>'08.2020 Base Rate Revenue'!$E$84</f>
        <v>4252.16</v>
      </c>
      <c r="L44" s="323">
        <f>'09.2020 Base Rate Revenue'!$E$84</f>
        <v>3979.67</v>
      </c>
      <c r="M44" s="323">
        <f>'10.2020 Base Rate Revenue'!$E$84</f>
        <v>3829.17</v>
      </c>
      <c r="N44" s="323">
        <f>'11.2020 Base Rate Revenue'!$E$84</f>
        <v>3860.2</v>
      </c>
      <c r="O44" s="323">
        <f>'12.2020 Base Rate Revenue'!$E$84</f>
        <v>4510.3999999999996</v>
      </c>
      <c r="P44" s="323"/>
      <c r="Q44" s="106"/>
    </row>
    <row r="45" spans="1:17" x14ac:dyDescent="0.25">
      <c r="A45" s="56"/>
      <c r="B45" s="113"/>
      <c r="C45" s="56"/>
      <c r="D45" s="56"/>
      <c r="E45" s="56"/>
      <c r="F45" s="56"/>
      <c r="G45" s="294"/>
      <c r="H45" s="162"/>
      <c r="I45" s="56"/>
      <c r="J45" s="56"/>
      <c r="K45" s="56"/>
      <c r="L45" s="56"/>
      <c r="M45" s="56"/>
      <c r="N45" s="56"/>
      <c r="O45" s="56"/>
      <c r="P45" s="56"/>
      <c r="Q45" s="106"/>
    </row>
    <row r="46" spans="1:17" x14ac:dyDescent="0.25">
      <c r="A46" s="56">
        <v>31</v>
      </c>
      <c r="B46" s="55" t="s">
        <v>360</v>
      </c>
      <c r="C46" s="56" t="str">
        <f>"("&amp;A37&amp;") - ("&amp;A41&amp;")"</f>
        <v>(23) - (27)</v>
      </c>
      <c r="D46" s="114">
        <f>'01.2020 Base Rate Revenue'!$C18</f>
        <v>3142</v>
      </c>
      <c r="E46" s="114">
        <f>'02.2020 Base Rate Revenue'!$C18+'02.2020 Base Rate Revenue'!D18</f>
        <v>3158</v>
      </c>
      <c r="F46" s="114">
        <f>'03.2020 Base Rate Revenue'!$C18+'03.2020 Base Rate Revenue'!D18</f>
        <v>3147</v>
      </c>
      <c r="G46" s="318">
        <f>G37-G41</f>
        <v>3112</v>
      </c>
      <c r="H46" s="115">
        <f t="shared" ref="H46:O46" si="14">H37-H41</f>
        <v>3084</v>
      </c>
      <c r="I46" s="115">
        <f t="shared" si="14"/>
        <v>3121</v>
      </c>
      <c r="J46" s="115">
        <f t="shared" si="14"/>
        <v>3110</v>
      </c>
      <c r="K46" s="115">
        <f t="shared" si="14"/>
        <v>3080</v>
      </c>
      <c r="L46" s="115">
        <f t="shared" si="14"/>
        <v>3114</v>
      </c>
      <c r="M46" s="115">
        <f t="shared" si="14"/>
        <v>3120</v>
      </c>
      <c r="N46" s="115">
        <f t="shared" si="14"/>
        <v>3114</v>
      </c>
      <c r="O46" s="115">
        <f t="shared" si="14"/>
        <v>3131</v>
      </c>
      <c r="P46" s="115"/>
      <c r="Q46" s="134">
        <f>SUM(D46:O46)</f>
        <v>37433</v>
      </c>
    </row>
    <row r="47" spans="1:17" ht="25.5" x14ac:dyDescent="0.25">
      <c r="A47" s="116">
        <v>32</v>
      </c>
      <c r="B47" s="117" t="s">
        <v>164</v>
      </c>
      <c r="C47" s="118" t="s">
        <v>96</v>
      </c>
      <c r="D47" s="119">
        <f>'UG-170486 Auth Base'!D94</f>
        <v>644.72071006316287</v>
      </c>
      <c r="E47" s="119">
        <f>'UG-170486 Auth Base'!E94</f>
        <v>572.95798240681665</v>
      </c>
      <c r="F47" s="119">
        <f>'UG-170486 Auth Base'!F94</f>
        <v>501.96685841519201</v>
      </c>
      <c r="G47" s="297">
        <f>'UG-190335 Auth Base'!G94</f>
        <v>402.99032361790921</v>
      </c>
      <c r="H47" s="119">
        <f>'UG-190335 Auth Base'!H94</f>
        <v>291.99506227931914</v>
      </c>
      <c r="I47" s="119">
        <f>'UG-190335 Auth Base'!I94</f>
        <v>212.4602059762959</v>
      </c>
      <c r="J47" s="119">
        <f>'UG-190335 Auth Base'!J94</f>
        <v>153.38546791191717</v>
      </c>
      <c r="K47" s="119">
        <f>'UG-190335 Auth Base'!K94</f>
        <v>167.80399902052821</v>
      </c>
      <c r="L47" s="119">
        <f>'UG-190335 Auth Base'!L94</f>
        <v>199.68854818394192</v>
      </c>
      <c r="M47" s="119">
        <f>'UG-190335 Auth Base'!M94</f>
        <v>363.99825171452284</v>
      </c>
      <c r="N47" s="119">
        <f>'UG-190335 Auth Base'!N94</f>
        <v>552.4938504126975</v>
      </c>
      <c r="O47" s="119">
        <f>'UG-190335 Auth Base'!O94</f>
        <v>675.30369426127231</v>
      </c>
      <c r="P47" s="119"/>
      <c r="Q47" s="119">
        <f>SUM(D47:O47)</f>
        <v>4739.7649542635754</v>
      </c>
    </row>
    <row r="48" spans="1:17" x14ac:dyDescent="0.25">
      <c r="A48" s="56">
        <v>33</v>
      </c>
      <c r="B48" s="55" t="s">
        <v>27</v>
      </c>
      <c r="C48" s="56" t="str">
        <f>"("&amp;A46&amp;") x ("&amp;A47&amp;")"</f>
        <v>(31) x (32)</v>
      </c>
      <c r="D48" s="120">
        <f t="shared" ref="D48:N48" si="15">D46*D47</f>
        <v>2025712.4710184578</v>
      </c>
      <c r="E48" s="120">
        <f t="shared" si="15"/>
        <v>1809401.3084407269</v>
      </c>
      <c r="F48" s="120">
        <f t="shared" si="15"/>
        <v>1579689.7034326093</v>
      </c>
      <c r="G48" s="298">
        <f t="shared" si="15"/>
        <v>1254105.8870989336</v>
      </c>
      <c r="H48" s="163">
        <f t="shared" si="15"/>
        <v>900512.7720694202</v>
      </c>
      <c r="I48" s="120">
        <f t="shared" si="15"/>
        <v>663088.30285201943</v>
      </c>
      <c r="J48" s="120">
        <f t="shared" si="15"/>
        <v>477028.80520606239</v>
      </c>
      <c r="K48" s="120">
        <f t="shared" si="15"/>
        <v>516836.31698322686</v>
      </c>
      <c r="L48" s="120">
        <f t="shared" si="15"/>
        <v>621830.13904479519</v>
      </c>
      <c r="M48" s="120">
        <f t="shared" si="15"/>
        <v>1135674.5453493113</v>
      </c>
      <c r="N48" s="120">
        <f t="shared" si="15"/>
        <v>1720465.85018514</v>
      </c>
      <c r="O48" s="408">
        <f>O46*O47+'Annual Adjustment (Dec Only)'!C29</f>
        <v>2101686.4504275387</v>
      </c>
      <c r="P48" s="407" t="s">
        <v>409</v>
      </c>
      <c r="Q48" s="135">
        <f>SUM(D48:O48)</f>
        <v>14806032.552108243</v>
      </c>
    </row>
    <row r="49" spans="1:17" x14ac:dyDescent="0.25">
      <c r="A49" s="56"/>
      <c r="B49" s="55"/>
      <c r="C49" s="56"/>
      <c r="D49" s="120"/>
      <c r="E49" s="120"/>
      <c r="F49" s="120"/>
      <c r="G49" s="298"/>
      <c r="H49" s="163"/>
      <c r="I49" s="120"/>
      <c r="J49" s="120"/>
      <c r="K49" s="120"/>
      <c r="L49" s="120"/>
      <c r="M49" s="120"/>
      <c r="N49" s="120"/>
      <c r="O49" s="120"/>
      <c r="P49" s="120"/>
      <c r="Q49" s="135"/>
    </row>
    <row r="50" spans="1:17" x14ac:dyDescent="0.25">
      <c r="A50" s="56">
        <v>34</v>
      </c>
      <c r="B50" s="55" t="s">
        <v>361</v>
      </c>
      <c r="C50" s="56" t="str">
        <f>"("&amp;A38&amp;") - ("&amp;A42&amp;")"</f>
        <v>(24) - (28)</v>
      </c>
      <c r="D50" s="114">
        <f>'01.2020 Base Rate Revenue'!$I18</f>
        <v>8048134.9322300004</v>
      </c>
      <c r="E50" s="114">
        <f>'02.2020 Base Rate Revenue'!$I18</f>
        <v>7886249.7823200002</v>
      </c>
      <c r="F50" s="114">
        <f>'03.2020 Base Rate Revenue'!$I18</f>
        <v>7168311.4264900004</v>
      </c>
      <c r="G50" s="318">
        <f>G38-G42</f>
        <v>3525841.8090300001</v>
      </c>
      <c r="H50" s="115">
        <f t="shared" ref="H50:O50" si="16">H38-H42</f>
        <v>2849714.7724299999</v>
      </c>
      <c r="I50" s="115">
        <f t="shared" si="16"/>
        <v>1847002.4246300003</v>
      </c>
      <c r="J50" s="115">
        <f t="shared" si="16"/>
        <v>1757698.2273599999</v>
      </c>
      <c r="K50" s="115">
        <f t="shared" si="16"/>
        <v>1659248.46379</v>
      </c>
      <c r="L50" s="115">
        <f t="shared" si="16"/>
        <v>2050644.0757799998</v>
      </c>
      <c r="M50" s="115">
        <f t="shared" si="16"/>
        <v>4959131.6679999996</v>
      </c>
      <c r="N50" s="115">
        <f t="shared" si="16"/>
        <v>5749474.5793900006</v>
      </c>
      <c r="O50" s="115">
        <f t="shared" si="16"/>
        <v>7709040.0711200004</v>
      </c>
      <c r="P50" s="115"/>
      <c r="Q50" s="115">
        <f>SUM(D50:O50)</f>
        <v>55210492.23257</v>
      </c>
    </row>
    <row r="51" spans="1:17" ht="26.25" x14ac:dyDescent="0.25">
      <c r="A51" s="56">
        <v>35</v>
      </c>
      <c r="B51" s="122" t="s">
        <v>357</v>
      </c>
      <c r="C51" s="56" t="str">
        <f>"("&amp;A39&amp;") - ("&amp;A43&amp;")"</f>
        <v>(25) - (29)</v>
      </c>
      <c r="D51" s="123">
        <f>'01.2020 Base Rate Revenue'!$I38</f>
        <v>2616089.6451899996</v>
      </c>
      <c r="E51" s="123">
        <f>'02.2020 Base Rate Revenue'!$I38</f>
        <v>2269382.8915599994</v>
      </c>
      <c r="F51" s="123">
        <f>'03.2020 Base Rate Revenue'!$I38</f>
        <v>2087429.1248900001</v>
      </c>
      <c r="G51" s="319">
        <f>G39-G43</f>
        <v>1239703.00942</v>
      </c>
      <c r="H51" s="124">
        <f t="shared" ref="H51:O51" si="17">H39-H43</f>
        <v>1039346.03821</v>
      </c>
      <c r="I51" s="124">
        <f t="shared" si="17"/>
        <v>756791.31831999996</v>
      </c>
      <c r="J51" s="124">
        <f t="shared" si="17"/>
        <v>743471.49704000016</v>
      </c>
      <c r="K51" s="124">
        <f t="shared" si="17"/>
        <v>737732.04049000004</v>
      </c>
      <c r="L51" s="124">
        <f t="shared" si="17"/>
        <v>831177.39458000008</v>
      </c>
      <c r="M51" s="124">
        <f t="shared" si="17"/>
        <v>1631274.5589300001</v>
      </c>
      <c r="N51" s="124">
        <f t="shared" si="17"/>
        <v>1883020.1934799999</v>
      </c>
      <c r="O51" s="124">
        <f t="shared" si="17"/>
        <v>2428523.81348</v>
      </c>
      <c r="P51" s="124"/>
      <c r="Q51" s="120">
        <f>SUM(D51:O51)</f>
        <v>18263941.525589999</v>
      </c>
    </row>
    <row r="52" spans="1:17" ht="29.25" customHeight="1" x14ac:dyDescent="0.25">
      <c r="A52" s="376">
        <v>36</v>
      </c>
      <c r="B52" s="380" t="s">
        <v>358</v>
      </c>
      <c r="C52" s="376" t="str">
        <f>"("&amp;A40&amp;") - ("&amp;A44&amp;")"</f>
        <v>(26) - (30)</v>
      </c>
      <c r="D52" s="377">
        <f>'01.2020 Base Rate Revenue'!$C38</f>
        <v>306762.17</v>
      </c>
      <c r="E52" s="377">
        <f>'02.2020 Base Rate Revenue'!$C38</f>
        <v>308694.15999999997</v>
      </c>
      <c r="F52" s="377">
        <f>'03.2020 Base Rate Revenue'!$C38</f>
        <v>307626.48000000004</v>
      </c>
      <c r="G52" s="378">
        <f>G40-G44</f>
        <v>318804.15000000002</v>
      </c>
      <c r="H52" s="379">
        <f t="shared" ref="H52:O52" si="18">H40-H44</f>
        <v>332185.62</v>
      </c>
      <c r="I52" s="379">
        <f t="shared" si="18"/>
        <v>336384.97</v>
      </c>
      <c r="J52" s="379">
        <f t="shared" si="18"/>
        <v>335024.70999999996</v>
      </c>
      <c r="K52" s="379">
        <f t="shared" si="18"/>
        <v>332423.84000000003</v>
      </c>
      <c r="L52" s="379">
        <f t="shared" si="18"/>
        <v>336211.18</v>
      </c>
      <c r="M52" s="379">
        <f t="shared" si="18"/>
        <v>336377.64</v>
      </c>
      <c r="N52" s="379">
        <f t="shared" si="18"/>
        <v>335678.62</v>
      </c>
      <c r="O52" s="379">
        <f t="shared" si="18"/>
        <v>337241.51999999996</v>
      </c>
      <c r="P52" s="379"/>
      <c r="Q52" s="379">
        <f>SUM(D52:O52)</f>
        <v>3923415.06</v>
      </c>
    </row>
    <row r="53" spans="1:17" x14ac:dyDescent="0.25">
      <c r="A53" s="56">
        <v>37</v>
      </c>
      <c r="B53" s="55" t="s">
        <v>166</v>
      </c>
      <c r="C53" s="56" t="str">
        <f>"("&amp;A51&amp;") - ("&amp;A52&amp;")"</f>
        <v>(35) - (36)</v>
      </c>
      <c r="D53" s="120">
        <f t="shared" ref="D53:O53" si="19">D51-D52</f>
        <v>2309327.4751899997</v>
      </c>
      <c r="E53" s="120">
        <f t="shared" si="19"/>
        <v>1960688.7315599995</v>
      </c>
      <c r="F53" s="120">
        <f t="shared" si="19"/>
        <v>1779802.6448900001</v>
      </c>
      <c r="G53" s="298">
        <f t="shared" si="19"/>
        <v>920898.85941999999</v>
      </c>
      <c r="H53" s="163">
        <f t="shared" si="19"/>
        <v>707160.41821000003</v>
      </c>
      <c r="I53" s="120">
        <f t="shared" si="19"/>
        <v>420406.34831999999</v>
      </c>
      <c r="J53" s="120">
        <f t="shared" si="19"/>
        <v>408446.7870400002</v>
      </c>
      <c r="K53" s="120">
        <f t="shared" si="19"/>
        <v>405308.20049000002</v>
      </c>
      <c r="L53" s="120">
        <f t="shared" si="19"/>
        <v>494966.21458000009</v>
      </c>
      <c r="M53" s="120">
        <f t="shared" si="19"/>
        <v>1294896.9189300002</v>
      </c>
      <c r="N53" s="120">
        <f t="shared" si="19"/>
        <v>1547341.5734799998</v>
      </c>
      <c r="O53" s="120">
        <f t="shared" si="19"/>
        <v>2091282.29348</v>
      </c>
      <c r="P53" s="120"/>
      <c r="Q53" s="124">
        <f>SUM(D53:O53)</f>
        <v>14340526.465589998</v>
      </c>
    </row>
    <row r="54" spans="1:17" x14ac:dyDescent="0.25">
      <c r="A54" s="56">
        <v>38</v>
      </c>
      <c r="B54" s="136" t="s">
        <v>176</v>
      </c>
      <c r="C54" s="56" t="str">
        <f>"("&amp;A53&amp;") / ("&amp;A46&amp;")"</f>
        <v>(37) / (31)</v>
      </c>
      <c r="D54" s="137">
        <f>D53/D46</f>
        <v>734.98646568746017</v>
      </c>
      <c r="E54" s="137">
        <f t="shared" ref="E54:O54" si="20">E53/E46</f>
        <v>620.86406952501568</v>
      </c>
      <c r="F54" s="137">
        <f t="shared" si="20"/>
        <v>565.55533679377186</v>
      </c>
      <c r="G54" s="305">
        <f t="shared" si="20"/>
        <v>295.91865662596399</v>
      </c>
      <c r="H54" s="167">
        <f t="shared" si="20"/>
        <v>229.29974650129702</v>
      </c>
      <c r="I54" s="137">
        <f t="shared" si="20"/>
        <v>134.70245059916692</v>
      </c>
      <c r="J54" s="137">
        <f t="shared" si="20"/>
        <v>131.33337203858528</v>
      </c>
      <c r="K54" s="137">
        <f t="shared" si="20"/>
        <v>131.59357158766235</v>
      </c>
      <c r="L54" s="137">
        <f t="shared" si="20"/>
        <v>158.94868804752733</v>
      </c>
      <c r="M54" s="137">
        <f t="shared" si="20"/>
        <v>415.03106375961545</v>
      </c>
      <c r="N54" s="137">
        <f t="shared" si="20"/>
        <v>496.89838583172764</v>
      </c>
      <c r="O54" s="137">
        <f t="shared" si="20"/>
        <v>667.9279123219419</v>
      </c>
      <c r="P54" s="137"/>
      <c r="Q54" s="137"/>
    </row>
    <row r="55" spans="1:17" x14ac:dyDescent="0.25">
      <c r="A55" s="56">
        <v>39</v>
      </c>
      <c r="B55" s="55" t="s">
        <v>168</v>
      </c>
      <c r="C55" s="56" t="str">
        <f>"("&amp;A48&amp;") - ("&amp;A53&amp;")"</f>
        <v>(33) - (37)</v>
      </c>
      <c r="D55" s="126">
        <f>D48-D53</f>
        <v>-283615.00417154189</v>
      </c>
      <c r="E55" s="126">
        <f t="shared" ref="E55:O55" si="21">E48-E53</f>
        <v>-151287.42311927257</v>
      </c>
      <c r="F55" s="126">
        <f t="shared" si="21"/>
        <v>-200112.94145739079</v>
      </c>
      <c r="G55" s="300">
        <f t="shared" si="21"/>
        <v>333207.02767893358</v>
      </c>
      <c r="H55" s="126">
        <f t="shared" si="21"/>
        <v>193352.35385942017</v>
      </c>
      <c r="I55" s="126">
        <f t="shared" si="21"/>
        <v>242681.95453201944</v>
      </c>
      <c r="J55" s="126">
        <f t="shared" si="21"/>
        <v>68582.018166062189</v>
      </c>
      <c r="K55" s="126">
        <f t="shared" si="21"/>
        <v>111528.11649322684</v>
      </c>
      <c r="L55" s="126">
        <f t="shared" si="21"/>
        <v>126863.9244647951</v>
      </c>
      <c r="M55" s="126">
        <f t="shared" si="21"/>
        <v>-159222.37358068884</v>
      </c>
      <c r="N55" s="126">
        <f t="shared" si="21"/>
        <v>173124.27670514025</v>
      </c>
      <c r="O55" s="126">
        <f t="shared" si="21"/>
        <v>10404.156947538722</v>
      </c>
      <c r="P55" s="126"/>
      <c r="Q55" s="124">
        <f t="shared" ref="Q55:Q58" si="22">SUM(D55:O55)</f>
        <v>465506.0865182422</v>
      </c>
    </row>
    <row r="56" spans="1:17" x14ac:dyDescent="0.25">
      <c r="A56" s="56">
        <v>40</v>
      </c>
      <c r="B56" s="55" t="s">
        <v>169</v>
      </c>
      <c r="C56" s="56" t="s">
        <v>170</v>
      </c>
      <c r="D56" s="126">
        <f>D55*-'UG-170486 Auth Base'!$R$20</f>
        <v>13178.171168830691</v>
      </c>
      <c r="E56" s="126">
        <f>E55*-'UG-170486 Auth Base'!$R$20</f>
        <v>7029.5701152369993</v>
      </c>
      <c r="F56" s="126">
        <f>F55*-'UG-170486 Auth Base'!$R$20</f>
        <v>9298.2478248176612</v>
      </c>
      <c r="G56" s="300">
        <f>G55*-'UG-190335 Auth Base'!$W$20</f>
        <v>-14712.756307163312</v>
      </c>
      <c r="H56" s="126">
        <f>H55*-'UG-190335 Auth Base'!$W$20</f>
        <v>-8537.4731846626983</v>
      </c>
      <c r="I56" s="126">
        <f>I55*-'UG-190335 Auth Base'!$W$20</f>
        <v>-10715.621702361319</v>
      </c>
      <c r="J56" s="126">
        <f>J55*-'UG-190335 Auth Base'!$W$20</f>
        <v>-3028.2390121224757</v>
      </c>
      <c r="K56" s="126">
        <f>K55*-'UG-190335 Auth Base'!$W$20</f>
        <v>-4924.5239837584313</v>
      </c>
      <c r="L56" s="126">
        <f>L55*-'UG-190335 Auth Base'!$W$20</f>
        <v>-5601.6765847430279</v>
      </c>
      <c r="M56" s="126">
        <f>M55*-'UG-190335 Auth Base'!$W$20</f>
        <v>7030.4639054553163</v>
      </c>
      <c r="N56" s="126">
        <f>N55*-'UG-190335 Auth Base'!$W$20</f>
        <v>-7644.3024379154676</v>
      </c>
      <c r="O56" s="126">
        <f>O55*-'UG-190335 Auth Base'!$W$20</f>
        <v>-459.39555001857229</v>
      </c>
      <c r="P56" s="126"/>
      <c r="Q56" s="124">
        <f t="shared" si="22"/>
        <v>-19087.535748404636</v>
      </c>
    </row>
    <row r="57" spans="1:17" x14ac:dyDescent="0.25">
      <c r="A57" s="128">
        <v>41</v>
      </c>
      <c r="B57" s="138"/>
      <c r="C57" s="56" t="s">
        <v>171</v>
      </c>
      <c r="D57" s="129">
        <f t="shared" ref="D57:O57" si="23">D30</f>
        <v>4.9599999999999998E-2</v>
      </c>
      <c r="E57" s="129">
        <f t="shared" si="23"/>
        <v>4.9599999999999998E-2</v>
      </c>
      <c r="F57" s="129">
        <f t="shared" si="23"/>
        <v>4.9599999999999998E-2</v>
      </c>
      <c r="G57" s="301">
        <f t="shared" si="23"/>
        <v>4.7500000000000001E-2</v>
      </c>
      <c r="H57" s="130">
        <f t="shared" si="23"/>
        <v>4.7500000000000001E-2</v>
      </c>
      <c r="I57" s="129">
        <f t="shared" si="23"/>
        <v>4.7500000000000001E-2</v>
      </c>
      <c r="J57" s="129">
        <f t="shared" si="23"/>
        <v>3.4299999999999997E-2</v>
      </c>
      <c r="K57" s="129">
        <f t="shared" si="23"/>
        <v>3.4299999999999997E-2</v>
      </c>
      <c r="L57" s="129">
        <f t="shared" si="23"/>
        <v>3.4299999999999997E-2</v>
      </c>
      <c r="M57" s="129">
        <f t="shared" si="23"/>
        <v>3.2500000000000001E-2</v>
      </c>
      <c r="N57" s="129">
        <f>N30</f>
        <v>3.2500000000000001E-2</v>
      </c>
      <c r="O57" s="129">
        <f t="shared" si="23"/>
        <v>3.2500000000000001E-2</v>
      </c>
      <c r="P57" s="129"/>
      <c r="Q57" s="139"/>
    </row>
    <row r="58" spans="1:17" x14ac:dyDescent="0.25">
      <c r="A58" s="56">
        <v>42</v>
      </c>
      <c r="B58" s="55" t="s">
        <v>172</v>
      </c>
      <c r="C58" s="56" t="s">
        <v>173</v>
      </c>
      <c r="D58" s="131">
        <f>(D55+D56)/2*D57/12</f>
        <v>-558.90278820560309</v>
      </c>
      <c r="E58" s="131">
        <f>(D60+(E55+E56)/2)*E57/12</f>
        <v>-1418.2486041441296</v>
      </c>
      <c r="F58" s="131">
        <f t="shared" ref="F58:O58" si="24">(E60+(F55+F56)/2)*F57/12</f>
        <v>-2116.5939614235836</v>
      </c>
      <c r="G58" s="302">
        <f t="shared" si="24"/>
        <v>-1782.6591243410321</v>
      </c>
      <c r="H58" s="165">
        <f t="shared" si="24"/>
        <v>-793.58278661612906</v>
      </c>
      <c r="I58" s="131">
        <f t="shared" si="24"/>
        <v>28.155433247671215</v>
      </c>
      <c r="J58" s="131">
        <f t="shared" si="24"/>
        <v>445.61749085789234</v>
      </c>
      <c r="K58" s="131">
        <f t="shared" si="24"/>
        <v>692.93279118821522</v>
      </c>
      <c r="L58" s="131">
        <f t="shared" si="24"/>
        <v>1020.5716876397179</v>
      </c>
      <c r="M58" s="131">
        <f t="shared" si="24"/>
        <v>927.89412105247118</v>
      </c>
      <c r="N58" s="131">
        <f t="shared" si="24"/>
        <v>948.40142176530981</v>
      </c>
      <c r="O58" s="131">
        <f t="shared" si="24"/>
        <v>1188.5243384952664</v>
      </c>
      <c r="P58" s="131"/>
      <c r="Q58" s="131">
        <f t="shared" si="22"/>
        <v>-1417.889980483933</v>
      </c>
    </row>
    <row r="59" spans="1:17" ht="15.75" thickBot="1" x14ac:dyDescent="0.3">
      <c r="A59" s="56">
        <v>43</v>
      </c>
      <c r="B59" s="108" t="s">
        <v>177</v>
      </c>
      <c r="C59" s="56"/>
      <c r="D59" s="132">
        <f>D55+D56+D58</f>
        <v>-270995.73579091678</v>
      </c>
      <c r="E59" s="132">
        <f t="shared" ref="E59:O59" si="25">E55+E56+E58</f>
        <v>-145676.10160817968</v>
      </c>
      <c r="F59" s="132">
        <f t="shared" si="25"/>
        <v>-192931.28759399671</v>
      </c>
      <c r="G59" s="303">
        <f t="shared" si="25"/>
        <v>316711.61224742921</v>
      </c>
      <c r="H59" s="132">
        <f t="shared" si="25"/>
        <v>184021.29788814133</v>
      </c>
      <c r="I59" s="132">
        <f t="shared" si="25"/>
        <v>231994.4882629058</v>
      </c>
      <c r="J59" s="132">
        <f t="shared" si="25"/>
        <v>65999.396644797613</v>
      </c>
      <c r="K59" s="132">
        <f t="shared" si="25"/>
        <v>107296.52530065662</v>
      </c>
      <c r="L59" s="132">
        <f t="shared" si="25"/>
        <v>122282.8195676918</v>
      </c>
      <c r="M59" s="132">
        <f t="shared" si="25"/>
        <v>-151264.01555418107</v>
      </c>
      <c r="N59" s="132">
        <f t="shared" si="25"/>
        <v>166428.37568899008</v>
      </c>
      <c r="O59" s="132">
        <f t="shared" si="25"/>
        <v>11133.285736015416</v>
      </c>
      <c r="P59" s="132"/>
      <c r="Q59" s="132">
        <f>SUM(D59:O59)</f>
        <v>445000.66078935366</v>
      </c>
    </row>
    <row r="60" spans="1:17" ht="15.75" thickBot="1" x14ac:dyDescent="0.3">
      <c r="A60" s="56">
        <v>44</v>
      </c>
      <c r="B60" s="55" t="s">
        <v>175</v>
      </c>
      <c r="C60" s="56" t="str">
        <f>"Σ(("&amp;A55&amp;") ,("&amp;A56&amp;") , ("&amp;A58&amp;"))"</f>
        <v>Σ((39) ,(40) , (42))</v>
      </c>
      <c r="D60" s="120">
        <f>D55+D56+D58</f>
        <v>-270995.73579091678</v>
      </c>
      <c r="E60" s="120">
        <f>D60+E55+E56+E58</f>
        <v>-416671.83739909652</v>
      </c>
      <c r="F60" s="120">
        <f t="shared" ref="F60:O60" si="26">E60+F55+F56+F58</f>
        <v>-609603.1249930932</v>
      </c>
      <c r="G60" s="298">
        <f t="shared" si="26"/>
        <v>-292891.51274566399</v>
      </c>
      <c r="H60" s="163">
        <f t="shared" si="26"/>
        <v>-108870.21485752265</v>
      </c>
      <c r="I60" s="120">
        <f t="shared" si="26"/>
        <v>123124.27340538317</v>
      </c>
      <c r="J60" s="120">
        <f t="shared" si="26"/>
        <v>189123.67005018078</v>
      </c>
      <c r="K60" s="120">
        <f t="shared" si="26"/>
        <v>296420.19535083743</v>
      </c>
      <c r="L60" s="120">
        <f t="shared" si="26"/>
        <v>418703.0149185292</v>
      </c>
      <c r="M60" s="120">
        <f t="shared" si="26"/>
        <v>267438.99936434813</v>
      </c>
      <c r="N60" s="120">
        <f t="shared" si="26"/>
        <v>433867.37505333824</v>
      </c>
      <c r="O60" s="133">
        <f t="shared" si="26"/>
        <v>445000.66078935366</v>
      </c>
      <c r="P60" s="405"/>
      <c r="Q60" s="106"/>
    </row>
    <row r="61" spans="1:17" ht="15.75" thickBot="1" x14ac:dyDescent="0.3">
      <c r="A61" s="56"/>
      <c r="B61" s="55"/>
      <c r="C61" s="55"/>
      <c r="D61" s="55"/>
      <c r="E61" s="55"/>
      <c r="F61" s="55"/>
      <c r="G61" s="306"/>
      <c r="H61" s="168"/>
      <c r="I61" s="55"/>
      <c r="J61" s="55"/>
      <c r="K61" s="55"/>
      <c r="L61" s="55"/>
      <c r="M61" s="55"/>
      <c r="N61" s="55"/>
      <c r="O61" s="55"/>
      <c r="P61" s="55"/>
      <c r="Q61" s="106"/>
    </row>
    <row r="62" spans="1:17" ht="15.75" thickBot="1" x14ac:dyDescent="0.3">
      <c r="A62" s="113">
        <v>45</v>
      </c>
      <c r="B62" s="108" t="s">
        <v>178</v>
      </c>
      <c r="C62" s="113" t="str">
        <f>"("&amp;A33&amp;") + ("&amp;A60&amp;")"</f>
        <v>(22) + (44)</v>
      </c>
      <c r="D62" s="120">
        <f t="shared" ref="D62:O62" si="27">D33+D60</f>
        <v>-393444.24415459973</v>
      </c>
      <c r="E62" s="120">
        <f t="shared" si="27"/>
        <v>-712990.75737147569</v>
      </c>
      <c r="F62" s="120">
        <f t="shared" si="27"/>
        <v>-1665123.0261192885</v>
      </c>
      <c r="G62" s="298">
        <f t="shared" si="27"/>
        <v>-414827.17787557043</v>
      </c>
      <c r="H62" s="163">
        <f t="shared" si="27"/>
        <v>282790.53272982303</v>
      </c>
      <c r="I62" s="120">
        <f t="shared" si="27"/>
        <v>597920.48565300112</v>
      </c>
      <c r="J62" s="120">
        <f t="shared" si="27"/>
        <v>610564.40058876795</v>
      </c>
      <c r="K62" s="120">
        <f t="shared" si="27"/>
        <v>764211.36249148333</v>
      </c>
      <c r="L62" s="120">
        <f t="shared" si="27"/>
        <v>1146900.9874754348</v>
      </c>
      <c r="M62" s="120">
        <f t="shared" si="27"/>
        <v>1200164.7928146725</v>
      </c>
      <c r="N62" s="120">
        <f t="shared" si="27"/>
        <v>1117371.8602375991</v>
      </c>
      <c r="O62" s="133">
        <f t="shared" si="27"/>
        <v>1619438.7757392297</v>
      </c>
      <c r="P62" s="405"/>
      <c r="Q62" s="106"/>
    </row>
    <row r="63" spans="1:17" x14ac:dyDescent="0.25">
      <c r="B63" s="409" t="s">
        <v>410</v>
      </c>
      <c r="C63" s="410"/>
      <c r="D63" s="411"/>
      <c r="E63" s="411"/>
      <c r="F63" s="411"/>
      <c r="G63" s="412"/>
      <c r="H63" s="411"/>
      <c r="I63" s="411"/>
      <c r="J63" s="411"/>
      <c r="K63" s="411"/>
      <c r="L63" s="411"/>
      <c r="M63" s="411"/>
      <c r="N63" s="411"/>
      <c r="O63" s="411"/>
      <c r="P63" s="411"/>
      <c r="Q63" s="413"/>
    </row>
    <row r="64" spans="1:17" ht="21.75" customHeight="1" x14ac:dyDescent="0.25">
      <c r="A64" s="138"/>
      <c r="B64" s="140" t="s">
        <v>179</v>
      </c>
      <c r="C64" s="85" t="s">
        <v>180</v>
      </c>
      <c r="D64" s="141">
        <f t="shared" ref="D64:O64" si="28">D6</f>
        <v>43831</v>
      </c>
      <c r="E64" s="141">
        <f t="shared" si="28"/>
        <v>43862</v>
      </c>
      <c r="F64" s="141">
        <f t="shared" si="28"/>
        <v>43891</v>
      </c>
      <c r="G64" s="141">
        <f t="shared" si="28"/>
        <v>43922</v>
      </c>
      <c r="H64" s="169">
        <f t="shared" si="28"/>
        <v>43952</v>
      </c>
      <c r="I64" s="141">
        <f t="shared" si="28"/>
        <v>43983</v>
      </c>
      <c r="J64" s="141">
        <f t="shared" si="28"/>
        <v>44013</v>
      </c>
      <c r="K64" s="141">
        <f t="shared" si="28"/>
        <v>44044</v>
      </c>
      <c r="L64" s="141">
        <f t="shared" si="28"/>
        <v>44075</v>
      </c>
      <c r="M64" s="141">
        <f t="shared" si="28"/>
        <v>44105</v>
      </c>
      <c r="N64" s="141">
        <f t="shared" si="28"/>
        <v>44136</v>
      </c>
      <c r="O64" s="141">
        <f t="shared" si="28"/>
        <v>44166</v>
      </c>
      <c r="P64" s="141"/>
    </row>
    <row r="65" spans="1:17" x14ac:dyDescent="0.25">
      <c r="A65" s="138"/>
      <c r="B65" s="138"/>
      <c r="H65" s="24"/>
    </row>
    <row r="66" spans="1:17" x14ac:dyDescent="0.25">
      <c r="A66" s="138" t="s">
        <v>181</v>
      </c>
      <c r="B66" s="138" t="s">
        <v>182</v>
      </c>
      <c r="D66" s="34">
        <f>ROUND(-D28-D29,2)</f>
        <v>122195.97</v>
      </c>
      <c r="E66" s="34">
        <f>-E28-E29</f>
        <v>173006.74383686349</v>
      </c>
      <c r="F66" s="34">
        <f>ROUND(-F28-F29,2)</f>
        <v>756412.94</v>
      </c>
      <c r="G66" s="34">
        <f>ROUND(-G28-G29,2)</f>
        <v>-935910.01</v>
      </c>
      <c r="H66" s="34">
        <f>ROUND(-H28-H29,2)</f>
        <v>-513063.64</v>
      </c>
      <c r="I66" s="34">
        <f>-I28-I29</f>
        <v>-81423.989222402975</v>
      </c>
      <c r="J66" s="34">
        <f>-J28-J29</f>
        <v>54634.52570605027</v>
      </c>
      <c r="K66" s="34">
        <f>ROUND(-K28-K29,2)</f>
        <v>-45081.39</v>
      </c>
      <c r="L66" s="34">
        <f>ROUND(-L28-L29,2)</f>
        <v>-258699.98</v>
      </c>
      <c r="M66" s="34">
        <f>ROUND(-M28-M29,2)</f>
        <v>-202281.69</v>
      </c>
      <c r="N66" s="34">
        <f>ROUND(-N28-N29,2)</f>
        <v>251406.99</v>
      </c>
      <c r="O66" s="34">
        <f>ROUND(-O28-O29,2)</f>
        <v>-488421.07</v>
      </c>
      <c r="P66" s="34"/>
      <c r="Q66" s="38"/>
    </row>
    <row r="67" spans="1:17" x14ac:dyDescent="0.25">
      <c r="A67" s="138" t="s">
        <v>181</v>
      </c>
      <c r="B67" s="138" t="s">
        <v>183</v>
      </c>
      <c r="D67" s="34">
        <f>ROUND(IF(D31&lt;0,-D31,0),2)</f>
        <v>252.54</v>
      </c>
      <c r="E67" s="34">
        <f>IF(E31&lt;0,-E31,0)</f>
        <v>863.66777183274087</v>
      </c>
      <c r="F67" s="34">
        <f>ROUND(IF(F31&lt;0,-F31,0),2)</f>
        <v>2788.04</v>
      </c>
      <c r="G67" s="34">
        <f>ROUND(IF(G31&lt;0,-G31,0),2)</f>
        <v>2325.7800000000002</v>
      </c>
      <c r="H67" s="34">
        <f>ROUND(IF(H31&lt;0,-H31,0),2)</f>
        <v>0</v>
      </c>
      <c r="I67" s="34">
        <f>IF(I31&lt;0,-I31,0)</f>
        <v>0</v>
      </c>
      <c r="J67" s="34">
        <f>IF(J31&lt;0,-J31,0)</f>
        <v>0</v>
      </c>
      <c r="K67" s="34">
        <f>ROUND(IF(K31&lt;0,-K31,0),2)</f>
        <v>0</v>
      </c>
      <c r="L67" s="34">
        <f>ROUND(IF(L31&lt;0,-L31,0),2)</f>
        <v>0</v>
      </c>
      <c r="M67" s="34">
        <f>ROUND(IF(M31&lt;0,-M31,0),2)</f>
        <v>0</v>
      </c>
      <c r="N67" s="34">
        <f>ROUND(IF(N31&lt;0,-N31,0),2)</f>
        <v>0</v>
      </c>
      <c r="O67" s="34">
        <f>ROUND(IF(O31&lt;0,-O31,0),2)</f>
        <v>0</v>
      </c>
      <c r="P67" s="34"/>
      <c r="Q67" s="38"/>
    </row>
    <row r="68" spans="1:17" x14ac:dyDescent="0.25">
      <c r="A68" s="138" t="s">
        <v>181</v>
      </c>
      <c r="B68" s="138" t="s">
        <v>184</v>
      </c>
      <c r="D68" s="34">
        <f>ROUND(IF(D31&gt;0,-D31,0),2)</f>
        <v>0</v>
      </c>
      <c r="E68" s="34">
        <f>IF(E31&gt;0,-E31,0)</f>
        <v>0</v>
      </c>
      <c r="F68" s="34">
        <f>ROUND(IF(F31&gt;0,-F31,0),2)</f>
        <v>0</v>
      </c>
      <c r="G68" s="34">
        <f>ROUND(IF(G31&gt;0,-G31,0),2)</f>
        <v>0</v>
      </c>
      <c r="H68" s="34">
        <f>ROUND(IF(H31&gt;0,-H31,0),2)</f>
        <v>-532.78</v>
      </c>
      <c r="I68" s="34">
        <f>IF(I31&gt;0,-I31,0)</f>
        <v>-1711.4754378692489</v>
      </c>
      <c r="J68" s="34">
        <f>IF(J31&gt;0,-J31,0)</f>
        <v>-1279.0439970195441</v>
      </c>
      <c r="K68" s="34">
        <f>ROUND(IF(K31&gt;0,-K31,0),2)</f>
        <v>-1269.05</v>
      </c>
      <c r="L68" s="34">
        <f>ROUND(IF(L31&gt;0,-L31,0),2)</f>
        <v>-1706.83</v>
      </c>
      <c r="M68" s="34">
        <f>ROUND(IF(M31&gt;0,-M31,0),2)</f>
        <v>-2246.13</v>
      </c>
      <c r="N68" s="34">
        <f>ROUND(IF(N31&gt;0,-N31,0),2)</f>
        <v>-2185.69</v>
      </c>
      <c r="O68" s="34">
        <f>ROUND(IF(O31&gt;0,-O31,0),2)</f>
        <v>-2512.56</v>
      </c>
      <c r="P68" s="34"/>
      <c r="Q68" s="38"/>
    </row>
    <row r="69" spans="1:17" ht="15.75" thickBot="1" x14ac:dyDescent="0.3">
      <c r="A69" s="138" t="s">
        <v>181</v>
      </c>
      <c r="B69" s="138" t="s">
        <v>185</v>
      </c>
      <c r="D69" s="34">
        <f t="shared" ref="D69" si="29">-SUM(D66:D68)</f>
        <v>-122448.51</v>
      </c>
      <c r="E69" s="34">
        <f t="shared" ref="E69:F69" si="30">-SUM(E66:E68)</f>
        <v>-173870.41160869622</v>
      </c>
      <c r="F69" s="34">
        <f t="shared" si="30"/>
        <v>-759200.98</v>
      </c>
      <c r="G69" s="34">
        <f>-SUM(G66:G68)</f>
        <v>933584.23</v>
      </c>
      <c r="H69" s="142">
        <f t="shared" ref="H69:O69" si="31">-SUM(H66:H68)</f>
        <v>513596.42000000004</v>
      </c>
      <c r="I69" s="34">
        <f t="shared" si="31"/>
        <v>83135.46466027222</v>
      </c>
      <c r="J69" s="34">
        <f t="shared" si="31"/>
        <v>-53355.481709030726</v>
      </c>
      <c r="K69" s="34">
        <f t="shared" si="31"/>
        <v>46350.44</v>
      </c>
      <c r="L69" s="34">
        <f t="shared" si="31"/>
        <v>260406.81</v>
      </c>
      <c r="M69" s="34">
        <f t="shared" si="31"/>
        <v>204527.82</v>
      </c>
      <c r="N69" s="34">
        <f t="shared" si="31"/>
        <v>-249221.3</v>
      </c>
      <c r="O69" s="34">
        <f t="shared" si="31"/>
        <v>490933.63</v>
      </c>
      <c r="P69" s="34"/>
      <c r="Q69" s="38"/>
    </row>
    <row r="70" spans="1:17" x14ac:dyDescent="0.25">
      <c r="A70" s="138" t="s">
        <v>181</v>
      </c>
      <c r="B70" s="143" t="s">
        <v>186</v>
      </c>
      <c r="C70" s="144"/>
      <c r="D70" s="142">
        <f t="shared" ref="D70" si="32">-D71-D72</f>
        <v>79833.332119464001</v>
      </c>
      <c r="E70" s="34">
        <f t="shared" ref="E70" si="33">-E71-E72</f>
        <v>73074.424232402991</v>
      </c>
      <c r="F70" s="34">
        <f>-F71-F72</f>
        <v>67191.294224241021</v>
      </c>
      <c r="G70" s="34">
        <f>-G71-G72</f>
        <v>34849.945632843002</v>
      </c>
      <c r="H70" s="142">
        <f>-H71-H72</f>
        <v>20748.09</v>
      </c>
      <c r="I70" s="142">
        <f t="shared" ref="I70:O70" si="34">-I71-I72</f>
        <v>13363.58</v>
      </c>
      <c r="J70" s="142">
        <f t="shared" si="34"/>
        <v>10555.81</v>
      </c>
      <c r="K70" s="142">
        <f t="shared" si="34"/>
        <v>-15749.12</v>
      </c>
      <c r="L70" s="142">
        <f t="shared" si="34"/>
        <v>-18661.32</v>
      </c>
      <c r="M70" s="142">
        <f t="shared" si="34"/>
        <v>-58870.65</v>
      </c>
      <c r="N70" s="142">
        <f t="shared" si="34"/>
        <v>-112420.18</v>
      </c>
      <c r="O70" s="142">
        <f t="shared" si="34"/>
        <v>-141087.79</v>
      </c>
      <c r="P70" s="142"/>
      <c r="Q70" s="38"/>
    </row>
    <row r="71" spans="1:17" x14ac:dyDescent="0.25">
      <c r="A71" s="138" t="s">
        <v>181</v>
      </c>
      <c r="B71" s="145" t="s">
        <v>187</v>
      </c>
      <c r="C71" s="146"/>
      <c r="D71" s="142">
        <f>IF(-'01.2020 Base Rate Revenue'!$W$14&lt;0,-'01.2020 Base Rate Revenue'!$W$14,0)</f>
        <v>-79833.332119464001</v>
      </c>
      <c r="E71" s="142">
        <f>IF(-'02.2020 Base Rate Revenue'!$W$14&lt;0,-'02.2020 Base Rate Revenue'!$W$14,0)</f>
        <v>-73074.424232402991</v>
      </c>
      <c r="F71" s="142">
        <f>IF(-'03.2020 Base Rate Revenue'!$W$14&lt;0,-'03.2020 Base Rate Revenue'!$W$14,0)</f>
        <v>-67191.294224241021</v>
      </c>
      <c r="G71" s="142">
        <f>IF(-'04.2020 Base Rate Revenue'!$W$14&lt;0,-'04.2020 Base Rate Revenue'!$W$14,0)</f>
        <v>-34849.945632843002</v>
      </c>
      <c r="H71" s="142">
        <f>IF(-'05.2020 Base Rate Revenue'!$W$14&lt;0,-'05.2020 Base Rate Revenue'!$W$14,0)</f>
        <v>-20748.09</v>
      </c>
      <c r="I71" s="142">
        <f>IF(-'06.2020 Base Rate Revenue'!$W$14&lt;0,-'06.2020 Base Rate Revenue'!$W$14,0)</f>
        <v>-13363.58</v>
      </c>
      <c r="J71" s="142">
        <f>IF(-'07.2020 Base Rate Revenue'!$W$14&lt;0,-'07.2020 Base Rate Revenue'!$W$14,0)</f>
        <v>-10555.81</v>
      </c>
      <c r="K71" s="142">
        <f>ROUND(IF(-'08.2020 Base Rate Revenue'!$W$14&lt;0,-'08.2020 Base Rate Revenue'!$W$14,0),2)</f>
        <v>0</v>
      </c>
      <c r="L71" s="142">
        <f>IF(-'09.2020 Base Rate Revenue'!$W$14&lt;0,-'09.2020 Base Rate Revenue'!$W$14,0)</f>
        <v>0</v>
      </c>
      <c r="M71" s="142">
        <f>IF(-'10.2020 Base Rate Revenue'!$W$14&lt;0,-'10.2020 Base Rate Revenue'!$W$14,0)</f>
        <v>0</v>
      </c>
      <c r="N71" s="142">
        <f>IF(-'11.2020 Base Rate Revenue'!$W$14&lt;0,-'11.2020 Base Rate Revenue'!$W$14,0)</f>
        <v>0</v>
      </c>
      <c r="O71" s="142">
        <f>IF(-'12.2020 Base Rate Revenue'!$W$14&lt;0,-'12.2020 Base Rate Revenue'!$W$14,0)</f>
        <v>0</v>
      </c>
      <c r="P71" s="142"/>
      <c r="Q71" s="38"/>
    </row>
    <row r="72" spans="1:17" ht="15.75" thickBot="1" x14ac:dyDescent="0.3">
      <c r="A72" s="138" t="s">
        <v>181</v>
      </c>
      <c r="B72" s="147" t="s">
        <v>188</v>
      </c>
      <c r="C72" s="148"/>
      <c r="D72" s="142">
        <f>IF(-'01.2020 Base Rate Revenue'!$W$14&gt;0,-'01.2020 Base Rate Revenue'!$W$14,0)</f>
        <v>0</v>
      </c>
      <c r="E72" s="142">
        <f>IF(-'02.2020 Base Rate Revenue'!$W$14&gt;0,-'02.2020 Base Rate Revenue'!$W$14,0)</f>
        <v>0</v>
      </c>
      <c r="F72" s="142">
        <f>IF(-'03.2020 Base Rate Revenue'!$W$14&gt;0,-'03.2020 Base Rate Revenue'!$W$14,0)</f>
        <v>0</v>
      </c>
      <c r="G72" s="142">
        <f>IF(-'04.2020 Base Rate Revenue'!$W$14&gt;0,-'04.2020 Base Rate Revenue'!$W$14,0)</f>
        <v>0</v>
      </c>
      <c r="H72" s="142">
        <f>IF(-'05.2020 Base Rate Revenue'!$W$14&gt;0,-'05.2020 Base Rate Revenue'!$W$14,0)</f>
        <v>0</v>
      </c>
      <c r="I72" s="142">
        <f>IF(-'06.2020 Base Rate Revenue'!$W$14&gt;0,-'06.2020 Base Rate Revenue'!$W$14,0)</f>
        <v>0</v>
      </c>
      <c r="J72" s="142">
        <f>IF(-'07.2020 Base Rate Revenue'!$W$14&gt;0,-'07.2020 Base Rate Revenue'!$W$14,0)</f>
        <v>0</v>
      </c>
      <c r="K72" s="142">
        <f>ROUND(IF(-'08.2020 Base Rate Revenue'!$W$14&gt;0,-'08.2020 Base Rate Revenue'!$W$14,0),2)</f>
        <v>15749.12</v>
      </c>
      <c r="L72" s="142">
        <f>IF(-'09.2020 Base Rate Revenue'!$W$14&gt;0,-'09.2020 Base Rate Revenue'!$W$14,0)</f>
        <v>18661.32</v>
      </c>
      <c r="M72" s="142">
        <f>IF(-'10.2020 Base Rate Revenue'!$W$14&gt;0,-'10.2020 Base Rate Revenue'!$W$14,0)</f>
        <v>58870.65</v>
      </c>
      <c r="N72" s="142">
        <f>IF(-'11.2020 Base Rate Revenue'!$W$14&gt;0,-'11.2020 Base Rate Revenue'!$W$14,0)</f>
        <v>112420.18</v>
      </c>
      <c r="O72" s="142">
        <f>IF(-'12.2020 Base Rate Revenue'!$W$14&gt;0,-'12.2020 Base Rate Revenue'!$W$14,0)</f>
        <v>141087.79</v>
      </c>
      <c r="P72" s="142"/>
      <c r="Q72" s="38"/>
    </row>
    <row r="73" spans="1:17" x14ac:dyDescent="0.25">
      <c r="A73" s="138"/>
      <c r="B73" s="138"/>
      <c r="D73" s="34"/>
      <c r="E73" s="34"/>
      <c r="F73" s="34"/>
      <c r="G73" s="34"/>
      <c r="H73" s="142"/>
      <c r="I73" s="34"/>
      <c r="J73" s="34"/>
      <c r="K73" s="34"/>
      <c r="L73" s="34"/>
      <c r="M73" s="34"/>
      <c r="N73" s="34"/>
      <c r="O73" s="34"/>
      <c r="P73" s="34"/>
      <c r="Q73" s="38"/>
    </row>
    <row r="74" spans="1:17" x14ac:dyDescent="0.25">
      <c r="A74" s="138" t="s">
        <v>181</v>
      </c>
      <c r="B74" s="138" t="s">
        <v>189</v>
      </c>
      <c r="D74" s="34">
        <f t="shared" ref="D74" si="35">ROUND(-D55-D56,2)</f>
        <v>270436.83</v>
      </c>
      <c r="E74" s="34">
        <f t="shared" ref="E74:J74" si="36">-E55-E56</f>
        <v>144257.85300403557</v>
      </c>
      <c r="F74" s="34">
        <f>ROUND(-F55-F56,2)</f>
        <v>190814.69</v>
      </c>
      <c r="G74" s="142">
        <f>ROUND(-G55-G56,2)</f>
        <v>-318494.27</v>
      </c>
      <c r="H74" s="142">
        <f>ROUND(-H55-H56,2)</f>
        <v>-184814.88</v>
      </c>
      <c r="I74" s="34">
        <f t="shared" si="36"/>
        <v>-231966.33282965812</v>
      </c>
      <c r="J74" s="34">
        <f t="shared" si="36"/>
        <v>-65553.779153939715</v>
      </c>
      <c r="K74" s="34">
        <f>ROUND(-K55-K56,2)</f>
        <v>-106603.59</v>
      </c>
      <c r="L74" s="34">
        <f>ROUND(-L55-L56,2)</f>
        <v>-121262.25</v>
      </c>
      <c r="M74" s="34">
        <f t="shared" ref="M74:O74" si="37">ROUND(-M55-M56,2)</f>
        <v>152191.91</v>
      </c>
      <c r="N74" s="34">
        <f t="shared" si="37"/>
        <v>-165479.97</v>
      </c>
      <c r="O74" s="34">
        <f t="shared" si="37"/>
        <v>-9944.76</v>
      </c>
      <c r="P74" s="34"/>
      <c r="Q74" s="38"/>
    </row>
    <row r="75" spans="1:17" x14ac:dyDescent="0.25">
      <c r="A75" s="138" t="s">
        <v>181</v>
      </c>
      <c r="B75" s="138" t="s">
        <v>183</v>
      </c>
      <c r="D75" s="34">
        <f t="shared" ref="D75" si="38">ROUND(IF(D58&lt;0,-D58,0),2)</f>
        <v>558.9</v>
      </c>
      <c r="E75" s="34">
        <f t="shared" ref="E75:J75" si="39">IF(E58&lt;0,-E58,0)</f>
        <v>1418.2486041441296</v>
      </c>
      <c r="F75" s="34">
        <f>ROUND(IF(F58&lt;0,-F58,0),2)</f>
        <v>2116.59</v>
      </c>
      <c r="G75" s="142">
        <f>ROUND(IF(G58&lt;0,-G58,0),2)</f>
        <v>1782.66</v>
      </c>
      <c r="H75" s="142">
        <f>ROUND(IF(H58&lt;0,-H58,0),2)</f>
        <v>793.58</v>
      </c>
      <c r="I75" s="34">
        <f t="shared" si="39"/>
        <v>0</v>
      </c>
      <c r="J75" s="34">
        <f t="shared" si="39"/>
        <v>0</v>
      </c>
      <c r="K75" s="34">
        <f>ROUND(IF(K58&lt;0,-K58,0),2)</f>
        <v>0</v>
      </c>
      <c r="L75" s="34">
        <f>ROUND(IF(L58&lt;0,-L58,0),2)</f>
        <v>0</v>
      </c>
      <c r="M75" s="34">
        <f t="shared" ref="M75:O75" si="40">ROUND(IF(M58&lt;0,-M58,0),2)</f>
        <v>0</v>
      </c>
      <c r="N75" s="34">
        <f t="shared" si="40"/>
        <v>0</v>
      </c>
      <c r="O75" s="34">
        <f t="shared" si="40"/>
        <v>0</v>
      </c>
      <c r="P75" s="34"/>
      <c r="Q75" s="38"/>
    </row>
    <row r="76" spans="1:17" x14ac:dyDescent="0.25">
      <c r="A76" s="138" t="s">
        <v>181</v>
      </c>
      <c r="B76" s="138" t="s">
        <v>184</v>
      </c>
      <c r="D76" s="34">
        <f t="shared" ref="D76" si="41">ROUND(IF(D58&gt;0,-D58,0),2)</f>
        <v>0</v>
      </c>
      <c r="E76" s="34">
        <f t="shared" ref="E76:J76" si="42">IF(E58&gt;0,-E58,0)</f>
        <v>0</v>
      </c>
      <c r="F76" s="34">
        <f>ROUND(IF(F58&gt;0,-F58,0),2)</f>
        <v>0</v>
      </c>
      <c r="G76" s="142">
        <f t="shared" ref="G76" si="43">IF(G58&gt;0,-G58,0)</f>
        <v>0</v>
      </c>
      <c r="H76" s="142">
        <f t="shared" si="42"/>
        <v>0</v>
      </c>
      <c r="I76" s="34">
        <f t="shared" si="42"/>
        <v>-28.155433247671215</v>
      </c>
      <c r="J76" s="34">
        <f t="shared" si="42"/>
        <v>-445.61749085789234</v>
      </c>
      <c r="K76" s="34">
        <f>ROUND(IF(K58&gt;0,-K58,0),2)</f>
        <v>-692.93</v>
      </c>
      <c r="L76" s="34">
        <f>ROUND(IF(L58&gt;0,-L58,0),2)</f>
        <v>-1020.57</v>
      </c>
      <c r="M76" s="34">
        <f t="shared" ref="M76:O76" si="44">ROUND(IF(M58&gt;0,-M58,0),2)</f>
        <v>-927.89</v>
      </c>
      <c r="N76" s="34">
        <f t="shared" si="44"/>
        <v>-948.4</v>
      </c>
      <c r="O76" s="34">
        <f t="shared" si="44"/>
        <v>-1188.52</v>
      </c>
      <c r="P76" s="34"/>
      <c r="Q76" s="38"/>
    </row>
    <row r="77" spans="1:17" ht="15.75" thickBot="1" x14ac:dyDescent="0.3">
      <c r="A77" s="138" t="s">
        <v>181</v>
      </c>
      <c r="B77" s="138" t="s">
        <v>190</v>
      </c>
      <c r="D77" s="34">
        <f t="shared" ref="D77" si="45">-SUM(D74:D76)</f>
        <v>-270995.73000000004</v>
      </c>
      <c r="E77" s="34">
        <f t="shared" ref="E77:F77" si="46">-SUM(E74:E76)</f>
        <v>-145676.10160817968</v>
      </c>
      <c r="F77" s="34">
        <f t="shared" si="46"/>
        <v>-192931.28</v>
      </c>
      <c r="G77" s="34">
        <f>-SUM(G74:G76)</f>
        <v>316711.61000000004</v>
      </c>
      <c r="H77" s="142">
        <f>-SUM(H74:H76)</f>
        <v>184021.30000000002</v>
      </c>
      <c r="I77" s="34">
        <f t="shared" ref="I77:O77" si="47">-SUM(I74:I76)</f>
        <v>231994.4882629058</v>
      </c>
      <c r="J77" s="34">
        <f t="shared" si="47"/>
        <v>65999.396644797613</v>
      </c>
      <c r="K77" s="34">
        <f t="shared" si="47"/>
        <v>107296.51999999999</v>
      </c>
      <c r="L77" s="34">
        <f t="shared" si="47"/>
        <v>122282.82</v>
      </c>
      <c r="M77" s="34">
        <f t="shared" si="47"/>
        <v>-151264.01999999999</v>
      </c>
      <c r="N77" s="34">
        <f t="shared" si="47"/>
        <v>166428.37</v>
      </c>
      <c r="O77" s="34">
        <f t="shared" si="47"/>
        <v>11133.28</v>
      </c>
      <c r="P77" s="34"/>
      <c r="Q77" s="38"/>
    </row>
    <row r="78" spans="1:17" x14ac:dyDescent="0.25">
      <c r="A78" s="138" t="s">
        <v>181</v>
      </c>
      <c r="B78" s="143" t="s">
        <v>191</v>
      </c>
      <c r="C78" s="144"/>
      <c r="D78" s="142">
        <f t="shared" ref="D78" si="48">-D80-D79</f>
        <v>141625.04354367929</v>
      </c>
      <c r="E78" s="34">
        <f t="shared" ref="E78:F78" si="49">-E80-E79</f>
        <v>138701.63856228566</v>
      </c>
      <c r="F78" s="34">
        <f t="shared" si="49"/>
        <v>126141.67066577669</v>
      </c>
      <c r="G78" s="34">
        <f>-G80-G79</f>
        <v>63954.76672257256</v>
      </c>
      <c r="H78" s="142">
        <f>-H80-H79</f>
        <v>51119.15</v>
      </c>
      <c r="I78" s="142">
        <f t="shared" ref="I78:O78" si="50">-I80-I79</f>
        <v>33127.93</v>
      </c>
      <c r="J78" s="142">
        <f t="shared" si="50"/>
        <v>31329.09</v>
      </c>
      <c r="K78" s="142">
        <f>ROUND(-K80-K79,2)</f>
        <v>7304.3</v>
      </c>
      <c r="L78" s="142">
        <f t="shared" si="50"/>
        <v>8517.16</v>
      </c>
      <c r="M78" s="142">
        <f t="shared" si="50"/>
        <v>19979.05</v>
      </c>
      <c r="N78" s="142">
        <f t="shared" si="50"/>
        <v>23340.97</v>
      </c>
      <c r="O78" s="142">
        <f t="shared" si="50"/>
        <v>31469.95</v>
      </c>
      <c r="P78" s="142"/>
    </row>
    <row r="79" spans="1:17" x14ac:dyDescent="0.25">
      <c r="A79" s="138" t="s">
        <v>181</v>
      </c>
      <c r="B79" s="145" t="s">
        <v>192</v>
      </c>
      <c r="C79" s="149"/>
      <c r="D79" s="142">
        <f>IF(-'01.2020 Base Rate Revenue'!$W$15&lt;0,-'01.2020 Base Rate Revenue'!$W$15,0)</f>
        <v>-141625.04354367929</v>
      </c>
      <c r="E79" s="142">
        <f>IF(-'02.2020 Base Rate Revenue'!$W$15&lt;0,-'02.2020 Base Rate Revenue'!$W$15,0)</f>
        <v>-138701.63856228566</v>
      </c>
      <c r="F79" s="142">
        <f>IF(-'03.2020 Base Rate Revenue'!$W$15&lt;0,-'03.2020 Base Rate Revenue'!$W$15,0)</f>
        <v>-126141.67066577669</v>
      </c>
      <c r="G79" s="142">
        <f>IF(-'04.2020 Base Rate Revenue'!$W$15&lt;0,-'04.2020 Base Rate Revenue'!$W$15,0)</f>
        <v>-63954.76672257256</v>
      </c>
      <c r="H79" s="142">
        <f>IF(-'05.2020 Base Rate Revenue'!$W$15&lt;0,-'05.2020 Base Rate Revenue'!$W$15,0)</f>
        <v>-51119.15</v>
      </c>
      <c r="I79" s="142">
        <f>IF(-'06.2020 Base Rate Revenue'!$W$15&lt;0,-'06.2020 Base Rate Revenue'!$W$15,0)</f>
        <v>-33127.93</v>
      </c>
      <c r="J79" s="142">
        <f>IF(-'07.2020 Base Rate Revenue'!$W$15&lt;0,-'07.2020 Base Rate Revenue'!$W$15,0)</f>
        <v>-31329.09</v>
      </c>
      <c r="K79" s="142">
        <f>ROUND(IF(-'08.2020 Base Rate Revenue'!$W$15&lt;0,-'08.2020 Base Rate Revenue'!$W$15,0),2)</f>
        <v>-7304.3</v>
      </c>
      <c r="L79" s="142">
        <f>IF(-'09.2020 Base Rate Revenue'!$W$15&lt;0,-'09.2020 Base Rate Revenue'!$W$15,0)</f>
        <v>-8517.16</v>
      </c>
      <c r="M79" s="142">
        <f>IF(-'10.2020 Base Rate Revenue'!$W$15&lt;0,-'10.2020 Base Rate Revenue'!$W$15,0)</f>
        <v>-19979.05</v>
      </c>
      <c r="N79" s="142">
        <f>IF(-'11.2020 Base Rate Revenue'!$W$15&lt;0,-'11.2020 Base Rate Revenue'!$W$15,0)</f>
        <v>-23340.97</v>
      </c>
      <c r="O79" s="142">
        <f>IF(-'12.2020 Base Rate Revenue'!$W$15&lt;0,-'12.2020 Base Rate Revenue'!$W$15,0)</f>
        <v>-31469.95</v>
      </c>
      <c r="P79" s="142"/>
    </row>
    <row r="80" spans="1:17" ht="15.75" thickBot="1" x14ac:dyDescent="0.3">
      <c r="A80" s="138" t="s">
        <v>181</v>
      </c>
      <c r="B80" s="147" t="s">
        <v>193</v>
      </c>
      <c r="C80" s="150"/>
      <c r="D80" s="142">
        <f>IF(-'01.2020 Base Rate Revenue'!$W$15&gt;0,-'01.2020 Base Rate Revenue'!$W$15,0)</f>
        <v>0</v>
      </c>
      <c r="E80" s="142">
        <f>IF(-'02.2020 Base Rate Revenue'!$W$15&gt;0,-'02.2020 Base Rate Revenue'!$W$15,0)</f>
        <v>0</v>
      </c>
      <c r="F80" s="142">
        <f>IF(-'03.2020 Base Rate Revenue'!$W$15&gt;0,-'03.2020 Base Rate Revenue'!$W$15,0)</f>
        <v>0</v>
      </c>
      <c r="G80" s="142">
        <f>IF(-'04.2020 Base Rate Revenue'!$W$15&gt;0,-'04.2020 Base Rate Revenue'!$W$15,0)</f>
        <v>0</v>
      </c>
      <c r="H80" s="142">
        <f>IF(-'05.2020 Base Rate Revenue'!$W$15&gt;0,-'05.2020 Base Rate Revenue'!$W$15,0)</f>
        <v>0</v>
      </c>
      <c r="I80" s="142">
        <f>IF(-'06.2020 Base Rate Revenue'!$W$15&gt;0,-'06.2020 Base Rate Revenue'!$W$15,0)</f>
        <v>0</v>
      </c>
      <c r="J80" s="142">
        <f>IF(-'07.2020 Base Rate Revenue'!$W$15&gt;0,-'07.2020 Base Rate Revenue'!$W$15,0)</f>
        <v>0</v>
      </c>
      <c r="K80" s="142">
        <f>ROUND(IF(-'08.2020 Base Rate Revenue'!$W$15&gt;0,-'08.2020 Base Rate Revenue'!$W$15,0),0)</f>
        <v>0</v>
      </c>
      <c r="L80" s="142">
        <f>IF(-'09.2020 Base Rate Revenue'!$W$15&gt;0,-'09.2020 Base Rate Revenue'!$W$15,0)</f>
        <v>0</v>
      </c>
      <c r="M80" s="142">
        <f>IF(-'10.2020 Base Rate Revenue'!$W$15&gt;0,-'10.2020 Base Rate Revenue'!$W$15,0)</f>
        <v>0</v>
      </c>
      <c r="N80" s="142">
        <f>IF(-'11.2020 Base Rate Revenue'!$W$15&gt;0,-'11.2020 Base Rate Revenue'!$W$15,0)</f>
        <v>0</v>
      </c>
      <c r="O80" s="142">
        <f>IF(-'12.2020 Base Rate Revenue'!$W$15&gt;0,-'12.2020 Base Rate Revenue'!$W$15,0)</f>
        <v>0</v>
      </c>
      <c r="P80" s="142"/>
    </row>
    <row r="81" spans="1:17" x14ac:dyDescent="0.25">
      <c r="A81" s="151"/>
      <c r="B81" s="138"/>
      <c r="C81" s="151"/>
      <c r="H81" s="24"/>
    </row>
    <row r="82" spans="1:17" x14ac:dyDescent="0.25">
      <c r="A82" s="138" t="s">
        <v>181</v>
      </c>
      <c r="B82" s="138" t="s">
        <v>194</v>
      </c>
      <c r="C82" s="34"/>
      <c r="D82" s="34">
        <f t="shared" ref="D82" si="51">-D83-D84</f>
        <v>0</v>
      </c>
      <c r="E82" s="34">
        <f t="shared" ref="E82:O82" si="52">-E83-E84</f>
        <v>0</v>
      </c>
      <c r="F82" s="34">
        <f t="shared" si="52"/>
        <v>0</v>
      </c>
      <c r="G82" s="34">
        <f t="shared" si="52"/>
        <v>0</v>
      </c>
      <c r="H82" s="142">
        <f t="shared" si="52"/>
        <v>0</v>
      </c>
      <c r="I82" s="34">
        <f t="shared" si="52"/>
        <v>0</v>
      </c>
      <c r="J82" s="34">
        <f t="shared" si="52"/>
        <v>0</v>
      </c>
      <c r="K82" s="34">
        <f t="shared" si="52"/>
        <v>0</v>
      </c>
      <c r="L82" s="34">
        <f t="shared" si="52"/>
        <v>0</v>
      </c>
      <c r="M82" s="34">
        <f t="shared" si="52"/>
        <v>0</v>
      </c>
      <c r="N82" s="34">
        <f t="shared" si="52"/>
        <v>0</v>
      </c>
      <c r="O82" s="34">
        <f t="shared" si="52"/>
        <v>0</v>
      </c>
      <c r="P82" s="34"/>
    </row>
    <row r="83" spans="1:17" x14ac:dyDescent="0.25">
      <c r="A83" s="138" t="s">
        <v>181</v>
      </c>
      <c r="B83" s="138" t="s">
        <v>195</v>
      </c>
      <c r="C83" s="34"/>
      <c r="D83" s="34">
        <f t="shared" ref="D83" si="53">D94</f>
        <v>0</v>
      </c>
      <c r="E83" s="34">
        <f t="shared" ref="E83:O83" si="54">E94</f>
        <v>0</v>
      </c>
      <c r="F83" s="34">
        <f t="shared" si="54"/>
        <v>0</v>
      </c>
      <c r="G83" s="34">
        <f t="shared" si="54"/>
        <v>0</v>
      </c>
      <c r="H83" s="142">
        <f t="shared" si="54"/>
        <v>0</v>
      </c>
      <c r="I83" s="34">
        <f t="shared" si="54"/>
        <v>0</v>
      </c>
      <c r="J83" s="34">
        <f t="shared" si="54"/>
        <v>0</v>
      </c>
      <c r="K83" s="34">
        <f t="shared" si="54"/>
        <v>0</v>
      </c>
      <c r="L83" s="34">
        <f t="shared" si="54"/>
        <v>0</v>
      </c>
      <c r="M83" s="34">
        <f t="shared" si="54"/>
        <v>0</v>
      </c>
      <c r="N83" s="34">
        <f t="shared" si="54"/>
        <v>0</v>
      </c>
      <c r="O83" s="34">
        <f t="shared" si="54"/>
        <v>0</v>
      </c>
      <c r="P83" s="34"/>
    </row>
    <row r="84" spans="1:17" x14ac:dyDescent="0.25">
      <c r="A84" s="138" t="s">
        <v>181</v>
      </c>
      <c r="B84" s="138" t="s">
        <v>196</v>
      </c>
      <c r="C84" s="152"/>
      <c r="D84" s="152">
        <f t="shared" ref="D84" si="55">D90</f>
        <v>0</v>
      </c>
      <c r="E84" s="152">
        <f t="shared" ref="E84:O84" si="56">E90</f>
        <v>0</v>
      </c>
      <c r="F84" s="152">
        <f t="shared" si="56"/>
        <v>0</v>
      </c>
      <c r="G84" s="152">
        <f t="shared" si="56"/>
        <v>0</v>
      </c>
      <c r="H84" s="152">
        <f t="shared" si="56"/>
        <v>0</v>
      </c>
      <c r="I84" s="152">
        <f t="shared" si="56"/>
        <v>0</v>
      </c>
      <c r="J84" s="152">
        <f t="shared" si="56"/>
        <v>0</v>
      </c>
      <c r="K84" s="152">
        <f t="shared" si="56"/>
        <v>0</v>
      </c>
      <c r="L84" s="152">
        <f t="shared" si="56"/>
        <v>0</v>
      </c>
      <c r="M84" s="152">
        <f t="shared" si="56"/>
        <v>0</v>
      </c>
      <c r="N84" s="152">
        <f t="shared" si="56"/>
        <v>0</v>
      </c>
      <c r="O84" s="152">
        <f t="shared" si="56"/>
        <v>0</v>
      </c>
      <c r="P84" s="152"/>
    </row>
    <row r="85" spans="1:17" ht="15.75" thickBot="1" x14ac:dyDescent="0.3">
      <c r="B85" s="153"/>
      <c r="C85" s="154"/>
      <c r="D85" s="154" t="str">
        <f t="shared" ref="D85" si="57">IF(SUM(D82:D84)=0,"",SUM(D82:D84))</f>
        <v/>
      </c>
      <c r="E85" s="154" t="str">
        <f t="shared" ref="E85:O85" si="58">IF(SUM(E82:E84)=0,"",SUM(E82:E84))</f>
        <v/>
      </c>
      <c r="F85" s="154" t="str">
        <f t="shared" si="58"/>
        <v/>
      </c>
      <c r="G85" s="154" t="str">
        <f t="shared" si="58"/>
        <v/>
      </c>
      <c r="H85" s="154" t="str">
        <f t="shared" si="58"/>
        <v/>
      </c>
      <c r="I85" s="154" t="str">
        <f t="shared" si="58"/>
        <v/>
      </c>
      <c r="J85" s="154" t="str">
        <f t="shared" si="58"/>
        <v/>
      </c>
      <c r="K85" s="154" t="str">
        <f t="shared" si="58"/>
        <v/>
      </c>
      <c r="L85" s="154" t="str">
        <f t="shared" si="58"/>
        <v/>
      </c>
      <c r="M85" s="154" t="str">
        <f t="shared" si="58"/>
        <v/>
      </c>
      <c r="N85" s="154" t="str">
        <f t="shared" si="58"/>
        <v/>
      </c>
      <c r="O85" s="154" t="str">
        <f t="shared" si="58"/>
        <v/>
      </c>
      <c r="P85" s="406"/>
    </row>
    <row r="86" spans="1:17" x14ac:dyDescent="0.25">
      <c r="B86" s="24"/>
      <c r="C86" s="155"/>
      <c r="D86" s="155"/>
      <c r="E86" s="155"/>
      <c r="F86" s="155"/>
      <c r="G86" s="155"/>
      <c r="H86" s="155"/>
      <c r="I86" s="155"/>
      <c r="J86" s="155"/>
      <c r="K86" s="155"/>
      <c r="L86" s="155"/>
      <c r="M86" s="155"/>
      <c r="N86" s="155"/>
      <c r="O86" s="155"/>
      <c r="P86" s="155"/>
    </row>
    <row r="87" spans="1:17" x14ac:dyDescent="0.25">
      <c r="A87" s="138" t="s">
        <v>181</v>
      </c>
      <c r="B87" s="156" t="s">
        <v>197</v>
      </c>
      <c r="H87" s="24"/>
    </row>
    <row r="88" spans="1:17" x14ac:dyDescent="0.25">
      <c r="A88" s="138" t="s">
        <v>181</v>
      </c>
      <c r="B88" s="151" t="s">
        <v>267</v>
      </c>
      <c r="C88" s="157"/>
      <c r="D88" s="157">
        <f>'GDWA 3% test'!D20+'GDWA 3% test'!D52</f>
        <v>0</v>
      </c>
      <c r="E88" s="157">
        <f>'GDWA 3% test'!E20+'GDWA 3% test'!E52</f>
        <v>0</v>
      </c>
      <c r="F88" s="157">
        <f>'GDWA 3% test'!F20+'GDWA 3% test'!F52</f>
        <v>0</v>
      </c>
      <c r="G88" s="157">
        <f>'GDWA 3% test'!G20+'GDWA 3% test'!G52</f>
        <v>0</v>
      </c>
      <c r="H88" s="157">
        <f>'GDWA 3% test'!H20+'GDWA 3% test'!H52</f>
        <v>0</v>
      </c>
      <c r="I88" s="157">
        <f>'GDWA 3% test'!I20+'GDWA 3% test'!I52</f>
        <v>0</v>
      </c>
      <c r="J88" s="157">
        <f>'GDWA 3% test'!J20+'GDWA 3% test'!J52</f>
        <v>0</v>
      </c>
      <c r="K88" s="157">
        <f>'GDWA 3% test'!K20+'GDWA 3% test'!K52</f>
        <v>0</v>
      </c>
      <c r="L88" s="157">
        <f>'GDWA 3% test'!L20+'GDWA 3% test'!L52</f>
        <v>0</v>
      </c>
      <c r="M88" s="157">
        <f>'GDWA 3% test'!M20+'GDWA 3% test'!M52</f>
        <v>0</v>
      </c>
      <c r="N88" s="157">
        <f>'GDWA 3% test'!N20+'GDWA 3% test'!N52</f>
        <v>0</v>
      </c>
      <c r="O88" s="157">
        <f>'GDWA 3% test'!O20+'GDWA 3% test'!O52</f>
        <v>0</v>
      </c>
      <c r="P88" s="157"/>
    </row>
    <row r="89" spans="1:17" x14ac:dyDescent="0.25">
      <c r="A89" s="138" t="s">
        <v>181</v>
      </c>
      <c r="B89" s="151" t="s">
        <v>266</v>
      </c>
      <c r="C89" s="158"/>
      <c r="D89" s="158">
        <f>'GDWA 3% test'!C19+'GDWA 3% test'!C51</f>
        <v>0</v>
      </c>
      <c r="E89" s="160">
        <f>D88</f>
        <v>0</v>
      </c>
      <c r="F89" s="160">
        <f t="shared" ref="F89:O89" si="59">E88</f>
        <v>0</v>
      </c>
      <c r="G89" s="160">
        <f t="shared" si="59"/>
        <v>0</v>
      </c>
      <c r="H89" s="160">
        <f t="shared" si="59"/>
        <v>0</v>
      </c>
      <c r="I89" s="160">
        <f t="shared" si="59"/>
        <v>0</v>
      </c>
      <c r="J89" s="160">
        <f t="shared" si="59"/>
        <v>0</v>
      </c>
      <c r="K89" s="160">
        <f t="shared" si="59"/>
        <v>0</v>
      </c>
      <c r="L89" s="160">
        <f t="shared" si="59"/>
        <v>0</v>
      </c>
      <c r="M89" s="160">
        <f t="shared" si="59"/>
        <v>0</v>
      </c>
      <c r="N89" s="160">
        <f t="shared" si="59"/>
        <v>0</v>
      </c>
      <c r="O89" s="160">
        <f t="shared" si="59"/>
        <v>0</v>
      </c>
      <c r="P89" s="160"/>
    </row>
    <row r="90" spans="1:17" x14ac:dyDescent="0.25">
      <c r="A90" s="138" t="s">
        <v>181</v>
      </c>
      <c r="B90" t="s">
        <v>198</v>
      </c>
      <c r="C90" s="34"/>
      <c r="D90" s="34">
        <f t="shared" ref="D90" si="60">D88-D89</f>
        <v>0</v>
      </c>
      <c r="E90" s="34">
        <f t="shared" ref="E90:O90" si="61">E88-E89</f>
        <v>0</v>
      </c>
      <c r="F90" s="34">
        <f t="shared" si="61"/>
        <v>0</v>
      </c>
      <c r="G90" s="34">
        <f t="shared" si="61"/>
        <v>0</v>
      </c>
      <c r="H90" s="34">
        <f t="shared" si="61"/>
        <v>0</v>
      </c>
      <c r="I90" s="34">
        <f t="shared" si="61"/>
        <v>0</v>
      </c>
      <c r="J90" s="34">
        <f t="shared" si="61"/>
        <v>0</v>
      </c>
      <c r="K90" s="34">
        <f t="shared" si="61"/>
        <v>0</v>
      </c>
      <c r="L90" s="34">
        <f t="shared" si="61"/>
        <v>0</v>
      </c>
      <c r="M90" s="34">
        <f t="shared" si="61"/>
        <v>0</v>
      </c>
      <c r="N90" s="34">
        <f t="shared" si="61"/>
        <v>0</v>
      </c>
      <c r="O90" s="34">
        <f t="shared" si="61"/>
        <v>0</v>
      </c>
      <c r="P90" s="34"/>
    </row>
    <row r="91" spans="1:17" x14ac:dyDescent="0.25">
      <c r="A91" s="138" t="s">
        <v>181</v>
      </c>
      <c r="B91" s="156" t="s">
        <v>199</v>
      </c>
      <c r="C91" s="159"/>
    </row>
    <row r="92" spans="1:17" x14ac:dyDescent="0.25">
      <c r="A92" s="138" t="s">
        <v>181</v>
      </c>
      <c r="B92" s="151" t="s">
        <v>310</v>
      </c>
      <c r="C92" s="157"/>
      <c r="D92" s="157">
        <v>0</v>
      </c>
      <c r="E92" s="157">
        <v>0</v>
      </c>
      <c r="F92" s="157">
        <v>0</v>
      </c>
      <c r="G92" s="157">
        <v>0</v>
      </c>
      <c r="H92" s="157">
        <v>0</v>
      </c>
      <c r="I92" s="157">
        <v>0</v>
      </c>
      <c r="J92" s="157">
        <v>0</v>
      </c>
      <c r="K92" s="157">
        <v>0</v>
      </c>
      <c r="L92" s="157">
        <v>0</v>
      </c>
      <c r="M92" s="157">
        <v>0</v>
      </c>
      <c r="N92" s="157">
        <v>0</v>
      </c>
      <c r="O92" s="157">
        <f>'GDWA 3% test'!$O$19+'GDWA 3% test'!$O$51</f>
        <v>0</v>
      </c>
      <c r="P92" s="157"/>
    </row>
    <row r="93" spans="1:17" x14ac:dyDescent="0.25">
      <c r="A93" s="138" t="s">
        <v>181</v>
      </c>
      <c r="B93" s="151" t="s">
        <v>311</v>
      </c>
      <c r="C93" s="160"/>
      <c r="D93" s="160">
        <f t="shared" ref="D93:O93" si="62">C92</f>
        <v>0</v>
      </c>
      <c r="E93" s="160">
        <f>D92</f>
        <v>0</v>
      </c>
      <c r="F93" s="160">
        <f t="shared" si="62"/>
        <v>0</v>
      </c>
      <c r="G93" s="160">
        <f t="shared" si="62"/>
        <v>0</v>
      </c>
      <c r="H93" s="160">
        <f t="shared" si="62"/>
        <v>0</v>
      </c>
      <c r="I93" s="160">
        <f t="shared" si="62"/>
        <v>0</v>
      </c>
      <c r="J93" s="160">
        <f t="shared" si="62"/>
        <v>0</v>
      </c>
      <c r="K93" s="160">
        <f t="shared" si="62"/>
        <v>0</v>
      </c>
      <c r="L93" s="160">
        <f t="shared" si="62"/>
        <v>0</v>
      </c>
      <c r="M93" s="160">
        <f t="shared" si="62"/>
        <v>0</v>
      </c>
      <c r="N93" s="160">
        <f t="shared" si="62"/>
        <v>0</v>
      </c>
      <c r="O93" s="160">
        <f t="shared" si="62"/>
        <v>0</v>
      </c>
      <c r="P93" s="160"/>
    </row>
    <row r="94" spans="1:17" x14ac:dyDescent="0.25">
      <c r="A94" s="138" t="s">
        <v>181</v>
      </c>
      <c r="B94" t="s">
        <v>198</v>
      </c>
      <c r="C94" s="34"/>
      <c r="D94" s="34">
        <f t="shared" ref="D94" si="63">D92-D93</f>
        <v>0</v>
      </c>
      <c r="E94" s="34">
        <f t="shared" ref="E94:O94" si="64">E92-E93</f>
        <v>0</v>
      </c>
      <c r="F94" s="34">
        <f t="shared" si="64"/>
        <v>0</v>
      </c>
      <c r="G94" s="34">
        <f t="shared" si="64"/>
        <v>0</v>
      </c>
      <c r="H94" s="34">
        <f t="shared" si="64"/>
        <v>0</v>
      </c>
      <c r="I94" s="34">
        <f t="shared" si="64"/>
        <v>0</v>
      </c>
      <c r="J94" s="34">
        <f t="shared" si="64"/>
        <v>0</v>
      </c>
      <c r="K94" s="34">
        <f t="shared" si="64"/>
        <v>0</v>
      </c>
      <c r="L94" s="34">
        <f t="shared" si="64"/>
        <v>0</v>
      </c>
      <c r="M94" s="34">
        <f t="shared" si="64"/>
        <v>0</v>
      </c>
      <c r="N94" s="34">
        <f t="shared" si="64"/>
        <v>0</v>
      </c>
      <c r="O94" s="34">
        <f t="shared" si="64"/>
        <v>0</v>
      </c>
      <c r="P94" s="34"/>
    </row>
    <row r="96" spans="1:17" x14ac:dyDescent="0.25">
      <c r="B96" t="s">
        <v>336</v>
      </c>
      <c r="D96" s="54">
        <f>D23/D19</f>
        <v>118.62874243912761</v>
      </c>
      <c r="E96" s="54">
        <f>E23/E19</f>
        <v>108.42262819747411</v>
      </c>
      <c r="F96" s="54">
        <f t="shared" ref="F96:Q96" si="65">F23/F19</f>
        <v>99.779923550137113</v>
      </c>
      <c r="G96" s="54">
        <f t="shared" si="65"/>
        <v>51.395742823154194</v>
      </c>
      <c r="H96" s="54">
        <f t="shared" si="65"/>
        <v>31.021925815280415</v>
      </c>
      <c r="I96" s="54">
        <f t="shared" si="65"/>
        <v>19.792074447757543</v>
      </c>
      <c r="J96" s="54">
        <f t="shared" si="65"/>
        <v>15.793543737834046</v>
      </c>
      <c r="K96" s="54">
        <f t="shared" si="65"/>
        <v>13.526654201669839</v>
      </c>
      <c r="L96" s="54">
        <f t="shared" si="65"/>
        <v>17.140219862235536</v>
      </c>
      <c r="M96" s="54">
        <f t="shared" si="65"/>
        <v>54.323578080399486</v>
      </c>
      <c r="N96" s="54">
        <f t="shared" si="65"/>
        <v>102.81938010889736</v>
      </c>
      <c r="O96" s="54">
        <f t="shared" si="65"/>
        <v>127.75544581356004</v>
      </c>
      <c r="P96" s="54"/>
      <c r="Q96" s="54">
        <f t="shared" si="65"/>
        <v>63.6823220929654</v>
      </c>
    </row>
    <row r="97" spans="2:17" x14ac:dyDescent="0.25">
      <c r="B97" t="s">
        <v>337</v>
      </c>
      <c r="D97" s="54">
        <f>D50/D46</f>
        <v>2561.4687881063019</v>
      </c>
      <c r="E97" s="54">
        <f>E50/E46</f>
        <v>2497.2291900949967</v>
      </c>
      <c r="F97" s="54">
        <f t="shared" ref="F97:Q97" si="66">F50/F46</f>
        <v>2277.8237770861138</v>
      </c>
      <c r="G97" s="54">
        <f t="shared" si="66"/>
        <v>1132.9825864492288</v>
      </c>
      <c r="H97" s="54">
        <f t="shared" si="66"/>
        <v>924.03202737678339</v>
      </c>
      <c r="I97" s="54">
        <f t="shared" si="66"/>
        <v>591.7982776770267</v>
      </c>
      <c r="J97" s="54">
        <f t="shared" si="66"/>
        <v>565.17627889389064</v>
      </c>
      <c r="K97" s="54">
        <f t="shared" si="66"/>
        <v>538.71703369805198</v>
      </c>
      <c r="L97" s="54">
        <f t="shared" si="66"/>
        <v>658.52410911368008</v>
      </c>
      <c r="M97" s="54">
        <f t="shared" si="66"/>
        <v>1589.465278205128</v>
      </c>
      <c r="N97" s="54">
        <f t="shared" si="66"/>
        <v>1846.3309503500323</v>
      </c>
      <c r="O97" s="54">
        <f t="shared" si="66"/>
        <v>2462.1654650654746</v>
      </c>
      <c r="P97" s="54"/>
      <c r="Q97" s="54">
        <f t="shared" si="66"/>
        <v>1474.9149742892635</v>
      </c>
    </row>
    <row r="99" spans="2:17" x14ac:dyDescent="0.25">
      <c r="B99" t="s">
        <v>338</v>
      </c>
      <c r="D99" s="54">
        <f>'UG-170486 Auth Base'!D151</f>
        <v>138.14482996193888</v>
      </c>
      <c r="E99" s="54">
        <f>'UG-170486 Auth Base'!E151</f>
        <v>109.27074489504945</v>
      </c>
      <c r="F99" s="54">
        <f>'UG-170486 Auth Base'!F151</f>
        <v>89.260034974757502</v>
      </c>
      <c r="G99" s="54">
        <f>'UG-190335 Auth Base'!G151</f>
        <v>60.632250880293292</v>
      </c>
      <c r="H99" s="54">
        <f>'UG-190335 Auth Base'!H151</f>
        <v>35.747172077696732</v>
      </c>
      <c r="I99" s="54">
        <f>'UG-190335 Auth Base'!I151</f>
        <v>19.161951188735298</v>
      </c>
      <c r="J99" s="54">
        <f>'UG-190335 Auth Base'!J151</f>
        <v>14.211638282607622</v>
      </c>
      <c r="K99" s="54">
        <f>'UG-190335 Auth Base'!K151</f>
        <v>13.687918632489191</v>
      </c>
      <c r="L99" s="54">
        <f>'UG-190335 Auth Base'!L151</f>
        <v>19.204263468624333</v>
      </c>
      <c r="M99" s="54">
        <f>'UG-190335 Auth Base'!M151</f>
        <v>52.06488186475584</v>
      </c>
      <c r="N99" s="54">
        <f>'UG-190335 Auth Base'!N151</f>
        <v>97.731620061388369</v>
      </c>
      <c r="O99" s="54">
        <f>'UG-190335 Auth Base'!O151</f>
        <v>137.94992400695759</v>
      </c>
      <c r="P99" s="54"/>
      <c r="Q99" s="54"/>
    </row>
    <row r="100" spans="2:17" x14ac:dyDescent="0.25">
      <c r="B100" t="s">
        <v>339</v>
      </c>
      <c r="D100" s="54">
        <f>'UG-170486 Auth Base'!D156</f>
        <v>2725.5399580412759</v>
      </c>
      <c r="E100" s="54">
        <f>'UG-170486 Auth Base'!E156</f>
        <v>2385.4654335144123</v>
      </c>
      <c r="F100" s="54">
        <f>'UG-170486 Auth Base'!F156</f>
        <v>2087.585084163898</v>
      </c>
      <c r="G100" s="54">
        <f>'UG-190335 Auth Base'!G156</f>
        <v>1498.4143786033699</v>
      </c>
      <c r="H100" s="54">
        <f>'UG-190335 Auth Base'!H156</f>
        <v>1092.7896982974562</v>
      </c>
      <c r="I100" s="54">
        <f>'UG-190335 Auth Base'!I156</f>
        <v>789.21062819682743</v>
      </c>
      <c r="J100" s="54">
        <f>'UG-190335 Auth Base'!J156</f>
        <v>571.80616749837554</v>
      </c>
      <c r="K100" s="54">
        <f>'UG-190335 Auth Base'!K156</f>
        <v>627.18717100000003</v>
      </c>
      <c r="L100" s="54">
        <f>'UG-190335 Auth Base'!L156</f>
        <v>764.79420016021368</v>
      </c>
      <c r="M100" s="54">
        <f>'UG-190335 Auth Base'!M156</f>
        <v>1327.1982187607243</v>
      </c>
      <c r="N100" s="54">
        <f>'UG-190335 Auth Base'!N156</f>
        <v>2059.6435599252763</v>
      </c>
      <c r="O100" s="54">
        <f>'UG-190335 Auth Base'!O156</f>
        <v>2492.3649710067666</v>
      </c>
      <c r="P100" s="54"/>
      <c r="Q100" s="54"/>
    </row>
    <row r="102" spans="2:17" x14ac:dyDescent="0.25">
      <c r="B102" t="s">
        <v>340</v>
      </c>
      <c r="D102" s="86">
        <f t="shared" ref="D102:F103" si="67">D96-D99</f>
        <v>-19.516087522811276</v>
      </c>
      <c r="E102" s="86">
        <f t="shared" si="67"/>
        <v>-0.84811669757533537</v>
      </c>
      <c r="F102" s="86">
        <f t="shared" si="67"/>
        <v>10.519888575379611</v>
      </c>
      <c r="G102" s="86">
        <f t="shared" ref="G102:O102" si="68">G96-G99</f>
        <v>-9.2365080571390976</v>
      </c>
      <c r="H102" s="86">
        <f t="shared" si="68"/>
        <v>-4.7252462624163165</v>
      </c>
      <c r="I102" s="86">
        <f t="shared" si="68"/>
        <v>0.63012325902224475</v>
      </c>
      <c r="J102" s="86">
        <f t="shared" si="68"/>
        <v>1.5819054552264245</v>
      </c>
      <c r="K102" s="86">
        <f t="shared" si="68"/>
        <v>-0.16126443081935271</v>
      </c>
      <c r="L102" s="86">
        <f t="shared" si="68"/>
        <v>-2.0640436063887968</v>
      </c>
      <c r="M102" s="86">
        <f t="shared" si="68"/>
        <v>2.2586962156436456</v>
      </c>
      <c r="N102" s="86">
        <f t="shared" si="68"/>
        <v>5.0877600475089935</v>
      </c>
      <c r="O102" s="86">
        <f t="shared" si="68"/>
        <v>-10.194478193397543</v>
      </c>
      <c r="P102" s="86"/>
    </row>
    <row r="103" spans="2:17" x14ac:dyDescent="0.25">
      <c r="B103" t="s">
        <v>341</v>
      </c>
      <c r="D103" s="86">
        <f t="shared" si="67"/>
        <v>-164.07116993497402</v>
      </c>
      <c r="E103" s="86">
        <f t="shared" si="67"/>
        <v>111.76375658058441</v>
      </c>
      <c r="F103" s="86">
        <f t="shared" si="67"/>
        <v>190.23869292221571</v>
      </c>
      <c r="G103" s="86">
        <f t="shared" ref="G103:O103" si="69">G97-G100</f>
        <v>-365.43179215414102</v>
      </c>
      <c r="H103" s="86">
        <f t="shared" si="69"/>
        <v>-168.75767092067281</v>
      </c>
      <c r="I103" s="86">
        <f t="shared" si="69"/>
        <v>-197.41235051980073</v>
      </c>
      <c r="J103" s="86">
        <f t="shared" si="69"/>
        <v>-6.6298886044849041</v>
      </c>
      <c r="K103" s="86">
        <f t="shared" si="69"/>
        <v>-88.470137301948057</v>
      </c>
      <c r="L103" s="86">
        <f t="shared" si="69"/>
        <v>-106.27009104653359</v>
      </c>
      <c r="M103" s="86">
        <f t="shared" si="69"/>
        <v>262.26705944440369</v>
      </c>
      <c r="N103" s="86">
        <f t="shared" si="69"/>
        <v>-213.3126095752441</v>
      </c>
      <c r="O103" s="86">
        <f t="shared" si="69"/>
        <v>-30.199505941292045</v>
      </c>
      <c r="P103" s="86"/>
    </row>
  </sheetData>
  <mergeCells count="3">
    <mergeCell ref="A1:O1"/>
    <mergeCell ref="A2:O2"/>
    <mergeCell ref="A3:O3"/>
  </mergeCells>
  <printOptions horizontalCentered="1"/>
  <pageMargins left="0.45" right="0.45" top="0.81" bottom="0.5" header="0.3" footer="0.3"/>
  <pageSetup scale="87" fitToHeight="3" orientation="portrait" useFirstPageNumber="1" r:id="rId1"/>
  <headerFooter scaleWithDoc="0">
    <oddFooter>&amp;L&amp;F / &amp;A&amp;RPage &amp;P</oddFooter>
  </headerFooter>
  <rowBreaks count="2" manualBreakCount="2">
    <brk id="34" max="16383" man="1"/>
    <brk id="63"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140625" defaultRowHeight="15" x14ac:dyDescent="0.25"/>
  <cols>
    <col min="1" max="16384" width="9.140625" style="258"/>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3B91-C9C2-492B-9CAF-D8393DBC2DA0}">
  <sheetPr>
    <tabColor rgb="FF92D050"/>
  </sheetPr>
  <dimension ref="A1:C52"/>
  <sheetViews>
    <sheetView view="pageLayout" topLeftCell="A34" zoomScaleNormal="100" workbookViewId="0">
      <selection activeCell="B40" sqref="B40"/>
    </sheetView>
  </sheetViews>
  <sheetFormatPr defaultRowHeight="15" x14ac:dyDescent="0.25"/>
  <cols>
    <col min="1" max="1" width="10.7109375" style="236" bestFit="1" customWidth="1"/>
    <col min="2" max="2" width="85.7109375" bestFit="1" customWidth="1"/>
    <col min="3" max="3" width="16.28515625" bestFit="1" customWidth="1"/>
    <col min="4" max="13" width="10.5703125" customWidth="1"/>
  </cols>
  <sheetData>
    <row r="1" spans="1:3" ht="45.75" customHeight="1" x14ac:dyDescent="0.25">
      <c r="A1" s="395" t="s">
        <v>392</v>
      </c>
      <c r="B1" s="429" t="s">
        <v>411</v>
      </c>
      <c r="C1" s="429"/>
    </row>
    <row r="2" spans="1:3" x14ac:dyDescent="0.25">
      <c r="A2" s="396"/>
      <c r="B2" s="397"/>
      <c r="C2" s="397"/>
    </row>
    <row r="3" spans="1:3" ht="90" customHeight="1" x14ac:dyDescent="0.25">
      <c r="A3" s="395" t="s">
        <v>393</v>
      </c>
      <c r="B3" s="429" t="s">
        <v>394</v>
      </c>
      <c r="C3" s="429"/>
    </row>
    <row r="4" spans="1:3" x14ac:dyDescent="0.25">
      <c r="A4" s="398"/>
      <c r="B4" s="397"/>
      <c r="C4" s="397"/>
    </row>
    <row r="5" spans="1:3" x14ac:dyDescent="0.25">
      <c r="A5" s="398"/>
      <c r="B5" s="430" t="s">
        <v>28</v>
      </c>
      <c r="C5" s="430"/>
    </row>
    <row r="6" spans="1:3" x14ac:dyDescent="0.25">
      <c r="A6" s="398"/>
      <c r="B6" s="397" t="s">
        <v>395</v>
      </c>
      <c r="C6" s="399">
        <f>AVERAGE('Deferral Calc'!G19:O19)</f>
        <v>163380.77777777778</v>
      </c>
    </row>
    <row r="7" spans="1:3" x14ac:dyDescent="0.25">
      <c r="A7" s="398"/>
      <c r="B7" s="397" t="s">
        <v>396</v>
      </c>
      <c r="C7" s="400">
        <f>SUM('Deferral Calc'!G20:O20)</f>
        <v>206.93274961773983</v>
      </c>
    </row>
    <row r="8" spans="1:3" x14ac:dyDescent="0.25">
      <c r="A8" s="398"/>
      <c r="B8" s="397" t="s">
        <v>397</v>
      </c>
      <c r="C8" s="401">
        <f>C6*C7</f>
        <v>33808833.580240481</v>
      </c>
    </row>
    <row r="9" spans="1:3" x14ac:dyDescent="0.25">
      <c r="A9" s="398"/>
      <c r="B9" s="397" t="s">
        <v>398</v>
      </c>
      <c r="C9" s="402">
        <f>SUM('Deferral Calc'!G21:N21)</f>
        <v>23387952.063578211</v>
      </c>
    </row>
    <row r="10" spans="1:3" x14ac:dyDescent="0.25">
      <c r="A10" s="398"/>
      <c r="B10" s="397" t="s">
        <v>399</v>
      </c>
      <c r="C10" s="403">
        <f>C8-C9</f>
        <v>10420881.51666227</v>
      </c>
    </row>
    <row r="11" spans="1:3" x14ac:dyDescent="0.25">
      <c r="A11" s="398"/>
      <c r="B11" s="397"/>
      <c r="C11" s="401"/>
    </row>
    <row r="12" spans="1:3" x14ac:dyDescent="0.25">
      <c r="A12" s="398"/>
      <c r="B12" s="397" t="s">
        <v>400</v>
      </c>
      <c r="C12" s="399">
        <f>'Deferral Calc'!O19</f>
        <v>163731</v>
      </c>
    </row>
    <row r="13" spans="1:3" x14ac:dyDescent="0.25">
      <c r="A13" s="398"/>
      <c r="B13" s="397" t="s">
        <v>401</v>
      </c>
      <c r="C13" s="400">
        <f>'Deferral Calc'!O20</f>
        <v>63.76693227791737</v>
      </c>
    </row>
    <row r="14" spans="1:3" x14ac:dyDescent="0.25">
      <c r="A14" s="398"/>
      <c r="B14" s="397" t="s">
        <v>402</v>
      </c>
      <c r="C14" s="401">
        <f>C12*C13</f>
        <v>10440623.588795688</v>
      </c>
    </row>
    <row r="15" spans="1:3" x14ac:dyDescent="0.25">
      <c r="A15" s="398"/>
      <c r="B15" s="397"/>
      <c r="C15" s="397"/>
    </row>
    <row r="16" spans="1:3" x14ac:dyDescent="0.25">
      <c r="A16" s="398"/>
      <c r="B16" s="397" t="s">
        <v>403</v>
      </c>
      <c r="C16" s="404">
        <f>C10-C14</f>
        <v>-19742.072133418173</v>
      </c>
    </row>
    <row r="17" spans="1:3" x14ac:dyDescent="0.25">
      <c r="A17" s="398"/>
      <c r="B17" s="397"/>
      <c r="C17" s="397"/>
    </row>
    <row r="18" spans="1:3" x14ac:dyDescent="0.25">
      <c r="A18" s="398"/>
      <c r="B18" s="430" t="s">
        <v>234</v>
      </c>
      <c r="C18" s="430"/>
    </row>
    <row r="19" spans="1:3" x14ac:dyDescent="0.25">
      <c r="A19" s="398"/>
      <c r="B19" s="397" t="s">
        <v>404</v>
      </c>
      <c r="C19" s="399">
        <f>AVERAGE('Deferral Calc'!G46:O46)</f>
        <v>3109.5555555555557</v>
      </c>
    </row>
    <row r="20" spans="1:3" x14ac:dyDescent="0.25">
      <c r="A20" s="398"/>
      <c r="B20" s="397" t="s">
        <v>405</v>
      </c>
      <c r="C20" s="400">
        <f>SUM('Deferral Calc'!G47:O47)</f>
        <v>3020.1194033784041</v>
      </c>
    </row>
    <row r="21" spans="1:3" x14ac:dyDescent="0.25">
      <c r="A21" s="398"/>
      <c r="B21" s="397" t="s">
        <v>397</v>
      </c>
      <c r="C21" s="401">
        <f>C19*C20</f>
        <v>9391229.069216447</v>
      </c>
    </row>
    <row r="22" spans="1:3" x14ac:dyDescent="0.25">
      <c r="A22" s="398"/>
      <c r="B22" s="397" t="s">
        <v>406</v>
      </c>
      <c r="C22" s="402">
        <f>SUM('Deferral Calc'!G48:N48)</f>
        <v>7289542.6187889082</v>
      </c>
    </row>
    <row r="23" spans="1:3" x14ac:dyDescent="0.25">
      <c r="A23" s="398"/>
      <c r="B23" s="397" t="s">
        <v>399</v>
      </c>
      <c r="C23" s="403">
        <f>C21-C22</f>
        <v>2101686.4504275387</v>
      </c>
    </row>
    <row r="24" spans="1:3" x14ac:dyDescent="0.25">
      <c r="A24" s="398"/>
      <c r="B24" s="397"/>
      <c r="C24" s="401"/>
    </row>
    <row r="25" spans="1:3" x14ac:dyDescent="0.25">
      <c r="A25" s="398"/>
      <c r="B25" s="397" t="s">
        <v>407</v>
      </c>
      <c r="C25" s="399">
        <f>'Deferral Calc'!O46</f>
        <v>3131</v>
      </c>
    </row>
    <row r="26" spans="1:3" x14ac:dyDescent="0.25">
      <c r="A26" s="398"/>
      <c r="B26" s="397" t="s">
        <v>408</v>
      </c>
      <c r="C26" s="400">
        <f>'Deferral Calc'!O47</f>
        <v>675.30369426127231</v>
      </c>
    </row>
    <row r="27" spans="1:3" x14ac:dyDescent="0.25">
      <c r="A27" s="398"/>
      <c r="B27" s="397" t="s">
        <v>402</v>
      </c>
      <c r="C27" s="401">
        <f>C25*C26</f>
        <v>2114375.8667320437</v>
      </c>
    </row>
    <row r="28" spans="1:3" x14ac:dyDescent="0.25">
      <c r="A28" s="398"/>
      <c r="B28" s="397"/>
      <c r="C28" s="397"/>
    </row>
    <row r="29" spans="1:3" x14ac:dyDescent="0.25">
      <c r="A29" s="398"/>
      <c r="B29" s="397" t="s">
        <v>403</v>
      </c>
      <c r="C29" s="404">
        <f>C23-C27</f>
        <v>-12689.416304504965</v>
      </c>
    </row>
    <row r="30" spans="1:3" x14ac:dyDescent="0.25">
      <c r="A30" s="398"/>
      <c r="B30" s="397"/>
      <c r="C30" s="397"/>
    </row>
    <row r="31" spans="1:3" x14ac:dyDescent="0.25">
      <c r="A31" s="398"/>
      <c r="B31" s="397"/>
      <c r="C31" s="397"/>
    </row>
    <row r="32" spans="1:3" x14ac:dyDescent="0.25">
      <c r="A32" s="398"/>
      <c r="B32" s="397"/>
      <c r="C32" s="397"/>
    </row>
    <row r="33" spans="1:3" x14ac:dyDescent="0.25">
      <c r="A33" s="398"/>
      <c r="B33" s="397"/>
      <c r="C33" s="397"/>
    </row>
    <row r="34" spans="1:3" x14ac:dyDescent="0.25">
      <c r="A34" s="398"/>
      <c r="B34" s="397"/>
      <c r="C34" s="397"/>
    </row>
    <row r="35" spans="1:3" x14ac:dyDescent="0.25">
      <c r="A35" s="398"/>
      <c r="B35" s="397"/>
      <c r="C35" s="397"/>
    </row>
    <row r="36" spans="1:3" x14ac:dyDescent="0.25">
      <c r="A36" s="398"/>
      <c r="B36" s="397"/>
      <c r="C36" s="397"/>
    </row>
    <row r="37" spans="1:3" x14ac:dyDescent="0.25">
      <c r="A37" s="398"/>
      <c r="B37" s="397"/>
      <c r="C37" s="397"/>
    </row>
    <row r="38" spans="1:3" x14ac:dyDescent="0.25">
      <c r="A38" s="398"/>
      <c r="B38" s="397"/>
      <c r="C38" s="397"/>
    </row>
    <row r="39" spans="1:3" x14ac:dyDescent="0.25">
      <c r="A39" s="398"/>
      <c r="B39" s="397"/>
      <c r="C39" s="397"/>
    </row>
    <row r="40" spans="1:3" x14ac:dyDescent="0.25">
      <c r="A40" s="398"/>
      <c r="B40" s="397"/>
      <c r="C40" s="397"/>
    </row>
    <row r="41" spans="1:3" x14ac:dyDescent="0.25">
      <c r="A41" s="398"/>
      <c r="B41" s="397"/>
      <c r="C41" s="397"/>
    </row>
    <row r="42" spans="1:3" x14ac:dyDescent="0.25">
      <c r="A42" s="398"/>
      <c r="B42" s="397"/>
      <c r="C42" s="397"/>
    </row>
    <row r="43" spans="1:3" x14ac:dyDescent="0.25">
      <c r="A43" s="398"/>
      <c r="B43" s="397"/>
      <c r="C43" s="397"/>
    </row>
    <row r="44" spans="1:3" x14ac:dyDescent="0.25">
      <c r="A44" s="398"/>
      <c r="B44" s="397"/>
      <c r="C44" s="397"/>
    </row>
    <row r="45" spans="1:3" x14ac:dyDescent="0.25">
      <c r="A45" s="398"/>
      <c r="B45" s="397"/>
      <c r="C45" s="397"/>
    </row>
    <row r="46" spans="1:3" x14ac:dyDescent="0.25">
      <c r="A46" s="398"/>
      <c r="B46" s="397"/>
      <c r="C46" s="397"/>
    </row>
    <row r="47" spans="1:3" x14ac:dyDescent="0.25">
      <c r="A47" s="398"/>
      <c r="B47" s="397"/>
      <c r="C47" s="397"/>
    </row>
    <row r="48" spans="1:3" x14ac:dyDescent="0.25">
      <c r="A48" s="398"/>
      <c r="B48" s="397"/>
      <c r="C48" s="397"/>
    </row>
    <row r="49" spans="1:3" x14ac:dyDescent="0.25">
      <c r="A49" s="398"/>
      <c r="B49" s="397"/>
      <c r="C49" s="397"/>
    </row>
    <row r="50" spans="1:3" x14ac:dyDescent="0.25">
      <c r="A50" s="398"/>
      <c r="B50" s="397"/>
      <c r="C50" s="397"/>
    </row>
    <row r="51" spans="1:3" x14ac:dyDescent="0.25">
      <c r="A51" s="398"/>
      <c r="B51" s="397"/>
      <c r="C51" s="397"/>
    </row>
    <row r="52" spans="1:3" x14ac:dyDescent="0.25">
      <c r="A52" s="398"/>
      <c r="B52" s="397"/>
      <c r="C52" s="397"/>
    </row>
  </sheetData>
  <mergeCells count="4">
    <mergeCell ref="B1:C1"/>
    <mergeCell ref="B3:C3"/>
    <mergeCell ref="B5:C5"/>
    <mergeCell ref="B18:C18"/>
  </mergeCells>
  <pageMargins left="0.7" right="0.7" top="0.75" bottom="0.75" header="0.3" footer="0.3"/>
  <pageSetup scale="80" orientation="portrait" horizontalDpi="1200" verticalDpi="1200" r:id="rId1"/>
  <headerFooter>
    <oddFooter>&amp;L&amp;F &amp;A&amp;R&amp;P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G85"/>
  <sheetViews>
    <sheetView zoomScaleNormal="100" workbookViewId="0">
      <selection activeCell="H19" sqref="H19"/>
    </sheetView>
  </sheetViews>
  <sheetFormatPr defaultRowHeight="15" x14ac:dyDescent="0.25"/>
  <cols>
    <col min="1" max="1" width="19" customWidth="1"/>
    <col min="2" max="2" width="5.85546875" customWidth="1"/>
    <col min="3" max="3" width="13.85546875" customWidth="1"/>
    <col min="4" max="4" width="16.42578125" customWidth="1"/>
    <col min="5" max="5" width="15.28515625" customWidth="1"/>
    <col min="6" max="6" width="15" customWidth="1"/>
    <col min="7" max="7" width="15.7109375" customWidth="1"/>
    <col min="8" max="9" width="14.7109375" customWidth="1"/>
    <col min="10" max="10" width="15" customWidth="1"/>
    <col min="11" max="11" width="12.5703125"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388</v>
      </c>
      <c r="M1" s="170"/>
      <c r="N1" s="170"/>
      <c r="O1" s="170"/>
      <c r="P1" s="170"/>
      <c r="Q1" s="170"/>
      <c r="R1" s="170"/>
      <c r="S1" s="170"/>
      <c r="T1" s="170"/>
      <c r="U1" s="170"/>
      <c r="V1" s="170"/>
      <c r="W1" s="170"/>
      <c r="X1" s="170"/>
      <c r="Y1" s="170"/>
      <c r="Z1" s="171" t="s">
        <v>201</v>
      </c>
      <c r="AA1" s="391" t="s">
        <v>202</v>
      </c>
      <c r="AB1" s="170"/>
      <c r="AC1" s="171" t="s">
        <v>203</v>
      </c>
      <c r="AD1" s="391" t="s">
        <v>391</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89" t="str">
        <f>AA1&amp;" Billed Schedule 175 Revenue"</f>
        <v>December Billed Schedule 175 Revenue</v>
      </c>
      <c r="O2" s="389" t="str">
        <f>AA1&amp;" Billed Therms"</f>
        <v>December Billed Therms</v>
      </c>
      <c r="P2" s="389" t="str">
        <f>AA1&amp;" Unbilled Therms"</f>
        <v>December Unbilled Therms</v>
      </c>
      <c r="Q2" s="260" t="s">
        <v>382</v>
      </c>
      <c r="R2" s="389" t="s">
        <v>209</v>
      </c>
      <c r="S2" s="389" t="str">
        <f>AD1&amp;" Unbilled Therms reversal"</f>
        <v>November Unbilled Therms reversal</v>
      </c>
      <c r="T2" s="260" t="s">
        <v>382</v>
      </c>
      <c r="U2" s="389" t="str">
        <f>AD1&amp;" Schedule 175 Unbilled Reversal"</f>
        <v>November Schedule 175 Unbilled Reversal</v>
      </c>
      <c r="V2" s="170"/>
      <c r="W2" s="389" t="str">
        <f>"Total "&amp;AA1&amp;" Schedule 175 Revenue"</f>
        <v>Total December Schedule 175 Revenue</v>
      </c>
      <c r="X2" s="170"/>
      <c r="Y2" s="389" t="str">
        <f>"Calendar "&amp;AA1&amp;" Usage"</f>
        <v>Calendar December Usage</v>
      </c>
      <c r="Z2" s="389" t="str">
        <f>Q2</f>
        <v>8/1/2020 rate</v>
      </c>
      <c r="AA2" s="389" t="s">
        <v>210</v>
      </c>
      <c r="AB2" s="389" t="s">
        <v>211</v>
      </c>
      <c r="AC2" s="389" t="str">
        <f>"implied "&amp;AD1&amp;" unbilled/Cancel-Rebill True-up therms"</f>
        <v>implied November unbilled/Cancel-Rebill True-up therms</v>
      </c>
      <c r="AD2" s="170"/>
      <c r="AE2" s="77"/>
      <c r="AF2" s="77"/>
      <c r="AG2" s="77"/>
    </row>
    <row r="3" spans="1:33" x14ac:dyDescent="0.25">
      <c r="A3" s="177"/>
      <c r="B3" s="177"/>
      <c r="C3" s="177"/>
      <c r="D3" s="170"/>
      <c r="E3" s="170"/>
      <c r="F3" s="170"/>
      <c r="G3" s="170"/>
      <c r="H3" s="170"/>
      <c r="I3" s="170"/>
      <c r="J3" s="170"/>
      <c r="K3" s="170"/>
      <c r="L3" s="170"/>
      <c r="M3" s="170"/>
      <c r="N3" s="389"/>
      <c r="O3" s="389"/>
      <c r="P3" s="389"/>
      <c r="Q3" s="389"/>
      <c r="R3" s="389"/>
      <c r="S3" s="389"/>
      <c r="T3" s="389"/>
      <c r="U3" s="389"/>
      <c r="V3" s="170"/>
      <c r="W3" s="389"/>
      <c r="X3" s="170"/>
      <c r="Y3" s="389"/>
      <c r="Z3" s="389"/>
      <c r="AA3" s="389"/>
      <c r="AB3" s="389"/>
      <c r="AC3" s="389"/>
      <c r="AD3" s="170"/>
      <c r="AE3" s="77"/>
      <c r="AF3" s="77"/>
      <c r="AG3" s="77"/>
    </row>
    <row r="4" spans="1:33" x14ac:dyDescent="0.25">
      <c r="A4" s="178" t="s">
        <v>212</v>
      </c>
      <c r="B4" s="177"/>
      <c r="C4" s="345">
        <v>169372</v>
      </c>
      <c r="D4" s="177"/>
      <c r="E4" s="345">
        <v>20107618.699999999</v>
      </c>
      <c r="F4" s="180">
        <v>-10533711</v>
      </c>
      <c r="G4" s="345">
        <f>11943421-G5</f>
        <v>11925421</v>
      </c>
      <c r="H4" s="181">
        <f>F4+G4</f>
        <v>1391710</v>
      </c>
      <c r="I4" s="182">
        <f t="shared" ref="I4:I13" si="0">SUM(E4:G4)</f>
        <v>21499328.699999999</v>
      </c>
      <c r="J4" s="170"/>
      <c r="K4" s="170"/>
      <c r="L4" s="170" t="s">
        <v>213</v>
      </c>
      <c r="M4" s="170"/>
      <c r="N4" s="183">
        <v>-137733.06</v>
      </c>
      <c r="O4" s="184">
        <f>E4</f>
        <v>20107618.699999999</v>
      </c>
      <c r="P4" s="184">
        <f t="shared" ref="P4:P9" si="1">G4</f>
        <v>11925421</v>
      </c>
      <c r="Q4" s="366">
        <v>-6.8500000000000002E-3</v>
      </c>
      <c r="R4" s="186">
        <f>P4*Q4</f>
        <v>-81689.133849999998</v>
      </c>
      <c r="S4" s="184">
        <f t="shared" ref="S4:S9" si="2">F4</f>
        <v>-10533711</v>
      </c>
      <c r="T4" s="366">
        <v>-6.8500000000000002E-3</v>
      </c>
      <c r="U4" s="187">
        <f>S4*T4</f>
        <v>72155.92035</v>
      </c>
      <c r="V4" s="170"/>
      <c r="W4" s="188">
        <f>N4+R4+U4</f>
        <v>-147266.27349999998</v>
      </c>
      <c r="X4" s="170"/>
      <c r="Y4" s="189">
        <f>O4+P4+S4</f>
        <v>21499328.699999999</v>
      </c>
      <c r="Z4" s="190">
        <f>Q4</f>
        <v>-6.8500000000000002E-3</v>
      </c>
      <c r="AA4" s="191">
        <f>Y4*Z4</f>
        <v>-147270.401595</v>
      </c>
      <c r="AB4" s="188">
        <f>W4-AA4</f>
        <v>4.1280950000218581</v>
      </c>
      <c r="AC4" s="189">
        <f>AB4/T4</f>
        <v>-602.64160584260696</v>
      </c>
      <c r="AD4" s="192">
        <f t="shared" ref="AD4:AD11" si="3">AB4/W4</f>
        <v>-2.8031503085612191E-5</v>
      </c>
      <c r="AE4" s="77"/>
      <c r="AF4" s="77"/>
      <c r="AG4" s="77"/>
    </row>
    <row r="5" spans="1:33" x14ac:dyDescent="0.25">
      <c r="A5" s="178" t="s">
        <v>214</v>
      </c>
      <c r="B5" s="177"/>
      <c r="C5" s="345">
        <v>260</v>
      </c>
      <c r="D5" s="177"/>
      <c r="E5" s="345">
        <v>30312.98</v>
      </c>
      <c r="F5" s="180">
        <v>-15824</v>
      </c>
      <c r="G5" s="345">
        <v>18000</v>
      </c>
      <c r="H5" s="181">
        <f t="shared" ref="H5:H13" si="4">F5+G5</f>
        <v>2176</v>
      </c>
      <c r="I5" s="182">
        <f t="shared" si="0"/>
        <v>32488.98</v>
      </c>
      <c r="J5" s="170"/>
      <c r="K5" s="170"/>
      <c r="L5" s="170" t="s">
        <v>215</v>
      </c>
      <c r="M5" s="170"/>
      <c r="N5" s="183">
        <v>-207.63</v>
      </c>
      <c r="O5" s="184">
        <f t="shared" ref="O5:O7" si="5">E5</f>
        <v>30312.98</v>
      </c>
      <c r="P5" s="184">
        <f t="shared" si="1"/>
        <v>18000</v>
      </c>
      <c r="Q5" s="366">
        <v>-6.8500000000000002E-3</v>
      </c>
      <c r="R5" s="186">
        <f t="shared" ref="R5:R10" si="6">P5*Q5</f>
        <v>-123.3</v>
      </c>
      <c r="S5" s="184">
        <f t="shared" si="2"/>
        <v>-15824</v>
      </c>
      <c r="T5" s="366">
        <v>-6.8500000000000002E-3</v>
      </c>
      <c r="U5" s="187">
        <f t="shared" ref="U5:U10" si="7">S5*T5</f>
        <v>108.3944</v>
      </c>
      <c r="V5" s="170"/>
      <c r="W5" s="188">
        <f t="shared" ref="W5:W10" si="8">N5+R5+U5</f>
        <v>-222.53559999999999</v>
      </c>
      <c r="X5" s="170"/>
      <c r="Y5" s="189">
        <f t="shared" ref="Y5:Y10" si="9">O5+P5+S5</f>
        <v>32488.979999999996</v>
      </c>
      <c r="Z5" s="190">
        <f t="shared" ref="Z5:Z10" si="10">Q5</f>
        <v>-6.8500000000000002E-3</v>
      </c>
      <c r="AA5" s="191">
        <f t="shared" ref="AA5:AA10" si="11">Y5*Z5</f>
        <v>-222.54951299999999</v>
      </c>
      <c r="AB5" s="188">
        <f t="shared" ref="AB5:AB10" si="12">W5-AA5</f>
        <v>1.3913000000002285E-2</v>
      </c>
      <c r="AC5" s="189">
        <f t="shared" ref="AC5:AC10" si="13">AB5/T5</f>
        <v>-2.0310948905112824</v>
      </c>
      <c r="AD5" s="192">
        <f t="shared" si="3"/>
        <v>-6.2520333825249918E-5</v>
      </c>
      <c r="AE5" s="77"/>
      <c r="AF5" s="77"/>
      <c r="AG5" s="77"/>
    </row>
    <row r="6" spans="1:33" x14ac:dyDescent="0.25">
      <c r="A6" s="178" t="s">
        <v>216</v>
      </c>
      <c r="B6" s="177"/>
      <c r="C6" s="345">
        <v>3170</v>
      </c>
      <c r="D6" s="177"/>
      <c r="E6" s="345">
        <v>7509888.6900000004</v>
      </c>
      <c r="F6" s="180">
        <v>-4038549</v>
      </c>
      <c r="G6" s="345">
        <v>4266012</v>
      </c>
      <c r="H6" s="181">
        <f t="shared" si="4"/>
        <v>227463</v>
      </c>
      <c r="I6" s="182">
        <f>SUM(E6:G6)</f>
        <v>7737351.6900000004</v>
      </c>
      <c r="J6" s="170"/>
      <c r="K6" s="170"/>
      <c r="L6" s="170" t="s">
        <v>217</v>
      </c>
      <c r="M6" s="170"/>
      <c r="N6" s="183">
        <v>31466.33</v>
      </c>
      <c r="O6" s="184">
        <f t="shared" si="5"/>
        <v>7509888.6900000004</v>
      </c>
      <c r="P6" s="184">
        <f t="shared" si="1"/>
        <v>4266012</v>
      </c>
      <c r="Q6" s="261">
        <v>4.1900000000000001E-3</v>
      </c>
      <c r="R6" s="186">
        <f t="shared" si="6"/>
        <v>17874.59028</v>
      </c>
      <c r="S6" s="184">
        <f t="shared" si="2"/>
        <v>-4038549</v>
      </c>
      <c r="T6" s="261">
        <v>4.1900000000000001E-3</v>
      </c>
      <c r="U6" s="187">
        <f t="shared" si="7"/>
        <v>-16921.52031</v>
      </c>
      <c r="V6" s="170"/>
      <c r="W6" s="188">
        <f t="shared" si="8"/>
        <v>32419.399970000006</v>
      </c>
      <c r="X6" s="170"/>
      <c r="Y6" s="189">
        <f t="shared" si="9"/>
        <v>7737351.6900000013</v>
      </c>
      <c r="Z6" s="177">
        <f t="shared" si="10"/>
        <v>4.1900000000000001E-3</v>
      </c>
      <c r="AA6" s="191">
        <f t="shared" si="11"/>
        <v>32419.503581100005</v>
      </c>
      <c r="AB6" s="188">
        <f t="shared" si="12"/>
        <v>-0.10361109999939799</v>
      </c>
      <c r="AC6" s="189">
        <f t="shared" si="13"/>
        <v>-24.728186157374221</v>
      </c>
      <c r="AD6" s="192">
        <f t="shared" si="3"/>
        <v>-3.1959598294625061E-6</v>
      </c>
      <c r="AE6" s="77"/>
      <c r="AF6" s="77"/>
      <c r="AG6" s="77"/>
    </row>
    <row r="7" spans="1:33" x14ac:dyDescent="0.25">
      <c r="A7" s="178" t="s">
        <v>218</v>
      </c>
      <c r="B7" s="177"/>
      <c r="C7" s="345">
        <v>3</v>
      </c>
      <c r="D7" s="177"/>
      <c r="E7" s="345">
        <v>108201.7</v>
      </c>
      <c r="F7" s="180">
        <v>-58294</v>
      </c>
      <c r="G7" s="345">
        <v>64250</v>
      </c>
      <c r="H7" s="181">
        <f t="shared" si="4"/>
        <v>5956</v>
      </c>
      <c r="I7" s="182">
        <f>SUM(E7:G7)</f>
        <v>114157.7</v>
      </c>
      <c r="J7" s="170"/>
      <c r="K7" s="170"/>
      <c r="L7" s="170" t="s">
        <v>219</v>
      </c>
      <c r="M7" s="170"/>
      <c r="N7" s="183">
        <v>453.36</v>
      </c>
      <c r="O7" s="184">
        <f t="shared" si="5"/>
        <v>108201.7</v>
      </c>
      <c r="P7" s="184">
        <f t="shared" si="1"/>
        <v>64250</v>
      </c>
      <c r="Q7" s="261">
        <v>4.1900000000000001E-3</v>
      </c>
      <c r="R7" s="186">
        <f t="shared" si="6"/>
        <v>269.20749999999998</v>
      </c>
      <c r="S7" s="184">
        <f t="shared" si="2"/>
        <v>-58294</v>
      </c>
      <c r="T7" s="261">
        <v>4.1900000000000001E-3</v>
      </c>
      <c r="U7" s="187">
        <f t="shared" si="7"/>
        <v>-244.25186000000002</v>
      </c>
      <c r="V7" s="170"/>
      <c r="W7" s="188">
        <f t="shared" si="8"/>
        <v>478.31563999999997</v>
      </c>
      <c r="X7" s="170"/>
      <c r="Y7" s="189">
        <f t="shared" si="9"/>
        <v>114157.70000000001</v>
      </c>
      <c r="Z7" s="190">
        <f t="shared" si="10"/>
        <v>4.1900000000000001E-3</v>
      </c>
      <c r="AA7" s="191">
        <f t="shared" si="11"/>
        <v>478.32076300000006</v>
      </c>
      <c r="AB7" s="188">
        <f t="shared" si="12"/>
        <v>-5.1230000000828113E-3</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261">
        <v>4.1900000000000001E-3</v>
      </c>
      <c r="R8" s="186">
        <f t="shared" si="6"/>
        <v>0</v>
      </c>
      <c r="S8" s="184">
        <f t="shared" si="2"/>
        <v>0</v>
      </c>
      <c r="T8" s="261">
        <v>4.1900000000000001E-3</v>
      </c>
      <c r="U8" s="187">
        <f t="shared" si="7"/>
        <v>0</v>
      </c>
      <c r="V8" s="170"/>
      <c r="W8" s="188">
        <f>N8+R8+U8</f>
        <v>0</v>
      </c>
      <c r="X8" s="170"/>
      <c r="Y8" s="189">
        <f t="shared" si="9"/>
        <v>0</v>
      </c>
      <c r="Z8" s="177">
        <f t="shared" si="10"/>
        <v>4.1900000000000001E-3</v>
      </c>
      <c r="AA8" s="191">
        <f t="shared" si="11"/>
        <v>0</v>
      </c>
      <c r="AB8" s="188">
        <f t="shared" si="12"/>
        <v>0</v>
      </c>
      <c r="AC8" s="189">
        <f t="shared" si="13"/>
        <v>0</v>
      </c>
      <c r="AD8" s="192"/>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261">
        <v>4.1900000000000001E-3</v>
      </c>
      <c r="R9" s="186">
        <f t="shared" si="6"/>
        <v>0</v>
      </c>
      <c r="S9" s="184">
        <f t="shared" si="2"/>
        <v>0</v>
      </c>
      <c r="T9" s="261">
        <v>4.1900000000000001E-3</v>
      </c>
      <c r="U9" s="187">
        <f t="shared" si="7"/>
        <v>0</v>
      </c>
      <c r="V9" s="170"/>
      <c r="W9" s="188">
        <f>N9+R9+U9</f>
        <v>0</v>
      </c>
      <c r="X9" s="170"/>
      <c r="Y9" s="189">
        <f t="shared" si="9"/>
        <v>0</v>
      </c>
      <c r="Z9" s="190">
        <f t="shared" si="10"/>
        <v>4.1900000000000001E-3</v>
      </c>
      <c r="AA9" s="191">
        <f t="shared" si="11"/>
        <v>0</v>
      </c>
      <c r="AB9" s="188">
        <f t="shared" si="12"/>
        <v>0</v>
      </c>
      <c r="AC9" s="189"/>
      <c r="AD9" s="192"/>
      <c r="AE9" s="77"/>
      <c r="AF9" s="77"/>
      <c r="AG9" s="77"/>
    </row>
    <row r="10" spans="1:33" x14ac:dyDescent="0.25">
      <c r="A10" s="178" t="s">
        <v>223</v>
      </c>
      <c r="B10" s="177"/>
      <c r="C10" s="345">
        <v>2</v>
      </c>
      <c r="D10" s="177"/>
      <c r="E10" s="345">
        <v>126568.78</v>
      </c>
      <c r="F10" s="180"/>
      <c r="G10" s="345"/>
      <c r="H10" s="181">
        <f t="shared" si="4"/>
        <v>0</v>
      </c>
      <c r="I10" s="182">
        <f t="shared" si="0"/>
        <v>126568.78</v>
      </c>
      <c r="J10" s="170"/>
      <c r="K10" s="170"/>
      <c r="L10" s="170" t="s">
        <v>224</v>
      </c>
      <c r="M10" s="170"/>
      <c r="N10" s="183">
        <v>0</v>
      </c>
      <c r="O10" s="184">
        <v>0</v>
      </c>
      <c r="P10" s="184">
        <v>0</v>
      </c>
      <c r="Q10" s="261">
        <v>4.1900000000000001E-3</v>
      </c>
      <c r="R10" s="186">
        <f t="shared" si="6"/>
        <v>0</v>
      </c>
      <c r="S10" s="184">
        <v>0</v>
      </c>
      <c r="T10" s="261">
        <v>4.1900000000000001E-3</v>
      </c>
      <c r="U10" s="187">
        <f t="shared" si="7"/>
        <v>0</v>
      </c>
      <c r="V10" s="170"/>
      <c r="W10" s="188">
        <f t="shared" si="8"/>
        <v>0</v>
      </c>
      <c r="X10" s="170"/>
      <c r="Y10" s="189">
        <f t="shared" si="9"/>
        <v>0</v>
      </c>
      <c r="Z10" s="177">
        <f t="shared" si="10"/>
        <v>4.1900000000000001E-3</v>
      </c>
      <c r="AA10" s="191">
        <f t="shared" si="11"/>
        <v>0</v>
      </c>
      <c r="AB10" s="188">
        <f t="shared" si="12"/>
        <v>0</v>
      </c>
      <c r="AC10" s="189">
        <f t="shared" si="13"/>
        <v>0</v>
      </c>
      <c r="AD10" s="192"/>
      <c r="AE10" s="77"/>
      <c r="AF10" s="77"/>
      <c r="AG10" s="77"/>
    </row>
    <row r="11" spans="1:33" x14ac:dyDescent="0.25">
      <c r="A11" s="178" t="s">
        <v>225</v>
      </c>
      <c r="B11" s="177"/>
      <c r="C11" s="345">
        <v>38</v>
      </c>
      <c r="D11" s="177"/>
      <c r="E11" s="345">
        <v>2895484</v>
      </c>
      <c r="F11" s="180">
        <v>-2894167</v>
      </c>
      <c r="G11" s="345">
        <v>3192839</v>
      </c>
      <c r="H11" s="181">
        <f t="shared" si="4"/>
        <v>298672</v>
      </c>
      <c r="I11" s="182">
        <f t="shared" si="0"/>
        <v>3194156</v>
      </c>
      <c r="J11" s="170"/>
      <c r="K11" s="170"/>
      <c r="L11" s="170"/>
      <c r="M11" s="170"/>
      <c r="N11" s="393">
        <f>SUM(N4:N10)</f>
        <v>-106021</v>
      </c>
      <c r="O11" s="195">
        <f>SUM(O4:O10)</f>
        <v>27756022.07</v>
      </c>
      <c r="P11" s="195">
        <f>SUM(P4:P10)</f>
        <v>16273683</v>
      </c>
      <c r="Q11" s="170"/>
      <c r="R11" s="194">
        <f>SUM(R4:R10)</f>
        <v>-63668.63607</v>
      </c>
      <c r="S11" s="195">
        <f>SUM(S4:S10)</f>
        <v>-14646378</v>
      </c>
      <c r="T11" s="196"/>
      <c r="U11" s="194">
        <f>SUM(U4:U10)</f>
        <v>55098.542580000008</v>
      </c>
      <c r="V11" s="170"/>
      <c r="W11" s="194">
        <f>SUM(W4:W10)</f>
        <v>-114591.09348999998</v>
      </c>
      <c r="X11" s="170"/>
      <c r="Y11" s="197">
        <f>SUM(Y4:Y10)</f>
        <v>29383327.07</v>
      </c>
      <c r="Z11" s="170"/>
      <c r="AA11" s="197">
        <f>SUM(AA4:AA10)</f>
        <v>-114595.12676390001</v>
      </c>
      <c r="AB11" s="194">
        <f>SUM(AB4:AB10)</f>
        <v>4.0332739000223796</v>
      </c>
      <c r="AC11" s="197">
        <f>SUM(AC4:AC10)</f>
        <v>-629.40088689049253</v>
      </c>
      <c r="AD11" s="192">
        <f t="shared" si="3"/>
        <v>-3.5197097585724246E-5</v>
      </c>
      <c r="AE11" s="77"/>
      <c r="AF11" s="77"/>
      <c r="AG11" s="77"/>
    </row>
    <row r="12" spans="1:33" x14ac:dyDescent="0.25">
      <c r="A12" s="178" t="s">
        <v>226</v>
      </c>
      <c r="B12" s="177"/>
      <c r="C12" s="345">
        <v>2</v>
      </c>
      <c r="D12" s="177"/>
      <c r="E12" s="345">
        <v>277011</v>
      </c>
      <c r="F12" s="180"/>
      <c r="G12" s="345"/>
      <c r="H12" s="181">
        <f t="shared" si="4"/>
        <v>0</v>
      </c>
      <c r="I12" s="182">
        <f t="shared" si="0"/>
        <v>277011</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3902504</v>
      </c>
      <c r="F13" s="180">
        <v>-3902504</v>
      </c>
      <c r="G13" s="345">
        <v>4223059</v>
      </c>
      <c r="H13" s="181">
        <f t="shared" si="4"/>
        <v>320555</v>
      </c>
      <c r="I13" s="182">
        <f t="shared" si="0"/>
        <v>4223059</v>
      </c>
      <c r="J13" s="170"/>
      <c r="K13" s="170"/>
      <c r="L13" s="170"/>
      <c r="M13" s="170"/>
      <c r="N13" s="170"/>
      <c r="O13" s="170"/>
      <c r="P13" s="170"/>
      <c r="Q13" s="170"/>
      <c r="R13" s="170"/>
      <c r="S13" s="170"/>
      <c r="T13" s="365" t="s">
        <v>384</v>
      </c>
      <c r="U13" s="177" t="s">
        <v>228</v>
      </c>
      <c r="V13" s="177"/>
      <c r="W13" s="364">
        <v>0.95660000000000001</v>
      </c>
      <c r="X13" s="170"/>
      <c r="Y13" s="170"/>
      <c r="Z13" s="170" t="s">
        <v>229</v>
      </c>
      <c r="AA13" s="170" t="s">
        <v>230</v>
      </c>
      <c r="AB13" s="170"/>
      <c r="AC13" s="170" t="s">
        <v>231</v>
      </c>
      <c r="AD13" s="170"/>
      <c r="AE13" s="77"/>
      <c r="AF13" s="77"/>
      <c r="AG13" s="77"/>
    </row>
    <row r="14" spans="1:33" x14ac:dyDescent="0.25">
      <c r="A14" s="177"/>
      <c r="B14" s="177"/>
      <c r="C14" s="201">
        <f>SUM(C4:C13)</f>
        <v>172852</v>
      </c>
      <c r="D14" s="170"/>
      <c r="E14" s="201">
        <f>SUM(E4:E13)</f>
        <v>34957589.850000001</v>
      </c>
      <c r="F14" s="201">
        <f>SUM(F4:F13)</f>
        <v>-21443049</v>
      </c>
      <c r="G14" s="201">
        <f>SUM(G4:G13)</f>
        <v>23689581</v>
      </c>
      <c r="H14" s="201">
        <f>SUM(H4:H13)</f>
        <v>2246532</v>
      </c>
      <c r="I14" s="201">
        <f t="shared" ref="I14" si="14">SUM(I4:I13)</f>
        <v>37204121.850000001</v>
      </c>
      <c r="J14" s="170"/>
      <c r="K14" s="170"/>
      <c r="L14" s="170"/>
      <c r="M14" s="170"/>
      <c r="N14" s="170"/>
      <c r="O14" s="170"/>
      <c r="P14" s="170"/>
      <c r="Q14" s="170"/>
      <c r="R14" s="170"/>
      <c r="S14" s="170" t="s">
        <v>181</v>
      </c>
      <c r="T14" s="170" t="s">
        <v>232</v>
      </c>
      <c r="U14" s="170"/>
      <c r="V14" s="282"/>
      <c r="W14" s="202">
        <f>ROUND((W4+W5)*W13,2)</f>
        <v>-141087.79</v>
      </c>
      <c r="X14" s="170"/>
      <c r="Y14" s="170" t="s">
        <v>28</v>
      </c>
      <c r="Z14" s="181">
        <f>O4+O5+P4+P5+S4+S5</f>
        <v>21531817.68</v>
      </c>
      <c r="AA14" s="190">
        <v>-6.5500000000000003E-3</v>
      </c>
      <c r="AB14" s="188">
        <f>Z14*AA14</f>
        <v>-141033.40580400001</v>
      </c>
      <c r="AC14" s="188">
        <f>W14-AB14</f>
        <v>-54.384195999999065</v>
      </c>
      <c r="AD14" s="192">
        <f>AC14/W14</f>
        <v>3.8546351884878957E-4</v>
      </c>
      <c r="AE14" s="77"/>
      <c r="AF14" s="77"/>
      <c r="AG14" s="77"/>
    </row>
    <row r="15" spans="1:33" ht="15.75" thickBot="1" x14ac:dyDescent="0.3">
      <c r="A15" s="282"/>
      <c r="B15" s="282" t="s">
        <v>343</v>
      </c>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c r="W15" s="202">
        <f>ROUND(SUM(W6:W10)*W13,2)</f>
        <v>31469.95</v>
      </c>
      <c r="X15" s="170"/>
      <c r="Y15" s="170" t="s">
        <v>234</v>
      </c>
      <c r="Z15" s="181">
        <f>SUM(O6:P10,S6:S10)</f>
        <v>7851509.3900000006</v>
      </c>
      <c r="AA15" s="190">
        <v>4.0099999999999997E-3</v>
      </c>
      <c r="AB15" s="188">
        <f>(Z15)*AA15</f>
        <v>31484.552653899998</v>
      </c>
      <c r="AC15" s="188">
        <f>W15-AB15</f>
        <v>-14.602653899997676</v>
      </c>
      <c r="AD15" s="192">
        <f>AC15/W15</f>
        <v>-4.6401897365574703E-4</v>
      </c>
      <c r="AE15" s="77"/>
      <c r="AF15" s="77"/>
      <c r="AG15" s="77"/>
    </row>
    <row r="16" spans="1:33" x14ac:dyDescent="0.25">
      <c r="A16" s="177" t="s">
        <v>28</v>
      </c>
      <c r="B16" s="282"/>
      <c r="C16" s="203">
        <f>C4+C5</f>
        <v>169632</v>
      </c>
      <c r="D16" s="170"/>
      <c r="E16" s="204">
        <f>E4+E5</f>
        <v>20137931.68</v>
      </c>
      <c r="F16" s="204">
        <f t="shared" ref="F16:H16" si="15">F4+F5</f>
        <v>-10549535</v>
      </c>
      <c r="G16" s="204">
        <f t="shared" si="15"/>
        <v>11943421</v>
      </c>
      <c r="H16" s="204">
        <f t="shared" si="15"/>
        <v>1393886</v>
      </c>
      <c r="I16" s="203">
        <f>I4+I5</f>
        <v>21531817.68</v>
      </c>
      <c r="J16" s="291"/>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-8570.093489999992</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c r="C18" s="207">
        <f>SUM(C6:C9)</f>
        <v>3173</v>
      </c>
      <c r="D18" s="170"/>
      <c r="E18" s="208">
        <f>SUM(E6:E9)</f>
        <v>7618090.3900000006</v>
      </c>
      <c r="F18" s="208">
        <f t="shared" ref="F18:H18" si="16">SUM(F6:F9)</f>
        <v>-4096843</v>
      </c>
      <c r="G18" s="208">
        <f>SUM(G6:G9)</f>
        <v>4330262</v>
      </c>
      <c r="H18" s="208">
        <f t="shared" si="16"/>
        <v>233419</v>
      </c>
      <c r="I18" s="207">
        <f>SUM(I6:I9)</f>
        <v>7851509.3900000006</v>
      </c>
      <c r="J18" s="291"/>
      <c r="K18" s="170"/>
      <c r="L18" s="170"/>
      <c r="M18" s="170"/>
      <c r="N18" s="170"/>
      <c r="O18" s="170"/>
      <c r="P18" s="170"/>
      <c r="Q18" s="170"/>
      <c r="R18" s="188">
        <f>E64</f>
        <v>-8570.0934899999993</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90"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1626970</v>
      </c>
      <c r="D22" s="183">
        <v>11026104.550000001</v>
      </c>
      <c r="E22" s="183">
        <v>-8547878.8817238901</v>
      </c>
      <c r="F22" s="183">
        <f>9739449-F23</f>
        <v>9734648.2050930001</v>
      </c>
      <c r="G22" s="211">
        <f>SUM(D22:F22)</f>
        <v>12212873.873369111</v>
      </c>
      <c r="H22" s="188">
        <f t="shared" ref="H22:H31" si="17">-J54</f>
        <v>-404138.66689999989</v>
      </c>
      <c r="I22" s="188">
        <f t="shared" ref="I22:I31" si="18">G22+H22</f>
        <v>11808735.206469111</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2479.5</v>
      </c>
      <c r="D23" s="183">
        <v>16454</v>
      </c>
      <c r="E23" s="183">
        <v>-3843.1182761074401</v>
      </c>
      <c r="F23" s="183">
        <f>G5*(K23-C23)/E5</f>
        <v>4800.794907000236</v>
      </c>
      <c r="G23" s="211">
        <f>SUM(D23:F23)</f>
        <v>17411.676630892798</v>
      </c>
      <c r="H23" s="188">
        <f t="shared" si="17"/>
        <v>422.79680000000019</v>
      </c>
      <c r="I23" s="188">
        <f t="shared" si="18"/>
        <v>17834.473430892798</v>
      </c>
      <c r="J23" s="170"/>
      <c r="K23" s="183">
        <v>10564.3</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341429.24</v>
      </c>
      <c r="D24" s="183">
        <v>2380868.9300000002</v>
      </c>
      <c r="E24" s="183">
        <v>-2298379</v>
      </c>
      <c r="F24" s="183">
        <v>2427831</v>
      </c>
      <c r="G24" s="211">
        <f>SUM(D24:F24)</f>
        <v>2510320.9300000002</v>
      </c>
      <c r="H24" s="188">
        <f t="shared" si="17"/>
        <v>-65900.580360000007</v>
      </c>
      <c r="I24" s="188">
        <f t="shared" si="18"/>
        <v>2444420.3496400001</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322.68</v>
      </c>
      <c r="D25" s="183">
        <v>24311.64</v>
      </c>
      <c r="E25" s="183">
        <v>-32543</v>
      </c>
      <c r="F25" s="183">
        <v>35868</v>
      </c>
      <c r="G25" s="211">
        <f>SUM(D25:F25)</f>
        <v>27636.639999999999</v>
      </c>
      <c r="H25" s="188">
        <f t="shared" si="17"/>
        <v>-1726.40616</v>
      </c>
      <c r="I25" s="188">
        <f>G25+H25</f>
        <v>25910.233840000001</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26928.720000000001</v>
      </c>
      <c r="E28" s="183"/>
      <c r="F28" s="183"/>
      <c r="G28" s="211">
        <f t="shared" si="19"/>
        <v>26928.720000000001</v>
      </c>
      <c r="H28" s="188">
        <f t="shared" si="17"/>
        <v>0</v>
      </c>
      <c r="I28" s="188">
        <f t="shared" si="18"/>
        <v>26928.720000000001</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23750</v>
      </c>
      <c r="D29" s="183">
        <v>288640.58</v>
      </c>
      <c r="E29" s="183">
        <v>-257726</v>
      </c>
      <c r="F29" s="183">
        <v>284322</v>
      </c>
      <c r="G29" s="211">
        <f t="shared" si="19"/>
        <v>315236.58</v>
      </c>
      <c r="H29" s="188">
        <f t="shared" si="17"/>
        <v>549.55647999999997</v>
      </c>
      <c r="I29" s="188">
        <f t="shared" si="18"/>
        <v>315786.13648000004</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5792.3</v>
      </c>
      <c r="E30" s="183"/>
      <c r="F30" s="183"/>
      <c r="G30" s="211">
        <f t="shared" si="19"/>
        <v>5792.3</v>
      </c>
      <c r="H30" s="188">
        <f t="shared" si="17"/>
        <v>0</v>
      </c>
      <c r="I30" s="188">
        <f t="shared" si="18"/>
        <v>5792.3</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96678.38</v>
      </c>
      <c r="E31" s="183">
        <v>-81601</v>
      </c>
      <c r="F31" s="183">
        <v>88304</v>
      </c>
      <c r="G31" s="211">
        <f t="shared" si="19"/>
        <v>103381.38</v>
      </c>
      <c r="H31" s="188">
        <f t="shared" si="17"/>
        <v>0</v>
      </c>
      <c r="I31" s="188">
        <f t="shared" si="18"/>
        <v>103381.38</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8066737.5899999999</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794356.02</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393">
        <f>SUM(C22:C31)</f>
        <v>1995951.42</v>
      </c>
      <c r="D34" s="213">
        <f>SUM(D22:D33)</f>
        <v>22726872.710000005</v>
      </c>
      <c r="E34" s="213">
        <f>SUM(E22:E33)</f>
        <v>-11221970.999999998</v>
      </c>
      <c r="F34" s="213">
        <f>SUM(F22:F33)</f>
        <v>12575774</v>
      </c>
      <c r="G34" s="213">
        <f t="shared" ref="G34:I34" si="20">SUM(G22:G33)</f>
        <v>15219582.100000007</v>
      </c>
      <c r="H34" s="213">
        <f t="shared" si="20"/>
        <v>-470793.30013999989</v>
      </c>
      <c r="I34" s="213">
        <f t="shared" si="20"/>
        <v>14748788.799860006</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c r="C36" s="215">
        <f>C22+C23</f>
        <v>1629449.5</v>
      </c>
      <c r="D36" s="186">
        <f>D22+D23</f>
        <v>11042558.550000001</v>
      </c>
      <c r="E36" s="186">
        <f t="shared" ref="E36:H36" si="21">E22+E23</f>
        <v>-8551721.9999999981</v>
      </c>
      <c r="F36" s="186">
        <f t="shared" si="21"/>
        <v>9739449</v>
      </c>
      <c r="G36" s="186">
        <f t="shared" si="21"/>
        <v>12230285.550000004</v>
      </c>
      <c r="H36" s="186">
        <f t="shared" si="21"/>
        <v>-403715.87009999988</v>
      </c>
      <c r="I36" s="215">
        <f>I22+I23</f>
        <v>11826569.679900004</v>
      </c>
      <c r="J36" s="291"/>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c r="C38" s="218">
        <f>SUM(C24:C27)</f>
        <v>341751.92</v>
      </c>
      <c r="D38" s="219">
        <f>SUM(D24:D27)</f>
        <v>2405180.5700000003</v>
      </c>
      <c r="E38" s="219">
        <f t="shared" ref="E38:F38" si="22">SUM(E24:E27)</f>
        <v>-2330922</v>
      </c>
      <c r="F38" s="219">
        <f t="shared" si="22"/>
        <v>2463699</v>
      </c>
      <c r="G38" s="219">
        <f>SUM(G24:G27)</f>
        <v>2537957.5700000003</v>
      </c>
      <c r="H38" s="219">
        <f>SUM(H24:H27)</f>
        <v>-67626.986520000006</v>
      </c>
      <c r="I38" s="218">
        <f>SUM(I24:I27)</f>
        <v>2470330.58348</v>
      </c>
      <c r="J38" s="291"/>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76.150000000000006" customHeight="1" x14ac:dyDescent="0.25">
      <c r="A40" s="177"/>
      <c r="B40" s="170"/>
      <c r="C40" s="221">
        <v>44136</v>
      </c>
      <c r="D40" s="221">
        <v>44136</v>
      </c>
      <c r="E40" s="221">
        <v>44044</v>
      </c>
      <c r="F40" s="221">
        <v>43739</v>
      </c>
      <c r="G40" s="221">
        <v>43344</v>
      </c>
      <c r="H40" s="221">
        <v>44105</v>
      </c>
      <c r="I40" s="324" t="s">
        <v>375</v>
      </c>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223" t="s">
        <v>248</v>
      </c>
      <c r="F41" s="223" t="s">
        <v>249</v>
      </c>
      <c r="G41" s="223" t="s">
        <v>250</v>
      </c>
      <c r="H41" s="223" t="s">
        <v>251</v>
      </c>
      <c r="I41" s="223" t="s">
        <v>364</v>
      </c>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0.27189999999999998</v>
      </c>
      <c r="D42" s="224">
        <v>-7.3099999999999997E-3</v>
      </c>
      <c r="E42" s="224">
        <v>-6.8500000000000002E-3</v>
      </c>
      <c r="F42" s="224">
        <v>0</v>
      </c>
      <c r="G42" s="224">
        <v>3.0280000000000001E-2</v>
      </c>
      <c r="H42" s="224">
        <v>2.3779999999999999E-2</v>
      </c>
      <c r="I42" s="224">
        <v>-2.1409999999999998E-2</v>
      </c>
      <c r="N42" s="225">
        <f>SUM(C42:I42)</f>
        <v>0.29038999999999998</v>
      </c>
      <c r="O42" s="225">
        <f>SUM(C42:I42)</f>
        <v>0.29038999999999998</v>
      </c>
      <c r="P42" s="191">
        <f t="shared" ref="P42:P51" si="23">N42*G4</f>
        <v>3463023.0041899998</v>
      </c>
      <c r="Q42" s="226">
        <f t="shared" ref="Q42:Q51" si="24">-F4*O42</f>
        <v>3058884.3372899997</v>
      </c>
      <c r="R42" s="191">
        <f>P42-Q42</f>
        <v>404138.66690000007</v>
      </c>
      <c r="U42" s="170"/>
      <c r="V42" s="170"/>
      <c r="W42" s="170"/>
      <c r="X42" s="170"/>
      <c r="Y42" s="170"/>
      <c r="Z42" s="170"/>
      <c r="AA42" s="170"/>
      <c r="AB42" s="170"/>
      <c r="AC42" s="170"/>
      <c r="AD42" s="77"/>
      <c r="AE42" s="77"/>
      <c r="AF42" s="77"/>
      <c r="AG42" s="77"/>
    </row>
    <row r="43" spans="1:33" x14ac:dyDescent="0.25">
      <c r="A43" s="178" t="s">
        <v>214</v>
      </c>
      <c r="B43" s="177"/>
      <c r="C43" s="224">
        <v>0.27189999999999998</v>
      </c>
      <c r="D43" s="224">
        <v>-7.3099999999999997E-3</v>
      </c>
      <c r="E43" s="224">
        <f>E42</f>
        <v>-6.8500000000000002E-3</v>
      </c>
      <c r="F43" s="224">
        <v>-0.48469000000000001</v>
      </c>
      <c r="G43" s="224">
        <v>3.0280000000000001E-2</v>
      </c>
      <c r="H43" s="224">
        <f>H42</f>
        <v>2.3779999999999999E-2</v>
      </c>
      <c r="I43" s="224">
        <f>I42</f>
        <v>-2.1409999999999998E-2</v>
      </c>
      <c r="N43" s="225">
        <f t="shared" ref="N43:N51" si="25">SUM(C43:I43)</f>
        <v>-0.19430000000000003</v>
      </c>
      <c r="O43" s="225">
        <f t="shared" ref="O43:O51" si="26">SUM(C43:I43)</f>
        <v>-0.19430000000000003</v>
      </c>
      <c r="P43" s="191">
        <f t="shared" si="23"/>
        <v>-3497.4000000000005</v>
      </c>
      <c r="Q43" s="226">
        <f t="shared" si="24"/>
        <v>-3074.6032000000005</v>
      </c>
      <c r="R43" s="191">
        <f t="shared" ref="R43:R51" si="27">P43-Q43</f>
        <v>-422.79680000000008</v>
      </c>
      <c r="U43" s="170"/>
      <c r="V43" s="170"/>
      <c r="W43" s="170"/>
      <c r="X43" s="170"/>
      <c r="Y43" s="170"/>
      <c r="Z43" s="170"/>
      <c r="AA43" s="170"/>
      <c r="AB43" s="170"/>
      <c r="AC43" s="170"/>
      <c r="AD43" s="77"/>
      <c r="AE43" s="77"/>
      <c r="AF43" s="77"/>
      <c r="AG43" s="77"/>
    </row>
    <row r="44" spans="1:33" x14ac:dyDescent="0.25">
      <c r="A44" s="178" t="s">
        <v>216</v>
      </c>
      <c r="B44" s="177"/>
      <c r="C44" s="224">
        <v>0.26157000000000002</v>
      </c>
      <c r="D44" s="224">
        <v>-1.3999999999999999E-4</v>
      </c>
      <c r="E44" s="224">
        <v>4.1900000000000001E-3</v>
      </c>
      <c r="F44" s="224">
        <v>0</v>
      </c>
      <c r="G44" s="224">
        <v>1.626E-2</v>
      </c>
      <c r="H44" s="224">
        <v>1.9939999999999999E-2</v>
      </c>
      <c r="I44" s="224">
        <v>-1.21E-2</v>
      </c>
      <c r="N44" s="225">
        <f t="shared" si="25"/>
        <v>0.28972000000000009</v>
      </c>
      <c r="O44" s="225">
        <f t="shared" si="26"/>
        <v>0.28972000000000009</v>
      </c>
      <c r="P44" s="191">
        <f t="shared" si="23"/>
        <v>1235948.9966400005</v>
      </c>
      <c r="Q44" s="226">
        <f t="shared" si="24"/>
        <v>1170048.4162800005</v>
      </c>
      <c r="R44" s="191">
        <f t="shared" si="27"/>
        <v>65900.580360000022</v>
      </c>
      <c r="U44" s="170"/>
      <c r="V44" s="170"/>
      <c r="W44" s="170"/>
      <c r="X44" s="170"/>
      <c r="Y44" s="170"/>
      <c r="Z44" s="170"/>
      <c r="AA44" s="170"/>
      <c r="AB44" s="170"/>
      <c r="AC44" s="170"/>
      <c r="AD44" s="77"/>
      <c r="AE44" s="77"/>
      <c r="AF44" s="77"/>
      <c r="AG44" s="77"/>
    </row>
    <row r="45" spans="1:33" x14ac:dyDescent="0.25">
      <c r="A45" s="178" t="s">
        <v>218</v>
      </c>
      <c r="B45" s="177"/>
      <c r="C45" s="224">
        <v>0.26157000000000002</v>
      </c>
      <c r="D45" s="224">
        <v>0</v>
      </c>
      <c r="E45" s="224">
        <f>E44</f>
        <v>4.1900000000000001E-3</v>
      </c>
      <c r="F45" s="224">
        <v>0</v>
      </c>
      <c r="G45" s="224">
        <v>1.626E-2</v>
      </c>
      <c r="H45" s="224">
        <f>H44</f>
        <v>1.9939999999999999E-2</v>
      </c>
      <c r="I45" s="224">
        <f>I44</f>
        <v>-1.21E-2</v>
      </c>
      <c r="N45" s="225">
        <f t="shared" si="25"/>
        <v>0.28986000000000006</v>
      </c>
      <c r="O45" s="225">
        <f t="shared" si="26"/>
        <v>0.28986000000000006</v>
      </c>
      <c r="P45" s="191">
        <f t="shared" si="23"/>
        <v>18623.505000000005</v>
      </c>
      <c r="Q45" s="226">
        <f t="shared" si="24"/>
        <v>16897.098840000002</v>
      </c>
      <c r="R45" s="191">
        <f t="shared" si="27"/>
        <v>1726.4061600000023</v>
      </c>
      <c r="U45" s="170"/>
      <c r="V45" s="170"/>
      <c r="W45" s="170"/>
      <c r="X45" s="170"/>
      <c r="Y45" s="170"/>
      <c r="Z45" s="170"/>
      <c r="AA45" s="170"/>
      <c r="AB45" s="170"/>
      <c r="AC45" s="170"/>
      <c r="AD45" s="77"/>
      <c r="AE45" s="77"/>
      <c r="AF45" s="77"/>
      <c r="AG45" s="77"/>
    </row>
    <row r="46" spans="1:33" x14ac:dyDescent="0.25">
      <c r="A46" s="178" t="s">
        <v>220</v>
      </c>
      <c r="B46" s="177"/>
      <c r="C46" s="224">
        <v>0.26157000000000002</v>
      </c>
      <c r="D46" s="224">
        <v>-1.3999999999999999E-4</v>
      </c>
      <c r="E46" s="224">
        <f t="shared" ref="E46:E47" si="28">E45</f>
        <v>4.1900000000000001E-3</v>
      </c>
      <c r="F46" s="224">
        <v>0</v>
      </c>
      <c r="G46" s="224">
        <v>1.2760000000000001E-2</v>
      </c>
      <c r="H46" s="224">
        <f t="shared" ref="H46:I47" si="29">H45</f>
        <v>1.9939999999999999E-2</v>
      </c>
      <c r="I46" s="224">
        <f t="shared" si="29"/>
        <v>-1.21E-2</v>
      </c>
      <c r="N46" s="225">
        <f t="shared" si="25"/>
        <v>0.28622000000000009</v>
      </c>
      <c r="O46" s="225">
        <f t="shared" si="26"/>
        <v>0.28622000000000009</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0.26157000000000002</v>
      </c>
      <c r="D47" s="224">
        <v>0</v>
      </c>
      <c r="E47" s="224">
        <f t="shared" si="28"/>
        <v>4.1900000000000001E-3</v>
      </c>
      <c r="F47" s="224">
        <v>0</v>
      </c>
      <c r="G47" s="224">
        <v>1.2760000000000001E-2</v>
      </c>
      <c r="H47" s="224">
        <f t="shared" si="29"/>
        <v>1.9939999999999999E-2</v>
      </c>
      <c r="I47" s="224">
        <f t="shared" si="29"/>
        <v>-1.21E-2</v>
      </c>
      <c r="N47" s="225">
        <f t="shared" si="25"/>
        <v>0.28636000000000006</v>
      </c>
      <c r="O47" s="225">
        <f t="shared" si="26"/>
        <v>0.28636000000000006</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0.22814999999999999</v>
      </c>
      <c r="D48" s="224">
        <v>0</v>
      </c>
      <c r="E48" s="224">
        <v>0</v>
      </c>
      <c r="F48" s="224">
        <v>0</v>
      </c>
      <c r="G48" s="224">
        <v>1.132E-2</v>
      </c>
      <c r="H48" s="224">
        <v>1.7500000000000002E-2</v>
      </c>
      <c r="I48" s="224">
        <v>-7.92E-3</v>
      </c>
      <c r="N48" s="225">
        <f t="shared" si="25"/>
        <v>0.24904999999999997</v>
      </c>
      <c r="O48" s="225">
        <f t="shared" si="26"/>
        <v>0.24904999999999997</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224">
        <v>1.1299999999999999E-3</v>
      </c>
      <c r="I49" s="224">
        <v>-3.5300000000000002E-3</v>
      </c>
      <c r="N49" s="225">
        <f t="shared" si="25"/>
        <v>-1.8400000000000003E-3</v>
      </c>
      <c r="O49" s="225">
        <f t="shared" si="26"/>
        <v>-1.8400000000000003E-3</v>
      </c>
      <c r="P49" s="191">
        <f t="shared" si="23"/>
        <v>-5874.8237600000011</v>
      </c>
      <c r="Q49" s="226">
        <f t="shared" si="24"/>
        <v>-5325.2672800000009</v>
      </c>
      <c r="R49" s="191">
        <f t="shared" si="27"/>
        <v>-549.55648000000019</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224">
        <v>0</v>
      </c>
      <c r="I50" s="224">
        <v>0</v>
      </c>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224">
        <v>0</v>
      </c>
      <c r="I51" s="224">
        <v>0</v>
      </c>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4708223.2820699997</v>
      </c>
      <c r="Q52" s="227">
        <f>SUM(Q42:Q51)</f>
        <v>4237429.9819299998</v>
      </c>
      <c r="R52" s="227">
        <f>SUM(R42:R51)</f>
        <v>470793.30014000006</v>
      </c>
      <c r="U52" s="170"/>
      <c r="V52" s="170"/>
      <c r="W52" s="170"/>
      <c r="X52" s="170"/>
      <c r="Y52" s="170"/>
      <c r="Z52" s="170"/>
      <c r="AA52" s="170"/>
      <c r="AB52" s="170"/>
      <c r="AC52" s="170"/>
      <c r="AD52" s="170"/>
      <c r="AE52" s="77"/>
      <c r="AF52" s="77"/>
      <c r="AG52" s="77"/>
    </row>
    <row r="53" spans="1:33" ht="51.75" x14ac:dyDescent="0.25">
      <c r="A53" s="222" t="s">
        <v>255</v>
      </c>
      <c r="B53" s="174"/>
      <c r="C53" s="390" t="s">
        <v>256</v>
      </c>
      <c r="D53" s="390" t="s">
        <v>257</v>
      </c>
      <c r="E53" s="390" t="s">
        <v>248</v>
      </c>
      <c r="F53" s="390" t="s">
        <v>258</v>
      </c>
      <c r="G53" s="390" t="s">
        <v>259</v>
      </c>
      <c r="H53" s="390" t="s">
        <v>260</v>
      </c>
      <c r="I53" s="390" t="s">
        <v>366</v>
      </c>
      <c r="J53" s="390" t="s">
        <v>261</v>
      </c>
      <c r="M53" s="170"/>
      <c r="N53" s="170"/>
      <c r="O53" s="170"/>
      <c r="Q53" s="262">
        <f>'11.2020 Base Rate Revenue'!P52</f>
        <v>4237429.9819299998</v>
      </c>
      <c r="R53" s="188">
        <f>J64</f>
        <v>470793.30013999989</v>
      </c>
      <c r="U53" s="170"/>
      <c r="V53" s="170"/>
      <c r="W53" s="170"/>
      <c r="X53" s="170"/>
      <c r="Y53" s="170"/>
      <c r="Z53" s="170"/>
      <c r="AA53" s="170"/>
      <c r="AB53" s="170"/>
      <c r="AC53" s="170"/>
      <c r="AD53" s="77"/>
      <c r="AE53" s="77"/>
      <c r="AF53" s="77"/>
      <c r="AG53" s="77"/>
    </row>
    <row r="54" spans="1:33" x14ac:dyDescent="0.25">
      <c r="A54" s="178" t="s">
        <v>212</v>
      </c>
      <c r="B54" s="170"/>
      <c r="C54" s="186">
        <f t="shared" ref="C54:H54" si="30">C42*$H4</f>
        <v>378405.94899999996</v>
      </c>
      <c r="D54" s="186">
        <f t="shared" si="30"/>
        <v>-10173.400099999999</v>
      </c>
      <c r="E54" s="186">
        <f t="shared" si="30"/>
        <v>-9533.2134999999998</v>
      </c>
      <c r="F54" s="186">
        <f t="shared" si="30"/>
        <v>0</v>
      </c>
      <c r="G54" s="186">
        <f t="shared" si="30"/>
        <v>42140.978800000004</v>
      </c>
      <c r="H54" s="186">
        <f t="shared" si="30"/>
        <v>33094.863799999999</v>
      </c>
      <c r="I54" s="186">
        <f t="shared" ref="I54" si="31">I42*$H4</f>
        <v>-29796.511099999996</v>
      </c>
      <c r="J54" s="186">
        <f>SUM(C54:I54)</f>
        <v>404138.66689999989</v>
      </c>
      <c r="M54" s="170"/>
      <c r="N54" s="191"/>
      <c r="O54" s="170"/>
      <c r="P54" s="170"/>
      <c r="R54" s="191">
        <f>R52-R53</f>
        <v>0</v>
      </c>
      <c r="U54" s="170"/>
      <c r="V54" s="170"/>
      <c r="W54" s="170"/>
      <c r="X54" s="170"/>
      <c r="Y54" s="170"/>
      <c r="Z54" s="170"/>
      <c r="AA54" s="170"/>
      <c r="AB54" s="170"/>
      <c r="AC54" s="170"/>
      <c r="AD54" s="77"/>
      <c r="AE54" s="77"/>
      <c r="AF54" s="77"/>
      <c r="AG54" s="77"/>
    </row>
    <row r="55" spans="1:33" x14ac:dyDescent="0.25">
      <c r="A55" s="178" t="s">
        <v>214</v>
      </c>
      <c r="B55" s="170"/>
      <c r="C55" s="186">
        <f t="shared" ref="C55:D63" si="32">C43*$H5</f>
        <v>591.6543999999999</v>
      </c>
      <c r="D55" s="186">
        <f t="shared" si="32"/>
        <v>-15.906559999999999</v>
      </c>
      <c r="E55" s="186">
        <f t="shared" ref="E55:I63" si="33">E43*$H5</f>
        <v>-14.9056</v>
      </c>
      <c r="F55" s="186">
        <f t="shared" si="33"/>
        <v>-1054.68544</v>
      </c>
      <c r="G55" s="186">
        <f t="shared" si="33"/>
        <v>65.889279999999999</v>
      </c>
      <c r="H55" s="186">
        <f t="shared" si="33"/>
        <v>51.745280000000001</v>
      </c>
      <c r="I55" s="186">
        <f t="shared" si="33"/>
        <v>-46.588159999999995</v>
      </c>
      <c r="J55" s="186">
        <f t="shared" ref="J55:J63" si="34">SUM(C55:I55)</f>
        <v>-422.79680000000019</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186">
        <f t="shared" si="32"/>
        <v>59497.496910000009</v>
      </c>
      <c r="D56" s="186">
        <f t="shared" si="32"/>
        <v>-31.844819999999999</v>
      </c>
      <c r="E56" s="186">
        <f t="shared" si="33"/>
        <v>953.06997000000001</v>
      </c>
      <c r="F56" s="186">
        <f t="shared" si="33"/>
        <v>0</v>
      </c>
      <c r="G56" s="186">
        <f t="shared" si="33"/>
        <v>3698.5483800000002</v>
      </c>
      <c r="H56" s="186">
        <f t="shared" si="33"/>
        <v>4535.61222</v>
      </c>
      <c r="I56" s="186">
        <f t="shared" si="33"/>
        <v>-2752.3022999999998</v>
      </c>
      <c r="J56" s="186">
        <f t="shared" si="34"/>
        <v>65900.580360000007</v>
      </c>
      <c r="K56" s="170"/>
      <c r="L56" s="170"/>
      <c r="M56" s="191"/>
      <c r="N56" s="170"/>
      <c r="O56" s="170"/>
      <c r="P56" s="170"/>
      <c r="Q56" s="170"/>
      <c r="R56" s="191"/>
      <c r="S56" s="170"/>
      <c r="T56" s="170"/>
      <c r="U56" s="170"/>
      <c r="V56" s="170"/>
      <c r="W56" s="170"/>
      <c r="X56" s="170"/>
      <c r="Y56" s="170"/>
      <c r="Z56" s="170"/>
      <c r="AA56" s="170"/>
      <c r="AB56" s="170"/>
      <c r="AC56" s="170"/>
      <c r="AD56" s="77"/>
      <c r="AE56" s="77"/>
      <c r="AF56" s="77"/>
      <c r="AG56" s="77"/>
    </row>
    <row r="57" spans="1:33" x14ac:dyDescent="0.25">
      <c r="A57" s="178" t="s">
        <v>218</v>
      </c>
      <c r="B57" s="170"/>
      <c r="C57" s="186">
        <f t="shared" si="32"/>
        <v>1557.9109200000003</v>
      </c>
      <c r="D57" s="186">
        <f t="shared" si="32"/>
        <v>0</v>
      </c>
      <c r="E57" s="186">
        <f t="shared" si="33"/>
        <v>24.955640000000002</v>
      </c>
      <c r="F57" s="186">
        <f t="shared" si="33"/>
        <v>0</v>
      </c>
      <c r="G57" s="186">
        <f t="shared" si="33"/>
        <v>96.844560000000001</v>
      </c>
      <c r="H57" s="186">
        <f t="shared" si="33"/>
        <v>118.76263999999999</v>
      </c>
      <c r="I57" s="186">
        <f t="shared" si="33"/>
        <v>-72.067599999999999</v>
      </c>
      <c r="J57" s="186">
        <f t="shared" si="34"/>
        <v>1726.40616</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186">
        <f t="shared" si="32"/>
        <v>0</v>
      </c>
      <c r="D58" s="186">
        <f t="shared" si="32"/>
        <v>0</v>
      </c>
      <c r="E58" s="186">
        <f t="shared" si="33"/>
        <v>0</v>
      </c>
      <c r="F58" s="186">
        <f t="shared" si="33"/>
        <v>0</v>
      </c>
      <c r="G58" s="186">
        <f t="shared" si="33"/>
        <v>0</v>
      </c>
      <c r="H58" s="186">
        <f t="shared" si="33"/>
        <v>0</v>
      </c>
      <c r="I58" s="186">
        <f t="shared" si="33"/>
        <v>0</v>
      </c>
      <c r="J58" s="186">
        <f t="shared" si="34"/>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186">
        <f t="shared" si="32"/>
        <v>0</v>
      </c>
      <c r="D59" s="186">
        <f t="shared" si="32"/>
        <v>0</v>
      </c>
      <c r="E59" s="186">
        <f t="shared" si="33"/>
        <v>0</v>
      </c>
      <c r="F59" s="186">
        <f t="shared" si="33"/>
        <v>0</v>
      </c>
      <c r="G59" s="186">
        <f t="shared" si="33"/>
        <v>0</v>
      </c>
      <c r="H59" s="186">
        <f t="shared" si="33"/>
        <v>0</v>
      </c>
      <c r="I59" s="186">
        <f t="shared" si="33"/>
        <v>0</v>
      </c>
      <c r="J59" s="186">
        <f t="shared" si="34"/>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186">
        <f t="shared" si="32"/>
        <v>0</v>
      </c>
      <c r="D60" s="186">
        <f t="shared" si="32"/>
        <v>0</v>
      </c>
      <c r="E60" s="186">
        <f t="shared" si="33"/>
        <v>0</v>
      </c>
      <c r="F60" s="186">
        <f t="shared" si="33"/>
        <v>0</v>
      </c>
      <c r="G60" s="186">
        <f t="shared" si="33"/>
        <v>0</v>
      </c>
      <c r="H60" s="186">
        <f t="shared" si="33"/>
        <v>0</v>
      </c>
      <c r="I60" s="186">
        <f t="shared" si="33"/>
        <v>0</v>
      </c>
      <c r="J60" s="186">
        <f t="shared" si="34"/>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186">
        <f t="shared" si="32"/>
        <v>167.25631999999999</v>
      </c>
      <c r="D61" s="186">
        <f t="shared" si="32"/>
        <v>0</v>
      </c>
      <c r="E61" s="186">
        <f t="shared" si="33"/>
        <v>0</v>
      </c>
      <c r="F61" s="186">
        <f t="shared" si="33"/>
        <v>0</v>
      </c>
      <c r="G61" s="186">
        <f t="shared" si="33"/>
        <v>0</v>
      </c>
      <c r="H61" s="186">
        <f t="shared" si="33"/>
        <v>337.49935999999997</v>
      </c>
      <c r="I61" s="186">
        <f t="shared" si="33"/>
        <v>-1054.3121599999999</v>
      </c>
      <c r="J61" s="186">
        <f t="shared" si="34"/>
        <v>-549.55647999999997</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186">
        <f t="shared" si="32"/>
        <v>0</v>
      </c>
      <c r="D62" s="186">
        <f t="shared" si="32"/>
        <v>0</v>
      </c>
      <c r="E62" s="186">
        <f t="shared" si="33"/>
        <v>0</v>
      </c>
      <c r="F62" s="186">
        <f t="shared" si="33"/>
        <v>0</v>
      </c>
      <c r="G62" s="186">
        <f t="shared" si="33"/>
        <v>0</v>
      </c>
      <c r="H62" s="186">
        <f t="shared" si="33"/>
        <v>0</v>
      </c>
      <c r="I62" s="186">
        <f t="shared" si="33"/>
        <v>0</v>
      </c>
      <c r="J62" s="186">
        <f t="shared" si="34"/>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186">
        <f t="shared" si="32"/>
        <v>0</v>
      </c>
      <c r="D63" s="186">
        <f t="shared" si="32"/>
        <v>0</v>
      </c>
      <c r="E63" s="186">
        <f t="shared" si="33"/>
        <v>0</v>
      </c>
      <c r="F63" s="186">
        <f t="shared" si="33"/>
        <v>0</v>
      </c>
      <c r="G63" s="186">
        <f t="shared" si="33"/>
        <v>0</v>
      </c>
      <c r="H63" s="186">
        <f t="shared" si="33"/>
        <v>0</v>
      </c>
      <c r="I63" s="186">
        <f t="shared" si="33"/>
        <v>0</v>
      </c>
      <c r="J63" s="186">
        <f t="shared" si="34"/>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194">
        <f>SUM(C54:C63)</f>
        <v>440220.26754999993</v>
      </c>
      <c r="D64" s="194">
        <f t="shared" ref="D64:I64" si="35">SUM(D54:D63)</f>
        <v>-10221.151479999999</v>
      </c>
      <c r="E64" s="194">
        <f t="shared" si="35"/>
        <v>-8570.0934899999993</v>
      </c>
      <c r="F64" s="194">
        <f t="shared" si="35"/>
        <v>-1054.68544</v>
      </c>
      <c r="G64" s="194">
        <f t="shared" si="35"/>
        <v>46002.261020000005</v>
      </c>
      <c r="H64" s="194">
        <f t="shared" si="35"/>
        <v>38138.483300000007</v>
      </c>
      <c r="I64" s="194">
        <f t="shared" si="35"/>
        <v>-33721.781319999995</v>
      </c>
      <c r="J64" s="194">
        <f>SUM(J54:J63)</f>
        <v>470793.30013999989</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378997.60339999996</v>
      </c>
      <c r="D66" s="186">
        <f>D54+D55</f>
        <v>-10189.306659999998</v>
      </c>
      <c r="E66" s="186">
        <f t="shared" ref="E66:I66" si="36">E54+E55</f>
        <v>-9548.1190999999999</v>
      </c>
      <c r="F66" s="186">
        <f t="shared" si="36"/>
        <v>-1054.68544</v>
      </c>
      <c r="G66" s="186">
        <f t="shared" si="36"/>
        <v>42206.868080000007</v>
      </c>
      <c r="H66" s="186">
        <f t="shared" si="36"/>
        <v>33146.609080000002</v>
      </c>
      <c r="I66" s="186">
        <f t="shared" si="36"/>
        <v>-29843.099259999995</v>
      </c>
      <c r="J66" s="186">
        <f>J54+J55</f>
        <v>403715.87009999988</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61055.407830000011</v>
      </c>
      <c r="D68" s="219">
        <f t="shared" ref="D68:I68" si="37">SUM(D56:D59)</f>
        <v>-31.844819999999999</v>
      </c>
      <c r="E68" s="219">
        <f t="shared" si="37"/>
        <v>978.02561000000003</v>
      </c>
      <c r="F68" s="219">
        <f t="shared" si="37"/>
        <v>0</v>
      </c>
      <c r="G68" s="219">
        <f t="shared" si="37"/>
        <v>3795.3929400000002</v>
      </c>
      <c r="H68" s="219">
        <f t="shared" si="37"/>
        <v>4654.3748599999999</v>
      </c>
      <c r="I68" s="219">
        <f t="shared" si="37"/>
        <v>-2824.3698999999997</v>
      </c>
      <c r="J68" s="219">
        <f>SUM(J56:J59)</f>
        <v>67626.986520000006</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5898</v>
      </c>
      <c r="D74" s="273">
        <v>613992.55446999997</v>
      </c>
      <c r="E74" s="183">
        <v>56050</v>
      </c>
      <c r="F74" s="183">
        <v>343139</v>
      </c>
      <c r="G74" s="183">
        <v>178303.92</v>
      </c>
      <c r="H74" s="183">
        <v>13849.75</v>
      </c>
      <c r="I74" s="186">
        <f>SUM(F74:H74)</f>
        <v>535292.67000000004</v>
      </c>
      <c r="J74" s="349"/>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3</v>
      </c>
      <c r="D75" s="273">
        <v>298.22703000000001</v>
      </c>
      <c r="E75" s="183">
        <v>28.5</v>
      </c>
      <c r="F75" s="183">
        <v>161.71</v>
      </c>
      <c r="G75" s="183">
        <v>-57.94</v>
      </c>
      <c r="H75" s="183">
        <v>2.4700000000000002</v>
      </c>
      <c r="I75" s="186">
        <f t="shared" ref="I75:I79" si="38">SUM(F75:H75)</f>
        <v>106.24000000000001</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42</v>
      </c>
      <c r="D76" s="273">
        <v>142469.31888000001</v>
      </c>
      <c r="E76" s="183">
        <v>4510.3999999999996</v>
      </c>
      <c r="F76" s="183">
        <v>41806.769999999997</v>
      </c>
      <c r="G76" s="183">
        <v>41279.75</v>
      </c>
      <c r="H76" s="183">
        <v>1830.02</v>
      </c>
      <c r="I76" s="186">
        <f t="shared" si="38"/>
        <v>84916.54</v>
      </c>
      <c r="J76" s="349"/>
    </row>
    <row r="77" spans="1:33" x14ac:dyDescent="0.25">
      <c r="A77" s="178" t="s">
        <v>218</v>
      </c>
      <c r="C77" s="273"/>
      <c r="D77" s="273"/>
      <c r="E77" s="183"/>
      <c r="F77" s="183"/>
      <c r="G77" s="183"/>
      <c r="H77" s="183"/>
      <c r="I77" s="186">
        <f t="shared" si="38"/>
        <v>0</v>
      </c>
    </row>
    <row r="78" spans="1:33" x14ac:dyDescent="0.25">
      <c r="A78" s="178" t="s">
        <v>220</v>
      </c>
      <c r="C78" s="273"/>
      <c r="D78" s="273"/>
      <c r="E78" s="183"/>
      <c r="F78" s="183"/>
      <c r="G78" s="183"/>
      <c r="H78" s="183"/>
      <c r="I78" s="186">
        <f t="shared" si="38"/>
        <v>0</v>
      </c>
    </row>
    <row r="79" spans="1:33" x14ac:dyDescent="0.25">
      <c r="A79" s="178" t="s">
        <v>222</v>
      </c>
      <c r="C79" s="273"/>
      <c r="D79" s="273"/>
      <c r="E79" s="183"/>
      <c r="F79" s="183"/>
      <c r="G79" s="183"/>
      <c r="H79" s="183"/>
      <c r="I79" s="186">
        <f t="shared" si="38"/>
        <v>0</v>
      </c>
    </row>
    <row r="80" spans="1:33" x14ac:dyDescent="0.25">
      <c r="A80" s="178" t="s">
        <v>351</v>
      </c>
      <c r="C80" s="392">
        <f>SUM(C74:C79)</f>
        <v>5943</v>
      </c>
      <c r="D80" s="392">
        <f t="shared" ref="D80:I80" si="39">SUM(D74:D79)</f>
        <v>756760.10037999996</v>
      </c>
      <c r="E80" s="213">
        <f t="shared" si="39"/>
        <v>60588.9</v>
      </c>
      <c r="F80" s="213">
        <f t="shared" si="39"/>
        <v>385107.48000000004</v>
      </c>
      <c r="G80" s="213">
        <f t="shared" si="39"/>
        <v>219525.73</v>
      </c>
      <c r="H80" s="213">
        <f t="shared" si="39"/>
        <v>15682.24</v>
      </c>
      <c r="I80" s="213">
        <f t="shared" si="39"/>
        <v>620315.45000000007</v>
      </c>
    </row>
    <row r="81" spans="1:9" ht="15.75" thickBot="1" x14ac:dyDescent="0.3">
      <c r="A81" s="178"/>
      <c r="B81" s="282" t="s">
        <v>343</v>
      </c>
      <c r="C81" s="282" t="s">
        <v>343</v>
      </c>
      <c r="D81" s="282" t="s">
        <v>343</v>
      </c>
      <c r="E81" s="282" t="s">
        <v>343</v>
      </c>
      <c r="F81" s="282" t="s">
        <v>343</v>
      </c>
      <c r="G81" s="282" t="s">
        <v>343</v>
      </c>
      <c r="H81" s="282" t="s">
        <v>343</v>
      </c>
      <c r="I81" s="282" t="s">
        <v>343</v>
      </c>
    </row>
    <row r="82" spans="1:9" x14ac:dyDescent="0.25">
      <c r="A82" s="178" t="s">
        <v>352</v>
      </c>
      <c r="C82" s="311">
        <f t="shared" ref="C82:I82" si="40">C74+C75</f>
        <v>5901</v>
      </c>
      <c r="D82" s="312">
        <f t="shared" si="40"/>
        <v>614290.78149999992</v>
      </c>
      <c r="E82" s="312">
        <f t="shared" si="40"/>
        <v>56078.5</v>
      </c>
      <c r="F82" s="313">
        <f t="shared" si="40"/>
        <v>343300.71</v>
      </c>
      <c r="G82" s="186">
        <f t="shared" si="40"/>
        <v>178245.98</v>
      </c>
      <c r="H82" s="186">
        <f t="shared" si="40"/>
        <v>13852.22</v>
      </c>
      <c r="I82" s="186">
        <f t="shared" si="40"/>
        <v>535398.91</v>
      </c>
    </row>
    <row r="83" spans="1:9" x14ac:dyDescent="0.25">
      <c r="C83" s="325"/>
      <c r="D83" s="326"/>
      <c r="E83" s="326"/>
      <c r="F83" s="327"/>
      <c r="G83" s="186"/>
      <c r="H83" s="186"/>
      <c r="I83" s="186"/>
    </row>
    <row r="84" spans="1:9" ht="15.75" thickBot="1" x14ac:dyDescent="0.3">
      <c r="A84" s="178" t="s">
        <v>353</v>
      </c>
      <c r="C84" s="314">
        <f t="shared" ref="C84:H84" si="41">SUM(C76:C79)</f>
        <v>42</v>
      </c>
      <c r="D84" s="315">
        <f t="shared" si="41"/>
        <v>142469.31888000001</v>
      </c>
      <c r="E84" s="316">
        <f t="shared" si="41"/>
        <v>4510.3999999999996</v>
      </c>
      <c r="F84" s="317">
        <f t="shared" si="41"/>
        <v>41806.769999999997</v>
      </c>
      <c r="G84" s="186">
        <f t="shared" si="41"/>
        <v>41279.75</v>
      </c>
      <c r="H84" s="186">
        <f t="shared" si="41"/>
        <v>1830.02</v>
      </c>
      <c r="I84" s="186">
        <f>SUM(I76:I79)</f>
        <v>84916.54</v>
      </c>
    </row>
    <row r="85" spans="1:9" x14ac:dyDescent="0.25">
      <c r="C85" s="282"/>
      <c r="D85" s="282"/>
      <c r="E85" s="282"/>
      <c r="F85" s="282"/>
    </row>
  </sheetData>
  <mergeCells count="7">
    <mergeCell ref="A70:I70"/>
    <mergeCell ref="R40:R41"/>
    <mergeCell ref="A1:I1"/>
    <mergeCell ref="O40:O41"/>
    <mergeCell ref="P40:P41"/>
    <mergeCell ref="Q40:Q41"/>
    <mergeCell ref="N40:N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85"/>
  <sheetViews>
    <sheetView view="pageBreakPreview" zoomScale="60" zoomScaleNormal="100" workbookViewId="0">
      <selection activeCell="F23" sqref="F23"/>
    </sheetView>
  </sheetViews>
  <sheetFormatPr defaultRowHeight="15" x14ac:dyDescent="0.25"/>
  <cols>
    <col min="1" max="1" width="19" customWidth="1"/>
    <col min="2" max="2" width="5.85546875" customWidth="1"/>
    <col min="3" max="3" width="13.85546875" customWidth="1"/>
    <col min="4" max="4" width="16.42578125" customWidth="1"/>
    <col min="5" max="5" width="15.28515625" customWidth="1"/>
    <col min="6" max="6" width="15" customWidth="1"/>
    <col min="7" max="7" width="15.7109375" customWidth="1"/>
    <col min="8" max="9" width="14.7109375" customWidth="1"/>
    <col min="10" max="10" width="15" customWidth="1"/>
    <col min="11" max="11" width="12.5703125" customWidth="1"/>
    <col min="12" max="12" width="12.28515625" bestFit="1" customWidth="1"/>
    <col min="13" max="13" width="2.28515625" customWidth="1"/>
    <col min="14" max="14" width="17.5703125" customWidth="1"/>
    <col min="15" max="15" width="14.5703125" customWidth="1"/>
    <col min="16" max="16" width="12.85546875" customWidth="1"/>
    <col min="17" max="17" width="12.7109375" customWidth="1"/>
    <col min="18" max="18" width="15.42578125" customWidth="1"/>
    <col min="19" max="19" width="15.28515625" customWidth="1"/>
    <col min="20" max="20" width="11.140625" customWidth="1"/>
    <col min="21" max="21" width="15.5703125" customWidth="1"/>
    <col min="22" max="22" width="2.28515625" customWidth="1"/>
    <col min="23" max="23" width="16.7109375" customWidth="1"/>
    <col min="24" max="24" width="2.42578125" customWidth="1"/>
    <col min="25" max="25" width="14.28515625" customWidth="1"/>
    <col min="26" max="26" width="13.42578125" customWidth="1"/>
    <col min="27" max="27" width="13.85546875" customWidth="1"/>
    <col min="28" max="28" width="14.28515625" customWidth="1"/>
    <col min="29" max="29" width="16.140625" customWidth="1"/>
    <col min="30" max="30" width="10.5703125" customWidth="1"/>
  </cols>
  <sheetData>
    <row r="1" spans="1:33" x14ac:dyDescent="0.25">
      <c r="A1" s="432" t="s">
        <v>200</v>
      </c>
      <c r="B1" s="432"/>
      <c r="C1" s="432"/>
      <c r="D1" s="432"/>
      <c r="E1" s="432"/>
      <c r="F1" s="432"/>
      <c r="G1" s="432"/>
      <c r="H1" s="432"/>
      <c r="I1" s="432"/>
      <c r="J1" s="170"/>
      <c r="K1" s="170"/>
      <c r="L1" s="170" t="s">
        <v>388</v>
      </c>
      <c r="M1" s="170"/>
      <c r="N1" s="170"/>
      <c r="O1" s="170"/>
      <c r="P1" s="170"/>
      <c r="Q1" s="170"/>
      <c r="R1" s="170"/>
      <c r="S1" s="170"/>
      <c r="T1" s="170"/>
      <c r="U1" s="170"/>
      <c r="V1" s="170"/>
      <c r="W1" s="170"/>
      <c r="X1" s="170"/>
      <c r="Y1" s="170"/>
      <c r="Z1" s="171" t="s">
        <v>201</v>
      </c>
      <c r="AA1" s="172" t="s">
        <v>391</v>
      </c>
      <c r="AB1" s="170"/>
      <c r="AC1" s="171" t="s">
        <v>203</v>
      </c>
      <c r="AD1" s="172" t="s">
        <v>390</v>
      </c>
      <c r="AE1" s="77"/>
      <c r="AF1" s="77"/>
      <c r="AG1" s="77"/>
    </row>
    <row r="2" spans="1:33" ht="51.75" x14ac:dyDescent="0.25">
      <c r="A2" s="173"/>
      <c r="B2" s="174"/>
      <c r="C2" s="175" t="s">
        <v>204</v>
      </c>
      <c r="D2" s="174"/>
      <c r="E2" s="175" t="s">
        <v>205</v>
      </c>
      <c r="F2" s="176" t="s">
        <v>206</v>
      </c>
      <c r="G2" s="176" t="s">
        <v>207</v>
      </c>
      <c r="H2" s="176" t="s">
        <v>115</v>
      </c>
      <c r="I2" s="176" t="s">
        <v>208</v>
      </c>
      <c r="J2" s="170"/>
      <c r="K2" s="170"/>
      <c r="L2" s="170"/>
      <c r="M2" s="170"/>
      <c r="N2" s="381" t="str">
        <f>AA1&amp;" Billed Schedule 175 Revenue"</f>
        <v>November Billed Schedule 175 Revenue</v>
      </c>
      <c r="O2" s="381" t="str">
        <f>AA1&amp;" Billed Therms"</f>
        <v>November Billed Therms</v>
      </c>
      <c r="P2" s="381" t="str">
        <f>AA1&amp;" Unbilled Therms"</f>
        <v>November Unbilled Therms</v>
      </c>
      <c r="Q2" s="260" t="s">
        <v>382</v>
      </c>
      <c r="R2" s="381" t="s">
        <v>209</v>
      </c>
      <c r="S2" s="381" t="str">
        <f>AD1&amp;" Unbilled Therms reversal"</f>
        <v>October Unbilled Therms reversal</v>
      </c>
      <c r="T2" s="260" t="s">
        <v>382</v>
      </c>
      <c r="U2" s="381" t="str">
        <f>AD1&amp;" Schedule 175 Unbilled Reversal"</f>
        <v>October Schedule 175 Unbilled Reversal</v>
      </c>
      <c r="V2" s="170"/>
      <c r="W2" s="381" t="str">
        <f>"Total "&amp;AA1&amp;" Schedule 175 Revenue"</f>
        <v>Total November Schedule 175 Revenue</v>
      </c>
      <c r="X2" s="170"/>
      <c r="Y2" s="381" t="str">
        <f>"Calendar "&amp;AA1&amp;" Usage"</f>
        <v>Calendar November Usage</v>
      </c>
      <c r="Z2" s="381" t="str">
        <f>Q2</f>
        <v>8/1/2020 rate</v>
      </c>
      <c r="AA2" s="381" t="s">
        <v>210</v>
      </c>
      <c r="AB2" s="381" t="s">
        <v>211</v>
      </c>
      <c r="AC2" s="381" t="str">
        <f>"implied "&amp;AD1&amp;" unbilled/Cancel-Rebill True-up therms"</f>
        <v>implied October unbilled/Cancel-Rebill True-up therms</v>
      </c>
      <c r="AD2" s="170"/>
      <c r="AE2" s="77"/>
      <c r="AF2" s="77"/>
      <c r="AG2" s="77"/>
    </row>
    <row r="3" spans="1:33" x14ac:dyDescent="0.25">
      <c r="A3" s="177"/>
      <c r="B3" s="177"/>
      <c r="C3" s="177"/>
      <c r="D3" s="170"/>
      <c r="E3" s="170"/>
      <c r="F3" s="170"/>
      <c r="G3" s="170"/>
      <c r="H3" s="170"/>
      <c r="I3" s="170"/>
      <c r="J3" s="170"/>
      <c r="K3" s="170"/>
      <c r="L3" s="170"/>
      <c r="M3" s="170"/>
      <c r="N3" s="381"/>
      <c r="O3" s="381"/>
      <c r="P3" s="381"/>
      <c r="Q3" s="381"/>
      <c r="R3" s="381"/>
      <c r="S3" s="381"/>
      <c r="T3" s="381"/>
      <c r="U3" s="381"/>
      <c r="V3" s="170"/>
      <c r="W3" s="381"/>
      <c r="X3" s="170"/>
      <c r="Y3" s="381"/>
      <c r="Z3" s="381"/>
      <c r="AA3" s="381"/>
      <c r="AB3" s="381"/>
      <c r="AC3" s="381"/>
      <c r="AD3" s="170"/>
      <c r="AE3" s="77"/>
      <c r="AF3" s="77"/>
      <c r="AG3" s="77"/>
    </row>
    <row r="4" spans="1:33" x14ac:dyDescent="0.25">
      <c r="A4" s="178" t="s">
        <v>212</v>
      </c>
      <c r="B4" s="177"/>
      <c r="C4" s="345">
        <v>168739</v>
      </c>
      <c r="D4" s="177"/>
      <c r="E4" s="345">
        <v>13120237.060000001</v>
      </c>
      <c r="F4" s="180">
        <v>-6522036</v>
      </c>
      <c r="G4" s="345">
        <f>10549535-G5</f>
        <v>10533711</v>
      </c>
      <c r="H4" s="181">
        <f>F4+G4</f>
        <v>4011675</v>
      </c>
      <c r="I4" s="182">
        <f t="shared" ref="I4:I13" si="0">SUM(E4:G4)</f>
        <v>17131912.060000002</v>
      </c>
      <c r="J4" s="170"/>
      <c r="K4" s="170"/>
      <c r="L4" s="170" t="s">
        <v>213</v>
      </c>
      <c r="M4" s="170"/>
      <c r="N4" s="183">
        <v>-89863.08</v>
      </c>
      <c r="O4" s="184">
        <f>E4</f>
        <v>13120237.060000001</v>
      </c>
      <c r="P4" s="184">
        <f t="shared" ref="P4:P9" si="1">G4</f>
        <v>10533711</v>
      </c>
      <c r="Q4" s="366">
        <v>-6.8500000000000002E-3</v>
      </c>
      <c r="R4" s="186">
        <f>P4*Q4</f>
        <v>-72155.92035</v>
      </c>
      <c r="S4" s="184">
        <f t="shared" ref="S4:S9" si="2">F4</f>
        <v>-6522036</v>
      </c>
      <c r="T4" s="366">
        <v>-6.8500000000000002E-3</v>
      </c>
      <c r="U4" s="187">
        <f>S4*T4</f>
        <v>44675.946600000003</v>
      </c>
      <c r="V4" s="170"/>
      <c r="W4" s="188">
        <f>N4+R4+U4</f>
        <v>-117343.05374999999</v>
      </c>
      <c r="X4" s="170"/>
      <c r="Y4" s="189">
        <f>O4+P4+S4</f>
        <v>17131912.060000002</v>
      </c>
      <c r="Z4" s="190">
        <f>Q4</f>
        <v>-6.8500000000000002E-3</v>
      </c>
      <c r="AA4" s="191">
        <f>Y4*Z4</f>
        <v>-117353.59761100002</v>
      </c>
      <c r="AB4" s="188">
        <f>W4-AA4</f>
        <v>10.543861000027391</v>
      </c>
      <c r="AC4" s="189">
        <f>AB4/T4</f>
        <v>-1539.2497810258965</v>
      </c>
      <c r="AD4" s="192">
        <f t="shared" ref="AD4:AD11" si="3">AB4/W4</f>
        <v>-8.985500771516603E-5</v>
      </c>
      <c r="AE4" s="77"/>
      <c r="AF4" s="77"/>
      <c r="AG4" s="77"/>
    </row>
    <row r="5" spans="1:33" x14ac:dyDescent="0.25">
      <c r="A5" s="178" t="s">
        <v>214</v>
      </c>
      <c r="B5" s="177"/>
      <c r="C5" s="345">
        <v>249</v>
      </c>
      <c r="D5" s="177"/>
      <c r="E5" s="345">
        <v>19688.93</v>
      </c>
      <c r="F5" s="180">
        <v>-9602</v>
      </c>
      <c r="G5" s="345">
        <v>15824</v>
      </c>
      <c r="H5" s="181">
        <f t="shared" ref="H5:H13" si="4">F5+G5</f>
        <v>6222</v>
      </c>
      <c r="I5" s="182">
        <f t="shared" si="0"/>
        <v>25910.93</v>
      </c>
      <c r="J5" s="170"/>
      <c r="K5" s="170"/>
      <c r="L5" s="170" t="s">
        <v>215</v>
      </c>
      <c r="M5" s="170"/>
      <c r="N5" s="183">
        <v>-134.9</v>
      </c>
      <c r="O5" s="184">
        <f t="shared" ref="O5:O7" si="5">E5</f>
        <v>19688.93</v>
      </c>
      <c r="P5" s="184">
        <f t="shared" si="1"/>
        <v>15824</v>
      </c>
      <c r="Q5" s="366">
        <v>-6.8500000000000002E-3</v>
      </c>
      <c r="R5" s="186">
        <f t="shared" ref="R5:R10" si="6">P5*Q5</f>
        <v>-108.3944</v>
      </c>
      <c r="S5" s="184">
        <f t="shared" si="2"/>
        <v>-9602</v>
      </c>
      <c r="T5" s="366">
        <v>-6.8500000000000002E-3</v>
      </c>
      <c r="U5" s="187">
        <f t="shared" ref="U5:U10" si="7">S5*T5</f>
        <v>65.773700000000005</v>
      </c>
      <c r="V5" s="170"/>
      <c r="W5" s="188">
        <f t="shared" ref="W5:W10" si="8">N5+R5+U5</f>
        <v>-177.52069999999998</v>
      </c>
      <c r="X5" s="170"/>
      <c r="Y5" s="189">
        <f t="shared" ref="Y5:Y10" si="9">O5+P5+S5</f>
        <v>25910.93</v>
      </c>
      <c r="Z5" s="190">
        <f t="shared" ref="Z5:Z10" si="10">Q5</f>
        <v>-6.8500000000000002E-3</v>
      </c>
      <c r="AA5" s="191">
        <f t="shared" ref="AA5:AA10" si="11">Y5*Z5</f>
        <v>-177.48987049999999</v>
      </c>
      <c r="AB5" s="188">
        <f t="shared" ref="AB5:AB10" si="12">W5-AA5</f>
        <v>-3.0829499999981635E-2</v>
      </c>
      <c r="AC5" s="189">
        <f t="shared" ref="AC5:AC10" si="13">AB5/T5</f>
        <v>4.5006569343038887</v>
      </c>
      <c r="AD5" s="192">
        <f t="shared" si="3"/>
        <v>1.7366707093866595E-4</v>
      </c>
      <c r="AE5" s="77"/>
      <c r="AF5" s="77"/>
      <c r="AG5" s="77"/>
    </row>
    <row r="6" spans="1:33" x14ac:dyDescent="0.25">
      <c r="A6" s="178" t="s">
        <v>216</v>
      </c>
      <c r="B6" s="177"/>
      <c r="C6" s="345">
        <v>3155</v>
      </c>
      <c r="D6" s="177"/>
      <c r="E6" s="345">
        <v>5289501.87</v>
      </c>
      <c r="F6" s="180">
        <v>-3528500</v>
      </c>
      <c r="G6" s="345">
        <v>4038549</v>
      </c>
      <c r="H6" s="181">
        <f t="shared" si="4"/>
        <v>510049</v>
      </c>
      <c r="I6" s="182">
        <f>SUM(E6:G6)</f>
        <v>5799550.8700000001</v>
      </c>
      <c r="J6" s="170"/>
      <c r="K6" s="170"/>
      <c r="L6" s="170" t="s">
        <v>217</v>
      </c>
      <c r="M6" s="170"/>
      <c r="N6" s="183">
        <v>22163.15</v>
      </c>
      <c r="O6" s="184">
        <f t="shared" si="5"/>
        <v>5289501.87</v>
      </c>
      <c r="P6" s="184">
        <f t="shared" si="1"/>
        <v>4038549</v>
      </c>
      <c r="Q6" s="261">
        <v>4.1900000000000001E-3</v>
      </c>
      <c r="R6" s="186">
        <f t="shared" si="6"/>
        <v>16921.52031</v>
      </c>
      <c r="S6" s="184">
        <f t="shared" si="2"/>
        <v>-3528500</v>
      </c>
      <c r="T6" s="261">
        <v>4.1900000000000001E-3</v>
      </c>
      <c r="U6" s="187">
        <f t="shared" si="7"/>
        <v>-14784.415000000001</v>
      </c>
      <c r="V6" s="170"/>
      <c r="W6" s="188">
        <f t="shared" si="8"/>
        <v>24300.25531</v>
      </c>
      <c r="X6" s="170"/>
      <c r="Y6" s="189">
        <f t="shared" si="9"/>
        <v>5799550.870000001</v>
      </c>
      <c r="Z6" s="177">
        <f t="shared" si="10"/>
        <v>4.1900000000000001E-3</v>
      </c>
      <c r="AA6" s="191">
        <f t="shared" si="11"/>
        <v>24300.118145300006</v>
      </c>
      <c r="AB6" s="188">
        <f t="shared" si="12"/>
        <v>0.13716469999417313</v>
      </c>
      <c r="AC6" s="189">
        <f t="shared" si="13"/>
        <v>32.736205249205995</v>
      </c>
      <c r="AD6" s="192">
        <f t="shared" si="3"/>
        <v>5.6445785546017433E-6</v>
      </c>
      <c r="AE6" s="77"/>
      <c r="AF6" s="77"/>
      <c r="AG6" s="77"/>
    </row>
    <row r="7" spans="1:33" x14ac:dyDescent="0.25">
      <c r="A7" s="178" t="s">
        <v>218</v>
      </c>
      <c r="B7" s="177"/>
      <c r="C7" s="345">
        <v>3</v>
      </c>
      <c r="D7" s="177"/>
      <c r="E7" s="345">
        <v>72531.23</v>
      </c>
      <c r="F7" s="180">
        <v>-107036</v>
      </c>
      <c r="G7" s="345">
        <v>58294</v>
      </c>
      <c r="H7" s="181">
        <f t="shared" si="4"/>
        <v>-48742</v>
      </c>
      <c r="I7" s="182">
        <f>SUM(E7:G7)</f>
        <v>23789.229999999996</v>
      </c>
      <c r="J7" s="170"/>
      <c r="K7" s="170"/>
      <c r="L7" s="170" t="s">
        <v>219</v>
      </c>
      <c r="M7" s="170"/>
      <c r="N7" s="183">
        <v>303.89999999999998</v>
      </c>
      <c r="O7" s="184">
        <f t="shared" si="5"/>
        <v>72531.23</v>
      </c>
      <c r="P7" s="184">
        <f t="shared" si="1"/>
        <v>58294</v>
      </c>
      <c r="Q7" s="261">
        <v>4.1900000000000001E-3</v>
      </c>
      <c r="R7" s="186">
        <f t="shared" si="6"/>
        <v>244.25186000000002</v>
      </c>
      <c r="S7" s="184">
        <f t="shared" si="2"/>
        <v>-107036</v>
      </c>
      <c r="T7" s="261">
        <v>4.1900000000000001E-3</v>
      </c>
      <c r="U7" s="187">
        <f t="shared" si="7"/>
        <v>-448.48084</v>
      </c>
      <c r="V7" s="170"/>
      <c r="W7" s="188">
        <f t="shared" si="8"/>
        <v>99.671019999999942</v>
      </c>
      <c r="X7" s="170"/>
      <c r="Y7" s="189">
        <f t="shared" si="9"/>
        <v>23789.229999999996</v>
      </c>
      <c r="Z7" s="190">
        <f t="shared" si="10"/>
        <v>4.1900000000000001E-3</v>
      </c>
      <c r="AA7" s="191">
        <f t="shared" si="11"/>
        <v>99.676873699999987</v>
      </c>
      <c r="AB7" s="188">
        <f t="shared" si="12"/>
        <v>-5.8537000000455919E-3</v>
      </c>
      <c r="AC7" s="189"/>
      <c r="AD7" s="192"/>
      <c r="AE7" s="77"/>
      <c r="AF7" s="77"/>
      <c r="AG7" s="77"/>
    </row>
    <row r="8" spans="1:33" x14ac:dyDescent="0.25">
      <c r="A8" s="178" t="s">
        <v>220</v>
      </c>
      <c r="B8" s="177"/>
      <c r="C8" s="345">
        <v>0</v>
      </c>
      <c r="D8" s="259"/>
      <c r="E8" s="345">
        <v>0</v>
      </c>
      <c r="F8" s="180">
        <v>0</v>
      </c>
      <c r="G8" s="345">
        <v>0</v>
      </c>
      <c r="H8" s="181">
        <f t="shared" si="4"/>
        <v>0</v>
      </c>
      <c r="I8" s="182">
        <f t="shared" si="0"/>
        <v>0</v>
      </c>
      <c r="J8" s="170"/>
      <c r="K8" s="170"/>
      <c r="L8" s="170" t="s">
        <v>221</v>
      </c>
      <c r="M8" s="170"/>
      <c r="N8" s="183">
        <v>0</v>
      </c>
      <c r="O8" s="184">
        <f>E8</f>
        <v>0</v>
      </c>
      <c r="P8" s="184">
        <f t="shared" si="1"/>
        <v>0</v>
      </c>
      <c r="Q8" s="261">
        <v>4.1900000000000001E-3</v>
      </c>
      <c r="R8" s="186">
        <f t="shared" si="6"/>
        <v>0</v>
      </c>
      <c r="S8" s="184">
        <f t="shared" si="2"/>
        <v>0</v>
      </c>
      <c r="T8" s="261">
        <v>4.1900000000000001E-3</v>
      </c>
      <c r="U8" s="187">
        <f t="shared" si="7"/>
        <v>0</v>
      </c>
      <c r="V8" s="170"/>
      <c r="W8" s="188">
        <f>N8+R8+U8</f>
        <v>0</v>
      </c>
      <c r="X8" s="170"/>
      <c r="Y8" s="189">
        <f t="shared" si="9"/>
        <v>0</v>
      </c>
      <c r="Z8" s="177">
        <f t="shared" si="10"/>
        <v>4.1900000000000001E-3</v>
      </c>
      <c r="AA8" s="191">
        <f t="shared" si="11"/>
        <v>0</v>
      </c>
      <c r="AB8" s="188">
        <f t="shared" si="12"/>
        <v>0</v>
      </c>
      <c r="AC8" s="189">
        <f t="shared" si="13"/>
        <v>0</v>
      </c>
      <c r="AD8" s="192"/>
      <c r="AE8" s="77"/>
      <c r="AF8" s="77"/>
      <c r="AG8" s="77"/>
    </row>
    <row r="9" spans="1:33" x14ac:dyDescent="0.25">
      <c r="A9" s="178" t="s">
        <v>222</v>
      </c>
      <c r="B9" s="177"/>
      <c r="C9" s="345">
        <v>0</v>
      </c>
      <c r="D9" s="259"/>
      <c r="E9" s="345">
        <v>0</v>
      </c>
      <c r="F9" s="180">
        <v>0</v>
      </c>
      <c r="G9" s="345">
        <v>0</v>
      </c>
      <c r="H9" s="181">
        <f t="shared" si="4"/>
        <v>0</v>
      </c>
      <c r="I9" s="182">
        <f t="shared" si="0"/>
        <v>0</v>
      </c>
      <c r="J9" s="170"/>
      <c r="K9" s="170"/>
      <c r="L9" s="170" t="s">
        <v>137</v>
      </c>
      <c r="M9" s="170"/>
      <c r="N9" s="183">
        <v>0</v>
      </c>
      <c r="O9" s="184">
        <f>E9</f>
        <v>0</v>
      </c>
      <c r="P9" s="184">
        <f t="shared" si="1"/>
        <v>0</v>
      </c>
      <c r="Q9" s="261">
        <v>4.1900000000000001E-3</v>
      </c>
      <c r="R9" s="186">
        <f t="shared" si="6"/>
        <v>0</v>
      </c>
      <c r="S9" s="184">
        <f t="shared" si="2"/>
        <v>0</v>
      </c>
      <c r="T9" s="261">
        <v>4.1900000000000001E-3</v>
      </c>
      <c r="U9" s="187">
        <f t="shared" si="7"/>
        <v>0</v>
      </c>
      <c r="V9" s="170"/>
      <c r="W9" s="188">
        <f>N9+R9+U9</f>
        <v>0</v>
      </c>
      <c r="X9" s="170"/>
      <c r="Y9" s="189">
        <f t="shared" si="9"/>
        <v>0</v>
      </c>
      <c r="Z9" s="190">
        <f t="shared" si="10"/>
        <v>4.1900000000000001E-3</v>
      </c>
      <c r="AA9" s="191">
        <f t="shared" si="11"/>
        <v>0</v>
      </c>
      <c r="AB9" s="188">
        <f t="shared" si="12"/>
        <v>0</v>
      </c>
      <c r="AC9" s="189"/>
      <c r="AD9" s="192"/>
      <c r="AE9" s="77"/>
      <c r="AF9" s="77"/>
      <c r="AG9" s="77"/>
    </row>
    <row r="10" spans="1:33" x14ac:dyDescent="0.25">
      <c r="A10" s="178" t="s">
        <v>223</v>
      </c>
      <c r="B10" s="177"/>
      <c r="C10" s="345">
        <v>2</v>
      </c>
      <c r="D10" s="177"/>
      <c r="E10" s="345">
        <v>81553.78</v>
      </c>
      <c r="F10" s="180"/>
      <c r="G10" s="345"/>
      <c r="H10" s="181">
        <f t="shared" si="4"/>
        <v>0</v>
      </c>
      <c r="I10" s="182">
        <f t="shared" si="0"/>
        <v>81553.78</v>
      </c>
      <c r="J10" s="170"/>
      <c r="K10" s="170"/>
      <c r="L10" s="170" t="s">
        <v>224</v>
      </c>
      <c r="M10" s="170"/>
      <c r="N10" s="183">
        <v>0</v>
      </c>
      <c r="O10" s="184">
        <v>0</v>
      </c>
      <c r="P10" s="184">
        <v>0</v>
      </c>
      <c r="Q10" s="261">
        <v>4.1900000000000001E-3</v>
      </c>
      <c r="R10" s="186">
        <f t="shared" si="6"/>
        <v>0</v>
      </c>
      <c r="S10" s="184">
        <v>0</v>
      </c>
      <c r="T10" s="261">
        <v>4.1900000000000001E-3</v>
      </c>
      <c r="U10" s="187">
        <f t="shared" si="7"/>
        <v>0</v>
      </c>
      <c r="V10" s="170"/>
      <c r="W10" s="188">
        <f t="shared" si="8"/>
        <v>0</v>
      </c>
      <c r="X10" s="170"/>
      <c r="Y10" s="189">
        <f t="shared" si="9"/>
        <v>0</v>
      </c>
      <c r="Z10" s="177">
        <f t="shared" si="10"/>
        <v>4.1900000000000001E-3</v>
      </c>
      <c r="AA10" s="191">
        <f t="shared" si="11"/>
        <v>0</v>
      </c>
      <c r="AB10" s="188">
        <f t="shared" si="12"/>
        <v>0</v>
      </c>
      <c r="AC10" s="189">
        <f t="shared" si="13"/>
        <v>0</v>
      </c>
      <c r="AD10" s="192"/>
      <c r="AE10" s="77"/>
      <c r="AF10" s="77"/>
      <c r="AG10" s="77"/>
    </row>
    <row r="11" spans="1:33" x14ac:dyDescent="0.25">
      <c r="A11" s="178" t="s">
        <v>225</v>
      </c>
      <c r="B11" s="177"/>
      <c r="C11" s="345">
        <v>38</v>
      </c>
      <c r="D11" s="177"/>
      <c r="E11" s="345">
        <v>2865078</v>
      </c>
      <c r="F11" s="180">
        <v>-2859646</v>
      </c>
      <c r="G11" s="345">
        <v>2894167</v>
      </c>
      <c r="H11" s="181">
        <f t="shared" si="4"/>
        <v>34521</v>
      </c>
      <c r="I11" s="182">
        <f t="shared" si="0"/>
        <v>2899599</v>
      </c>
      <c r="J11" s="170"/>
      <c r="K11" s="170"/>
      <c r="L11" s="170"/>
      <c r="M11" s="170"/>
      <c r="N11" s="194">
        <f>SUM(N4:N10)</f>
        <v>-67530.929999999993</v>
      </c>
      <c r="O11" s="195">
        <f>SUM(O4:O10)</f>
        <v>18501959.09</v>
      </c>
      <c r="P11" s="195">
        <f>SUM(P4:P10)</f>
        <v>14646378</v>
      </c>
      <c r="Q11" s="170"/>
      <c r="R11" s="194">
        <f>SUM(R4:R10)</f>
        <v>-55098.542580000008</v>
      </c>
      <c r="S11" s="195">
        <f>SUM(S4:S10)</f>
        <v>-10167174</v>
      </c>
      <c r="T11" s="196"/>
      <c r="U11" s="194">
        <f>SUM(U4:U10)</f>
        <v>29508.82446</v>
      </c>
      <c r="V11" s="170"/>
      <c r="W11" s="194">
        <f>SUM(W4:W10)</f>
        <v>-93120.648119999983</v>
      </c>
      <c r="X11" s="170"/>
      <c r="Y11" s="197">
        <f>SUM(Y4:Y10)</f>
        <v>22981163.090000004</v>
      </c>
      <c r="Z11" s="170"/>
      <c r="AA11" s="197">
        <f>SUM(AA4:AA10)</f>
        <v>-93131.292462500016</v>
      </c>
      <c r="AB11" s="194">
        <f>SUM(AB4:AB10)</f>
        <v>10.644342500021537</v>
      </c>
      <c r="AC11" s="197">
        <f>SUM(AC4:AC10)</f>
        <v>-1502.0129188423866</v>
      </c>
      <c r="AD11" s="192">
        <f t="shared" si="3"/>
        <v>-1.1430700617874457E-4</v>
      </c>
      <c r="AE11" s="77"/>
      <c r="AF11" s="77"/>
      <c r="AG11" s="77"/>
    </row>
    <row r="12" spans="1:33" x14ac:dyDescent="0.25">
      <c r="A12" s="178" t="s">
        <v>226</v>
      </c>
      <c r="B12" s="177"/>
      <c r="C12" s="345">
        <v>3</v>
      </c>
      <c r="D12" s="177"/>
      <c r="E12" s="345">
        <v>1096071</v>
      </c>
      <c r="F12" s="180"/>
      <c r="G12" s="345"/>
      <c r="H12" s="181">
        <f t="shared" si="4"/>
        <v>0</v>
      </c>
      <c r="I12" s="182">
        <f t="shared" si="0"/>
        <v>1096071</v>
      </c>
      <c r="J12" s="170"/>
      <c r="K12" s="170"/>
      <c r="L12" s="170"/>
      <c r="M12" s="282" t="s">
        <v>343</v>
      </c>
      <c r="N12" s="282" t="s">
        <v>343</v>
      </c>
      <c r="O12" s="198"/>
      <c r="P12" s="170"/>
      <c r="Q12" s="170"/>
      <c r="R12" s="170"/>
      <c r="S12" s="170"/>
      <c r="T12" s="170"/>
      <c r="U12" s="170"/>
      <c r="V12" s="170"/>
      <c r="W12" s="170"/>
      <c r="X12" s="170"/>
      <c r="Y12" s="170"/>
      <c r="Z12" s="170"/>
      <c r="AA12" s="170"/>
      <c r="AB12" s="170"/>
      <c r="AC12" s="170"/>
      <c r="AD12" s="170"/>
      <c r="AE12" s="77"/>
      <c r="AF12" s="77"/>
      <c r="AG12" s="77"/>
    </row>
    <row r="13" spans="1:33" x14ac:dyDescent="0.25">
      <c r="A13" s="178" t="s">
        <v>227</v>
      </c>
      <c r="B13" s="177"/>
      <c r="C13" s="345">
        <v>5</v>
      </c>
      <c r="D13" s="199"/>
      <c r="E13" s="345">
        <v>3547300</v>
      </c>
      <c r="F13" s="180">
        <v>-3547300</v>
      </c>
      <c r="G13" s="345">
        <v>3902504</v>
      </c>
      <c r="H13" s="181">
        <f t="shared" si="4"/>
        <v>355204</v>
      </c>
      <c r="I13" s="182">
        <f t="shared" si="0"/>
        <v>3902504</v>
      </c>
      <c r="J13" s="170"/>
      <c r="K13" s="170"/>
      <c r="L13" s="170"/>
      <c r="M13" s="170"/>
      <c r="N13" s="170"/>
      <c r="O13" s="170"/>
      <c r="P13" s="170"/>
      <c r="Q13" s="170"/>
      <c r="R13" s="170"/>
      <c r="S13" s="170"/>
      <c r="T13" s="365" t="s">
        <v>384</v>
      </c>
      <c r="U13" s="177" t="s">
        <v>228</v>
      </c>
      <c r="V13" s="177"/>
      <c r="W13" s="364">
        <v>0.95660000000000001</v>
      </c>
      <c r="X13" s="170"/>
      <c r="Y13" s="170"/>
      <c r="Z13" s="170" t="s">
        <v>229</v>
      </c>
      <c r="AA13" s="170" t="s">
        <v>230</v>
      </c>
      <c r="AB13" s="170"/>
      <c r="AC13" s="170" t="s">
        <v>231</v>
      </c>
      <c r="AD13" s="170"/>
      <c r="AE13" s="77"/>
      <c r="AF13" s="77"/>
      <c r="AG13" s="77"/>
    </row>
    <row r="14" spans="1:33" x14ac:dyDescent="0.25">
      <c r="A14" s="177"/>
      <c r="B14" s="177"/>
      <c r="C14" s="201">
        <f>SUM(C4:C13)</f>
        <v>172194</v>
      </c>
      <c r="D14" s="170"/>
      <c r="E14" s="201">
        <f>SUM(E4:E13)</f>
        <v>26091961.870000001</v>
      </c>
      <c r="F14" s="201">
        <f>SUM(F4:F13)</f>
        <v>-16574120</v>
      </c>
      <c r="G14" s="201">
        <f>SUM(G4:G13)</f>
        <v>21443049</v>
      </c>
      <c r="H14" s="201">
        <f>SUM(H4:H13)</f>
        <v>4868929</v>
      </c>
      <c r="I14" s="201">
        <f t="shared" ref="I14" si="14">SUM(I4:I13)</f>
        <v>30960890.870000005</v>
      </c>
      <c r="J14" s="170"/>
      <c r="K14" s="170"/>
      <c r="L14" s="170"/>
      <c r="M14" s="170"/>
      <c r="N14" s="170"/>
      <c r="O14" s="170"/>
      <c r="P14" s="170"/>
      <c r="Q14" s="170"/>
      <c r="R14" s="170"/>
      <c r="S14" s="170" t="s">
        <v>181</v>
      </c>
      <c r="T14" s="170" t="s">
        <v>232</v>
      </c>
      <c r="U14" s="170"/>
      <c r="V14" s="282"/>
      <c r="W14" s="202">
        <f>ROUND((W4+W5)*W13,2)</f>
        <v>-112420.18</v>
      </c>
      <c r="X14" s="170"/>
      <c r="Y14" s="170" t="s">
        <v>28</v>
      </c>
      <c r="Z14" s="181">
        <f>O4+O5+P4+P5+S4+S5</f>
        <v>17157822.990000002</v>
      </c>
      <c r="AA14" s="190">
        <v>-6.5500000000000003E-3</v>
      </c>
      <c r="AB14" s="188">
        <f>Z14*AA14</f>
        <v>-112383.74058450002</v>
      </c>
      <c r="AC14" s="188">
        <f>W14-AB14</f>
        <v>-36.439415499975439</v>
      </c>
      <c r="AD14" s="192">
        <f>AC14/W14</f>
        <v>3.2413589357333747E-4</v>
      </c>
      <c r="AE14" s="77"/>
      <c r="AF14" s="77"/>
      <c r="AG14" s="77"/>
    </row>
    <row r="15" spans="1:33" ht="15.75" thickBot="1" x14ac:dyDescent="0.3">
      <c r="A15" s="282"/>
      <c r="B15" s="282" t="s">
        <v>343</v>
      </c>
      <c r="C15" s="282" t="s">
        <v>343</v>
      </c>
      <c r="D15" s="170"/>
      <c r="E15" s="282" t="s">
        <v>343</v>
      </c>
      <c r="F15" s="282" t="s">
        <v>343</v>
      </c>
      <c r="G15" s="282" t="s">
        <v>343</v>
      </c>
      <c r="H15" s="282"/>
      <c r="I15" s="177"/>
      <c r="J15" s="170"/>
      <c r="K15" s="170"/>
      <c r="L15" s="170"/>
      <c r="M15" s="170"/>
      <c r="N15" s="170"/>
      <c r="O15" s="170"/>
      <c r="P15" s="170"/>
      <c r="Q15" s="170"/>
      <c r="R15" s="170"/>
      <c r="S15" s="170" t="s">
        <v>181</v>
      </c>
      <c r="T15" s="170" t="s">
        <v>233</v>
      </c>
      <c r="U15" s="170"/>
      <c r="V15" s="282"/>
      <c r="W15" s="202">
        <f>ROUND(SUM(W6:W10)*W13,2)</f>
        <v>23340.97</v>
      </c>
      <c r="X15" s="170"/>
      <c r="Y15" s="170" t="s">
        <v>234</v>
      </c>
      <c r="Z15" s="181">
        <f>SUM(O6:P10,S6:S10)</f>
        <v>5823340.1000000015</v>
      </c>
      <c r="AA15" s="190">
        <v>4.0099999999999997E-3</v>
      </c>
      <c r="AB15" s="188">
        <f>(Z15)*AA15</f>
        <v>23351.593801000003</v>
      </c>
      <c r="AC15" s="188">
        <f>W15-AB15</f>
        <v>-10.623801000001549</v>
      </c>
      <c r="AD15" s="192">
        <f>AC15/W15</f>
        <v>-4.5515679082752555E-4</v>
      </c>
      <c r="AE15" s="77"/>
      <c r="AF15" s="77"/>
      <c r="AG15" s="77"/>
    </row>
    <row r="16" spans="1:33" x14ac:dyDescent="0.25">
      <c r="A16" s="177" t="s">
        <v>28</v>
      </c>
      <c r="B16" s="282"/>
      <c r="C16" s="203">
        <f>C4+C5</f>
        <v>168988</v>
      </c>
      <c r="D16" s="170"/>
      <c r="E16" s="204">
        <f>E4+E5</f>
        <v>13139925.99</v>
      </c>
      <c r="F16" s="204">
        <f t="shared" ref="F16:H16" si="15">F4+F5</f>
        <v>-6531638</v>
      </c>
      <c r="G16" s="204">
        <f t="shared" si="15"/>
        <v>10549535</v>
      </c>
      <c r="H16" s="204">
        <f t="shared" si="15"/>
        <v>4017897</v>
      </c>
      <c r="I16" s="203">
        <f>I4+I5</f>
        <v>17157822.990000002</v>
      </c>
      <c r="J16" s="291"/>
      <c r="K16" s="170"/>
      <c r="L16" s="170"/>
      <c r="M16" s="170"/>
      <c r="N16" s="170"/>
      <c r="O16" s="170"/>
      <c r="P16" s="170"/>
      <c r="Q16" s="170"/>
      <c r="R16" s="170"/>
      <c r="S16" s="170"/>
      <c r="T16" s="170"/>
      <c r="U16" s="170"/>
      <c r="V16" s="170"/>
      <c r="W16" s="282"/>
      <c r="X16" s="170"/>
      <c r="Y16" s="170"/>
      <c r="Z16" s="170"/>
      <c r="AA16" s="170"/>
      <c r="AB16" s="170"/>
      <c r="AC16" s="170"/>
      <c r="AD16" s="170"/>
      <c r="AE16" s="77"/>
      <c r="AF16" s="77"/>
      <c r="AG16" s="77"/>
    </row>
    <row r="17" spans="1:33" x14ac:dyDescent="0.25">
      <c r="A17" s="177"/>
      <c r="B17" s="177"/>
      <c r="C17" s="205"/>
      <c r="D17" s="170"/>
      <c r="E17" s="177"/>
      <c r="F17" s="177"/>
      <c r="G17" s="177"/>
      <c r="H17" s="177"/>
      <c r="I17" s="206"/>
      <c r="J17" s="360"/>
      <c r="K17" s="170"/>
      <c r="L17" s="170"/>
      <c r="M17" s="170"/>
      <c r="N17" s="170"/>
      <c r="O17" s="170"/>
      <c r="P17" s="170"/>
      <c r="Q17" s="170"/>
      <c r="R17" s="188">
        <f>R11+U11</f>
        <v>-25589.718120000009</v>
      </c>
      <c r="S17" s="170" t="s">
        <v>305</v>
      </c>
      <c r="T17" s="170"/>
      <c r="U17" s="170"/>
      <c r="V17" s="170"/>
      <c r="W17" s="170"/>
      <c r="X17" s="170"/>
      <c r="Y17" s="170" t="s">
        <v>235</v>
      </c>
      <c r="Z17" s="170"/>
      <c r="AA17" s="170"/>
      <c r="AB17" s="170"/>
      <c r="AC17" s="170"/>
      <c r="AD17" s="170"/>
      <c r="AE17" s="77"/>
      <c r="AF17" s="77"/>
      <c r="AG17" s="77"/>
    </row>
    <row r="18" spans="1:33" ht="15.75" thickBot="1" x14ac:dyDescent="0.3">
      <c r="A18" s="177" t="s">
        <v>234</v>
      </c>
      <c r="B18" s="282"/>
      <c r="C18" s="207">
        <f>SUM(C6:C9)</f>
        <v>3158</v>
      </c>
      <c r="D18" s="170"/>
      <c r="E18" s="208">
        <f>SUM(E6:E9)</f>
        <v>5362033.1000000006</v>
      </c>
      <c r="F18" s="208">
        <f t="shared" ref="F18:H18" si="16">SUM(F6:F9)</f>
        <v>-3635536</v>
      </c>
      <c r="G18" s="208">
        <f>SUM(G6:G9)</f>
        <v>4096843</v>
      </c>
      <c r="H18" s="208">
        <f t="shared" si="16"/>
        <v>461307</v>
      </c>
      <c r="I18" s="207">
        <f>SUM(I6:I9)</f>
        <v>5823340.1000000006</v>
      </c>
      <c r="J18" s="291"/>
      <c r="K18" s="170"/>
      <c r="L18" s="170"/>
      <c r="M18" s="170"/>
      <c r="N18" s="170"/>
      <c r="O18" s="170"/>
      <c r="P18" s="170"/>
      <c r="Q18" s="170"/>
      <c r="R18" s="188">
        <f>E64</f>
        <v>-25589.718120000001</v>
      </c>
      <c r="S18" s="170"/>
      <c r="T18" s="170"/>
      <c r="U18" s="170"/>
      <c r="V18" s="170"/>
      <c r="W18" s="170"/>
      <c r="X18" s="170"/>
      <c r="Y18" s="170"/>
      <c r="Z18" s="170"/>
      <c r="AA18" s="170"/>
      <c r="AB18" s="170"/>
      <c r="AC18" s="170"/>
      <c r="AD18" s="170"/>
      <c r="AE18" s="77"/>
      <c r="AF18" s="77"/>
      <c r="AG18" s="77"/>
    </row>
    <row r="19" spans="1:33" x14ac:dyDescent="0.25">
      <c r="A19" s="177"/>
      <c r="B19" s="177"/>
      <c r="C19" s="177"/>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77"/>
      <c r="AF19" s="77"/>
      <c r="AG19" s="77"/>
    </row>
    <row r="20" spans="1:33" ht="51.75" x14ac:dyDescent="0.25">
      <c r="A20" s="173"/>
      <c r="B20" s="209"/>
      <c r="C20" s="176" t="s">
        <v>236</v>
      </c>
      <c r="D20" s="382" t="s">
        <v>237</v>
      </c>
      <c r="E20" s="176" t="s">
        <v>307</v>
      </c>
      <c r="F20" s="176" t="s">
        <v>238</v>
      </c>
      <c r="G20" s="176" t="s">
        <v>239</v>
      </c>
      <c r="H20" s="176" t="s">
        <v>240</v>
      </c>
      <c r="I20" s="176" t="s">
        <v>241</v>
      </c>
      <c r="J20" s="170"/>
      <c r="K20" s="170"/>
      <c r="L20" s="170"/>
      <c r="M20" s="170"/>
      <c r="N20" s="170"/>
      <c r="O20" s="170"/>
      <c r="P20" s="170"/>
      <c r="Q20" s="170"/>
      <c r="R20" s="170"/>
      <c r="S20" s="170"/>
      <c r="T20" s="170"/>
      <c r="U20" s="170"/>
      <c r="V20" s="170"/>
      <c r="W20" s="170"/>
      <c r="X20" s="170"/>
      <c r="Y20" s="170"/>
      <c r="Z20" s="170"/>
      <c r="AA20" s="170"/>
      <c r="AB20" s="170"/>
      <c r="AC20" s="170"/>
      <c r="AD20" s="170"/>
      <c r="AE20" s="77"/>
      <c r="AF20" s="77"/>
      <c r="AG20" s="77"/>
    </row>
    <row r="21" spans="1:33" x14ac:dyDescent="0.25">
      <c r="A21" s="177"/>
      <c r="B21" s="177"/>
      <c r="C21" s="177"/>
      <c r="D21" s="177"/>
      <c r="E21" s="177"/>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77"/>
      <c r="AF21" s="77"/>
      <c r="AG21" s="77"/>
    </row>
    <row r="22" spans="1:33" x14ac:dyDescent="0.25">
      <c r="A22" s="178" t="s">
        <v>212</v>
      </c>
      <c r="B22" s="177"/>
      <c r="C22" s="183">
        <v>1623417</v>
      </c>
      <c r="D22" s="183">
        <v>7472471.25</v>
      </c>
      <c r="E22" s="183">
        <v>-5468066.0347994398</v>
      </c>
      <c r="F22" s="183">
        <f>8551722-F23</f>
        <v>8547878.8817238919</v>
      </c>
      <c r="G22" s="211">
        <f>SUM(D22:F22)</f>
        <v>10552284.096924452</v>
      </c>
      <c r="H22" s="188">
        <f t="shared" ref="H22:H31" si="17">-J54</f>
        <v>-1157123.8600499996</v>
      </c>
      <c r="I22" s="188">
        <f t="shared" ref="I22:I31" si="18">G22+H22</f>
        <v>9395160.2368744519</v>
      </c>
      <c r="J22" s="170"/>
      <c r="K22" s="170"/>
      <c r="L22" s="170"/>
      <c r="M22" s="170"/>
      <c r="N22" s="170"/>
      <c r="O22" s="170"/>
      <c r="P22" s="170"/>
      <c r="Q22" s="170"/>
      <c r="R22" s="170"/>
      <c r="S22" s="170"/>
      <c r="T22" s="170"/>
      <c r="U22" s="170"/>
      <c r="V22" s="170"/>
      <c r="W22" s="170"/>
      <c r="X22" s="170"/>
      <c r="Y22" s="170"/>
      <c r="Z22" s="170"/>
      <c r="AA22" s="170"/>
      <c r="AB22" s="170"/>
      <c r="AC22" s="170"/>
      <c r="AD22" s="170"/>
      <c r="AE22" s="77"/>
      <c r="AF22" s="77"/>
      <c r="AG22" s="77"/>
    </row>
    <row r="23" spans="1:33" x14ac:dyDescent="0.25">
      <c r="A23" s="178" t="s">
        <v>214</v>
      </c>
      <c r="B23" s="177"/>
      <c r="C23" s="183">
        <v>2422.5</v>
      </c>
      <c r="D23" s="183">
        <v>11017.05</v>
      </c>
      <c r="E23" s="183">
        <v>-2107.9652005614998</v>
      </c>
      <c r="F23" s="183">
        <f>G5*(K23-C23)/E5</f>
        <v>3843.1182761074369</v>
      </c>
      <c r="G23" s="211">
        <f>SUM(D23:F23)</f>
        <v>12752.203075545938</v>
      </c>
      <c r="H23" s="188">
        <f t="shared" si="17"/>
        <v>1220.4570000000006</v>
      </c>
      <c r="I23" s="188">
        <f t="shared" si="18"/>
        <v>13972.660075545939</v>
      </c>
      <c r="J23" s="170"/>
      <c r="K23" s="183">
        <v>7204.28</v>
      </c>
      <c r="L23" s="170" t="s">
        <v>265</v>
      </c>
      <c r="M23" s="170"/>
      <c r="N23" s="170"/>
      <c r="O23" s="170"/>
      <c r="P23" s="170"/>
      <c r="Q23" s="170"/>
      <c r="R23" s="170"/>
      <c r="S23" s="170"/>
      <c r="T23" s="170"/>
      <c r="U23" s="170"/>
      <c r="V23" s="170"/>
      <c r="W23" s="170"/>
      <c r="X23" s="170"/>
      <c r="Y23" s="170"/>
      <c r="Z23" s="170"/>
      <c r="AA23" s="170"/>
      <c r="AB23" s="170"/>
      <c r="AC23" s="170"/>
      <c r="AD23" s="170"/>
      <c r="AE23" s="77"/>
      <c r="AF23" s="77"/>
      <c r="AG23" s="77"/>
    </row>
    <row r="24" spans="1:33" x14ac:dyDescent="0.25">
      <c r="A24" s="178" t="s">
        <v>216</v>
      </c>
      <c r="B24" s="177"/>
      <c r="C24" s="183">
        <v>339216.17</v>
      </c>
      <c r="D24" s="183">
        <v>1756334.23</v>
      </c>
      <c r="E24" s="183">
        <v>-2008105</v>
      </c>
      <c r="F24" s="183">
        <v>2298379</v>
      </c>
      <c r="G24" s="211">
        <f>SUM(D24:F24)</f>
        <v>2046608.23</v>
      </c>
      <c r="H24" s="188">
        <f t="shared" si="17"/>
        <v>-143431.34128000008</v>
      </c>
      <c r="I24" s="188">
        <f t="shared" si="18"/>
        <v>1903176.8887199999</v>
      </c>
      <c r="J24" s="170"/>
      <c r="K24" s="170"/>
      <c r="L24" s="170"/>
      <c r="M24" s="170"/>
      <c r="N24" s="170"/>
      <c r="O24" s="170"/>
      <c r="P24" s="170"/>
      <c r="Q24" s="170"/>
      <c r="R24" s="170"/>
      <c r="S24" s="170"/>
      <c r="T24" s="170"/>
      <c r="U24" s="170"/>
      <c r="V24" s="170"/>
      <c r="W24" s="170"/>
      <c r="X24" s="170"/>
      <c r="Y24" s="170"/>
      <c r="Z24" s="170"/>
      <c r="AA24" s="170"/>
      <c r="AB24" s="170"/>
      <c r="AC24" s="170"/>
      <c r="AD24" s="170"/>
      <c r="AE24" s="77"/>
      <c r="AF24" s="77"/>
      <c r="AG24" s="77"/>
    </row>
    <row r="25" spans="1:33" x14ac:dyDescent="0.25">
      <c r="A25" s="178" t="s">
        <v>218</v>
      </c>
      <c r="B25" s="177"/>
      <c r="C25" s="183">
        <v>322.64999999999998</v>
      </c>
      <c r="D25" s="183">
        <v>17790.88</v>
      </c>
      <c r="E25" s="183">
        <v>-59754</v>
      </c>
      <c r="F25" s="183">
        <v>32543</v>
      </c>
      <c r="G25" s="211">
        <f>SUM(D25:F25)</f>
        <v>-9420.1199999999953</v>
      </c>
      <c r="H25" s="188">
        <f t="shared" si="17"/>
        <v>13083.684759999995</v>
      </c>
      <c r="I25" s="188">
        <f>G25+H25</f>
        <v>3663.5647599999993</v>
      </c>
      <c r="J25" s="170"/>
      <c r="K25" s="170"/>
      <c r="L25" s="170"/>
      <c r="M25" s="170"/>
      <c r="N25" s="170"/>
      <c r="O25" s="170"/>
      <c r="P25" s="170"/>
      <c r="Q25" s="170"/>
      <c r="R25" s="170"/>
      <c r="S25" s="170"/>
      <c r="T25" s="170"/>
      <c r="U25" s="170"/>
      <c r="V25" s="170"/>
      <c r="W25" s="170"/>
      <c r="X25" s="170"/>
      <c r="Y25" s="170"/>
      <c r="Z25" s="170"/>
      <c r="AA25" s="170"/>
      <c r="AB25" s="170"/>
      <c r="AC25" s="170"/>
      <c r="AD25" s="170"/>
      <c r="AE25" s="77"/>
      <c r="AF25" s="77"/>
      <c r="AG25" s="77"/>
    </row>
    <row r="26" spans="1:33" x14ac:dyDescent="0.25">
      <c r="A26" s="178" t="s">
        <v>220</v>
      </c>
      <c r="B26" s="177"/>
      <c r="C26" s="183">
        <v>0</v>
      </c>
      <c r="D26" s="183">
        <v>0</v>
      </c>
      <c r="E26" s="183">
        <v>0</v>
      </c>
      <c r="F26" s="183">
        <v>0</v>
      </c>
      <c r="G26" s="211">
        <f t="shared" ref="G26:G31" si="19">SUM(D26:F26)</f>
        <v>0</v>
      </c>
      <c r="H26" s="188">
        <f t="shared" si="17"/>
        <v>0</v>
      </c>
      <c r="I26" s="188">
        <f t="shared" si="18"/>
        <v>0</v>
      </c>
      <c r="J26" s="170"/>
      <c r="K26" s="170"/>
      <c r="L26" s="170"/>
      <c r="M26" s="170"/>
      <c r="N26" s="170"/>
      <c r="O26" s="170"/>
      <c r="P26" s="170"/>
      <c r="Q26" s="170"/>
      <c r="R26" s="170"/>
      <c r="S26" s="170"/>
      <c r="T26" s="170"/>
      <c r="U26" s="170"/>
      <c r="V26" s="170"/>
      <c r="W26" s="170"/>
      <c r="X26" s="170"/>
      <c r="Y26" s="170"/>
      <c r="Z26" s="170"/>
      <c r="AA26" s="170"/>
      <c r="AB26" s="170"/>
      <c r="AC26" s="170"/>
      <c r="AD26" s="170"/>
      <c r="AE26" s="77"/>
      <c r="AF26" s="77"/>
      <c r="AG26" s="77"/>
    </row>
    <row r="27" spans="1:33" x14ac:dyDescent="0.25">
      <c r="A27" s="178" t="s">
        <v>222</v>
      </c>
      <c r="B27" s="177"/>
      <c r="C27" s="183">
        <v>0</v>
      </c>
      <c r="D27" s="183">
        <v>0</v>
      </c>
      <c r="E27" s="183">
        <v>0</v>
      </c>
      <c r="F27" s="183">
        <v>0</v>
      </c>
      <c r="G27" s="211">
        <f t="shared" si="19"/>
        <v>0</v>
      </c>
      <c r="H27" s="188">
        <f t="shared" si="17"/>
        <v>0</v>
      </c>
      <c r="I27" s="188">
        <f t="shared" si="18"/>
        <v>0</v>
      </c>
      <c r="J27" s="170"/>
      <c r="K27" s="170"/>
      <c r="L27" s="170"/>
      <c r="M27" s="170"/>
      <c r="N27" s="170"/>
      <c r="O27" s="170"/>
      <c r="P27" s="170"/>
      <c r="Q27" s="170"/>
      <c r="R27" s="170"/>
      <c r="S27" s="170"/>
      <c r="T27" s="170"/>
      <c r="U27" s="170"/>
      <c r="V27" s="170"/>
      <c r="W27" s="170"/>
      <c r="X27" s="170"/>
      <c r="Y27" s="170"/>
      <c r="Z27" s="170"/>
      <c r="AA27" s="170"/>
      <c r="AB27" s="170"/>
      <c r="AC27" s="170"/>
      <c r="AD27" s="170"/>
      <c r="AE27" s="77"/>
      <c r="AF27" s="77"/>
      <c r="AG27" s="77"/>
    </row>
    <row r="28" spans="1:33" x14ac:dyDescent="0.25">
      <c r="A28" s="178" t="s">
        <v>223</v>
      </c>
      <c r="B28" s="177"/>
      <c r="C28" s="183">
        <v>0</v>
      </c>
      <c r="D28" s="183">
        <v>18285.169999999998</v>
      </c>
      <c r="E28" s="183"/>
      <c r="F28" s="183"/>
      <c r="G28" s="211">
        <f t="shared" si="19"/>
        <v>18285.169999999998</v>
      </c>
      <c r="H28" s="188">
        <f t="shared" si="17"/>
        <v>0</v>
      </c>
      <c r="I28" s="188">
        <f t="shared" si="18"/>
        <v>18285.169999999998</v>
      </c>
      <c r="J28" s="170"/>
      <c r="K28" s="170"/>
      <c r="L28" s="170"/>
      <c r="M28" s="170"/>
      <c r="N28" s="170"/>
      <c r="O28" s="170"/>
      <c r="P28" s="170"/>
      <c r="Q28" s="170"/>
      <c r="R28" s="170"/>
      <c r="S28" s="170"/>
      <c r="T28" s="170"/>
      <c r="U28" s="170"/>
      <c r="V28" s="170"/>
      <c r="W28" s="170"/>
      <c r="X28" s="170"/>
      <c r="Y28" s="170"/>
      <c r="Z28" s="170"/>
      <c r="AA28" s="170"/>
      <c r="AB28" s="170"/>
      <c r="AC28" s="170"/>
      <c r="AD28" s="170"/>
      <c r="AE28" s="77"/>
      <c r="AF28" s="77"/>
      <c r="AG28" s="77"/>
    </row>
    <row r="29" spans="1:33" x14ac:dyDescent="0.25">
      <c r="A29" s="178" t="s">
        <v>225</v>
      </c>
      <c r="B29" s="177"/>
      <c r="C29" s="183">
        <v>23750</v>
      </c>
      <c r="D29" s="183">
        <v>285622.02</v>
      </c>
      <c r="E29" s="183">
        <v>-254651</v>
      </c>
      <c r="F29" s="183">
        <v>257726</v>
      </c>
      <c r="G29" s="211">
        <f t="shared" si="19"/>
        <v>288697.02</v>
      </c>
      <c r="H29" s="188">
        <f t="shared" si="17"/>
        <v>63.518640000000204</v>
      </c>
      <c r="I29" s="188">
        <f t="shared" si="18"/>
        <v>288760.53864000004</v>
      </c>
      <c r="J29" s="170"/>
      <c r="K29" s="170"/>
      <c r="L29" s="170"/>
      <c r="M29" s="170"/>
      <c r="N29" s="170"/>
      <c r="O29" s="170"/>
      <c r="P29" s="170"/>
      <c r="Q29" s="170"/>
      <c r="R29" s="170"/>
      <c r="S29" s="170"/>
      <c r="T29" s="170"/>
      <c r="U29" s="170"/>
      <c r="V29" s="170"/>
      <c r="W29" s="170"/>
      <c r="X29" s="170"/>
      <c r="Y29" s="170"/>
      <c r="Z29" s="170"/>
      <c r="AA29" s="170"/>
      <c r="AB29" s="170"/>
      <c r="AC29" s="170"/>
      <c r="AD29" s="170"/>
      <c r="AE29" s="77"/>
      <c r="AF29" s="77"/>
      <c r="AG29" s="77"/>
    </row>
    <row r="30" spans="1:33" x14ac:dyDescent="0.25">
      <c r="A30" s="178" t="s">
        <v>226</v>
      </c>
      <c r="B30" s="177"/>
      <c r="C30" s="183">
        <v>0</v>
      </c>
      <c r="D30" s="183">
        <v>22918.84</v>
      </c>
      <c r="E30" s="183"/>
      <c r="F30" s="183"/>
      <c r="G30" s="211">
        <f t="shared" si="19"/>
        <v>22918.84</v>
      </c>
      <c r="H30" s="188">
        <f t="shared" si="17"/>
        <v>0</v>
      </c>
      <c r="I30" s="188">
        <f t="shared" si="18"/>
        <v>22918.84</v>
      </c>
      <c r="J30" s="170"/>
      <c r="K30" s="170"/>
      <c r="L30" s="170"/>
      <c r="M30" s="170"/>
      <c r="N30" s="170"/>
      <c r="O30" s="170"/>
      <c r="P30" s="170"/>
      <c r="Q30" s="170"/>
      <c r="R30" s="170"/>
      <c r="S30" s="170"/>
      <c r="T30" s="170"/>
      <c r="U30" s="170"/>
      <c r="V30" s="170"/>
      <c r="W30" s="170"/>
      <c r="X30" s="170"/>
      <c r="Y30" s="170"/>
      <c r="Z30" s="170"/>
      <c r="AA30" s="170"/>
      <c r="AB30" s="170"/>
      <c r="AC30" s="170"/>
      <c r="AD30" s="170"/>
      <c r="AE30" s="77"/>
      <c r="AF30" s="77"/>
      <c r="AG30" s="77"/>
    </row>
    <row r="31" spans="1:33" x14ac:dyDescent="0.25">
      <c r="A31" s="178" t="s">
        <v>227</v>
      </c>
      <c r="B31" s="177"/>
      <c r="C31" s="183">
        <v>1000</v>
      </c>
      <c r="D31" s="183">
        <v>92410.63</v>
      </c>
      <c r="E31" s="183">
        <v>-74174</v>
      </c>
      <c r="F31" s="183">
        <v>81601</v>
      </c>
      <c r="G31" s="211">
        <f t="shared" si="19"/>
        <v>99837.63</v>
      </c>
      <c r="H31" s="188">
        <f t="shared" si="17"/>
        <v>0</v>
      </c>
      <c r="I31" s="188">
        <f t="shared" si="18"/>
        <v>99837.63</v>
      </c>
      <c r="J31" s="170"/>
      <c r="K31" s="170"/>
      <c r="L31" s="170"/>
      <c r="M31" s="170"/>
      <c r="N31" s="170"/>
      <c r="O31" s="170"/>
      <c r="P31" s="170"/>
      <c r="Q31" s="170"/>
      <c r="R31" s="170"/>
      <c r="S31" s="170"/>
      <c r="T31" s="170"/>
      <c r="U31" s="170"/>
      <c r="V31" s="170"/>
      <c r="W31" s="170"/>
      <c r="X31" s="170"/>
      <c r="Y31" s="170"/>
      <c r="Z31" s="170"/>
      <c r="AA31" s="170"/>
      <c r="AB31" s="170"/>
      <c r="AC31" s="170"/>
      <c r="AD31" s="170"/>
      <c r="AE31" s="77"/>
      <c r="AF31" s="77"/>
      <c r="AG31" s="77"/>
    </row>
    <row r="32" spans="1:33" x14ac:dyDescent="0.25">
      <c r="A32" s="178" t="s">
        <v>242</v>
      </c>
      <c r="B32" s="177"/>
      <c r="C32" s="210"/>
      <c r="D32" s="183">
        <v>5385670.8799999999</v>
      </c>
      <c r="E32" s="183"/>
      <c r="F32" s="183"/>
      <c r="G32" s="211"/>
      <c r="H32" s="188"/>
      <c r="I32" s="188"/>
      <c r="J32" s="170"/>
      <c r="K32" s="170"/>
      <c r="L32" s="170"/>
      <c r="M32" s="170"/>
      <c r="N32" s="170"/>
      <c r="O32" s="170"/>
      <c r="P32" s="170"/>
      <c r="Q32" s="170"/>
      <c r="R32" s="170"/>
      <c r="S32" s="170"/>
      <c r="T32" s="170"/>
      <c r="U32" s="170"/>
      <c r="V32" s="170"/>
      <c r="W32" s="170"/>
      <c r="X32" s="170"/>
      <c r="Y32" s="170"/>
      <c r="Z32" s="170"/>
      <c r="AA32" s="170"/>
      <c r="AB32" s="170"/>
      <c r="AC32" s="170"/>
      <c r="AD32" s="170"/>
      <c r="AE32" s="77"/>
      <c r="AF32" s="77"/>
      <c r="AG32" s="77"/>
    </row>
    <row r="33" spans="1:33" x14ac:dyDescent="0.25">
      <c r="A33" s="178" t="s">
        <v>243</v>
      </c>
      <c r="B33" s="177"/>
      <c r="C33" s="212"/>
      <c r="D33" s="183">
        <v>421265.25</v>
      </c>
      <c r="E33" s="183"/>
      <c r="F33" s="183"/>
      <c r="G33" s="211"/>
      <c r="H33" s="188"/>
      <c r="I33" s="188"/>
      <c r="J33" s="170"/>
      <c r="K33" s="170"/>
      <c r="L33" s="170"/>
      <c r="M33" s="170"/>
      <c r="N33" s="170"/>
      <c r="O33" s="170"/>
      <c r="P33" s="170"/>
      <c r="Q33" s="170"/>
      <c r="R33" s="170"/>
      <c r="S33" s="170"/>
      <c r="T33" s="170"/>
      <c r="U33" s="170"/>
      <c r="V33" s="170"/>
      <c r="W33" s="170"/>
      <c r="X33" s="170"/>
      <c r="Y33" s="170"/>
      <c r="Z33" s="170"/>
      <c r="AA33" s="170"/>
      <c r="AB33" s="170"/>
      <c r="AC33" s="170"/>
      <c r="AD33" s="170"/>
      <c r="AE33" s="77"/>
      <c r="AF33" s="77"/>
      <c r="AG33" s="77"/>
    </row>
    <row r="34" spans="1:33" x14ac:dyDescent="0.25">
      <c r="A34" s="177"/>
      <c r="B34" s="177"/>
      <c r="C34" s="194">
        <f>SUM(C22:C31)</f>
        <v>1990128.3199999998</v>
      </c>
      <c r="D34" s="213">
        <f>SUM(D22:D33)</f>
        <v>15483786.199999999</v>
      </c>
      <c r="E34" s="213">
        <f>SUM(E22:E33)</f>
        <v>-7866858.0000000009</v>
      </c>
      <c r="F34" s="213">
        <f>SUM(F22:F33)</f>
        <v>11221971</v>
      </c>
      <c r="G34" s="213">
        <f t="shared" ref="G34:I34" si="20">SUM(G22:G33)</f>
        <v>13031963.07</v>
      </c>
      <c r="H34" s="213">
        <f t="shared" si="20"/>
        <v>-1286187.5409299997</v>
      </c>
      <c r="I34" s="213">
        <f t="shared" si="20"/>
        <v>11745775.529069997</v>
      </c>
      <c r="J34" s="170"/>
      <c r="K34" s="170"/>
      <c r="L34" s="170"/>
      <c r="M34" s="170"/>
      <c r="N34" s="170"/>
      <c r="O34" s="170"/>
      <c r="P34" s="170"/>
      <c r="Q34" s="170"/>
      <c r="R34" s="170"/>
      <c r="S34" s="170"/>
      <c r="T34" s="170"/>
      <c r="U34" s="170"/>
      <c r="V34" s="170"/>
      <c r="W34" s="170"/>
      <c r="X34" s="170"/>
      <c r="Y34" s="170"/>
      <c r="Z34" s="170"/>
      <c r="AA34" s="170"/>
      <c r="AB34" s="170"/>
      <c r="AC34" s="170"/>
      <c r="AD34" s="170"/>
      <c r="AE34" s="77"/>
      <c r="AF34" s="77"/>
      <c r="AG34" s="77"/>
    </row>
    <row r="35" spans="1:33" ht="15.75" thickBot="1" x14ac:dyDescent="0.3">
      <c r="A35" s="177"/>
      <c r="B35" s="282" t="s">
        <v>343</v>
      </c>
      <c r="C35" s="282" t="s">
        <v>343</v>
      </c>
      <c r="D35" s="282" t="s">
        <v>343</v>
      </c>
      <c r="E35" s="282" t="s">
        <v>343</v>
      </c>
      <c r="F35" s="282" t="s">
        <v>343</v>
      </c>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77"/>
      <c r="AF35" s="77"/>
      <c r="AG35" s="77"/>
    </row>
    <row r="36" spans="1:33" x14ac:dyDescent="0.25">
      <c r="A36" s="177" t="s">
        <v>28</v>
      </c>
      <c r="B36" s="282"/>
      <c r="C36" s="215">
        <f>C22+C23</f>
        <v>1625839.5</v>
      </c>
      <c r="D36" s="186">
        <f>D22+D23</f>
        <v>7483488.2999999998</v>
      </c>
      <c r="E36" s="186">
        <f t="shared" ref="E36:H36" si="21">E22+E23</f>
        <v>-5470174.0000000009</v>
      </c>
      <c r="F36" s="186">
        <f t="shared" si="21"/>
        <v>8551722</v>
      </c>
      <c r="G36" s="186">
        <f t="shared" si="21"/>
        <v>10565036.299999999</v>
      </c>
      <c r="H36" s="186">
        <f t="shared" si="21"/>
        <v>-1155903.4030499996</v>
      </c>
      <c r="I36" s="215">
        <f>I22+I23</f>
        <v>9409132.8969499972</v>
      </c>
      <c r="J36" s="291"/>
      <c r="K36" s="170"/>
      <c r="L36" s="170"/>
      <c r="M36" s="170"/>
      <c r="N36" s="170"/>
      <c r="O36" s="170"/>
      <c r="P36" s="170"/>
      <c r="Q36" s="170"/>
      <c r="R36" s="170"/>
      <c r="S36" s="170"/>
      <c r="T36" s="170"/>
      <c r="U36" s="170"/>
      <c r="V36" s="170"/>
      <c r="W36" s="170"/>
      <c r="X36" s="170"/>
      <c r="Y36" s="170"/>
      <c r="Z36" s="170"/>
      <c r="AA36" s="170"/>
      <c r="AB36" s="170"/>
      <c r="AC36" s="170"/>
      <c r="AD36" s="170"/>
      <c r="AE36" s="77"/>
      <c r="AF36" s="77"/>
      <c r="AG36" s="77"/>
    </row>
    <row r="37" spans="1:33" x14ac:dyDescent="0.25">
      <c r="A37" s="177"/>
      <c r="B37" s="177"/>
      <c r="C37" s="216"/>
      <c r="D37" s="186"/>
      <c r="E37" s="177"/>
      <c r="F37" s="177"/>
      <c r="G37" s="170"/>
      <c r="H37" s="170"/>
      <c r="I37" s="217"/>
      <c r="J37" s="360"/>
      <c r="K37" s="170"/>
      <c r="L37" s="170"/>
      <c r="M37" s="170"/>
      <c r="N37" s="170"/>
      <c r="O37" s="170"/>
      <c r="P37" s="170"/>
      <c r="Q37" s="170"/>
      <c r="R37" s="170"/>
      <c r="S37" s="170"/>
      <c r="T37" s="170"/>
      <c r="U37" s="170"/>
      <c r="V37" s="170"/>
      <c r="W37" s="170"/>
      <c r="X37" s="170"/>
      <c r="Y37" s="170"/>
      <c r="Z37" s="170"/>
      <c r="AA37" s="170"/>
      <c r="AB37" s="170"/>
      <c r="AC37" s="170"/>
      <c r="AD37" s="170"/>
      <c r="AE37" s="77"/>
      <c r="AF37" s="77"/>
      <c r="AG37" s="77"/>
    </row>
    <row r="38" spans="1:33" ht="15.75" thickBot="1" x14ac:dyDescent="0.3">
      <c r="A38" s="177" t="s">
        <v>234</v>
      </c>
      <c r="B38" s="282"/>
      <c r="C38" s="218">
        <f>SUM(C24:C27)</f>
        <v>339538.82</v>
      </c>
      <c r="D38" s="219">
        <f>SUM(D24:D27)</f>
        <v>1774125.1099999999</v>
      </c>
      <c r="E38" s="219">
        <f t="shared" ref="E38:F38" si="22">SUM(E24:E27)</f>
        <v>-2067859</v>
      </c>
      <c r="F38" s="219">
        <f t="shared" si="22"/>
        <v>2330922</v>
      </c>
      <c r="G38" s="219">
        <f>SUM(G24:G27)</f>
        <v>2037188.1099999999</v>
      </c>
      <c r="H38" s="219">
        <f>SUM(H24:H27)</f>
        <v>-130347.65652000009</v>
      </c>
      <c r="I38" s="218">
        <f>SUM(I24:I27)</f>
        <v>1906840.4534799999</v>
      </c>
      <c r="J38" s="291"/>
      <c r="K38" s="170"/>
      <c r="L38" s="170"/>
      <c r="M38" s="170"/>
      <c r="N38" s="170"/>
      <c r="O38" s="170"/>
      <c r="P38" s="170"/>
      <c r="Q38" s="170"/>
      <c r="R38" s="170"/>
      <c r="S38" s="170"/>
      <c r="T38" s="170"/>
      <c r="U38" s="170"/>
      <c r="V38" s="170"/>
      <c r="W38" s="170"/>
      <c r="X38" s="170"/>
      <c r="Y38" s="170"/>
      <c r="Z38" s="170"/>
      <c r="AA38" s="170"/>
      <c r="AB38" s="170"/>
      <c r="AC38" s="170"/>
      <c r="AD38" s="170"/>
      <c r="AE38" s="77"/>
      <c r="AF38" s="77"/>
      <c r="AG38" s="77"/>
    </row>
    <row r="39" spans="1:33" x14ac:dyDescent="0.25">
      <c r="A39" s="177"/>
      <c r="B39" s="177"/>
      <c r="C39" s="220"/>
      <c r="D39" s="219"/>
      <c r="E39" s="219"/>
      <c r="F39" s="219"/>
      <c r="G39" s="219"/>
      <c r="H39" s="219"/>
      <c r="I39" s="220"/>
      <c r="J39" s="170"/>
      <c r="K39" s="170"/>
      <c r="L39" s="170"/>
      <c r="M39" s="170"/>
      <c r="N39" s="170" t="s">
        <v>264</v>
      </c>
      <c r="O39" s="170"/>
      <c r="P39" s="170"/>
      <c r="Q39" s="170"/>
      <c r="R39" s="170"/>
      <c r="U39" s="170"/>
      <c r="V39" s="170"/>
      <c r="W39" s="170"/>
      <c r="X39" s="170"/>
      <c r="Y39" s="170"/>
      <c r="Z39" s="170"/>
      <c r="AA39" s="170"/>
      <c r="AB39" s="170"/>
      <c r="AC39" s="170"/>
      <c r="AD39" s="170"/>
      <c r="AE39" s="77"/>
      <c r="AF39" s="77"/>
      <c r="AG39" s="77"/>
    </row>
    <row r="40" spans="1:33" ht="76.150000000000006" customHeight="1" x14ac:dyDescent="0.25">
      <c r="A40" s="177"/>
      <c r="B40" s="170"/>
      <c r="C40" s="221">
        <v>43770</v>
      </c>
      <c r="D40" s="221">
        <v>43770</v>
      </c>
      <c r="E40" s="221">
        <v>44044</v>
      </c>
      <c r="F40" s="221">
        <v>43739</v>
      </c>
      <c r="G40" s="221">
        <v>43344</v>
      </c>
      <c r="H40" s="383">
        <v>44105</v>
      </c>
      <c r="I40" s="324" t="s">
        <v>375</v>
      </c>
      <c r="J40" s="383">
        <v>44136</v>
      </c>
      <c r="K40" s="383">
        <v>44136</v>
      </c>
      <c r="N40" s="431" t="s">
        <v>252</v>
      </c>
      <c r="O40" s="431" t="s">
        <v>263</v>
      </c>
      <c r="P40" s="431" t="s">
        <v>253</v>
      </c>
      <c r="Q40" s="431" t="s">
        <v>254</v>
      </c>
      <c r="R40" s="431" t="s">
        <v>255</v>
      </c>
      <c r="U40" s="170"/>
      <c r="V40" s="170"/>
      <c r="W40" s="170"/>
      <c r="X40" s="170"/>
      <c r="Y40" s="170"/>
      <c r="Z40" s="170"/>
      <c r="AA40" s="170"/>
      <c r="AB40" s="170"/>
      <c r="AC40" s="170"/>
      <c r="AD40" s="77"/>
      <c r="AE40" s="77"/>
      <c r="AF40" s="77"/>
      <c r="AG40" s="77"/>
    </row>
    <row r="41" spans="1:33" ht="26.25" x14ac:dyDescent="0.25">
      <c r="A41" s="222" t="s">
        <v>245</v>
      </c>
      <c r="B41" s="174"/>
      <c r="C41" s="223" t="s">
        <v>246</v>
      </c>
      <c r="D41" s="223" t="s">
        <v>247</v>
      </c>
      <c r="E41" s="223" t="s">
        <v>248</v>
      </c>
      <c r="F41" s="223" t="s">
        <v>249</v>
      </c>
      <c r="G41" s="223" t="s">
        <v>250</v>
      </c>
      <c r="H41" s="384" t="s">
        <v>251</v>
      </c>
      <c r="I41" s="223" t="s">
        <v>364</v>
      </c>
      <c r="J41" s="384" t="s">
        <v>246</v>
      </c>
      <c r="K41" s="384" t="s">
        <v>247</v>
      </c>
      <c r="M41" s="151"/>
      <c r="N41" s="431"/>
      <c r="O41" s="431"/>
      <c r="P41" s="431"/>
      <c r="Q41" s="431"/>
      <c r="R41" s="431"/>
      <c r="U41" s="170"/>
      <c r="V41" s="170"/>
      <c r="W41" s="170"/>
      <c r="X41" s="170"/>
      <c r="Y41" s="170"/>
      <c r="Z41" s="170"/>
      <c r="AA41" s="170"/>
      <c r="AB41" s="170"/>
      <c r="AC41" s="170"/>
      <c r="AD41" s="77"/>
      <c r="AE41" s="77"/>
      <c r="AF41" s="77"/>
      <c r="AG41" s="77"/>
    </row>
    <row r="42" spans="1:33" x14ac:dyDescent="0.25">
      <c r="A42" s="178" t="s">
        <v>212</v>
      </c>
      <c r="B42" s="177"/>
      <c r="C42" s="224">
        <v>0.26150000000000001</v>
      </c>
      <c r="D42" s="224">
        <v>4.2900000000000004E-3</v>
      </c>
      <c r="E42" s="224">
        <v>-6.8500000000000002E-3</v>
      </c>
      <c r="F42" s="224">
        <v>0</v>
      </c>
      <c r="G42" s="224">
        <v>3.0280000000000001E-2</v>
      </c>
      <c r="H42" s="385">
        <v>2.3779999999999999E-2</v>
      </c>
      <c r="I42" s="224">
        <v>-2.1409999999999998E-2</v>
      </c>
      <c r="J42" s="385">
        <v>0.27189999999999998</v>
      </c>
      <c r="K42" s="385">
        <v>-7.3099999999999997E-3</v>
      </c>
      <c r="N42" s="225">
        <f>SUM(E42:K42)</f>
        <v>0.29038999999999998</v>
      </c>
      <c r="O42" s="225">
        <f>SUM(C42:I42)</f>
        <v>0.29159000000000007</v>
      </c>
      <c r="P42" s="191">
        <f t="shared" ref="P42:P51" si="23">N42*G4</f>
        <v>3058884.3372899997</v>
      </c>
      <c r="Q42" s="226">
        <f t="shared" ref="Q42:Q51" si="24">-F4*O42</f>
        <v>1901760.4772400004</v>
      </c>
      <c r="R42" s="191">
        <f>P42-Q42</f>
        <v>1157123.8600499993</v>
      </c>
      <c r="U42" s="170"/>
      <c r="V42" s="170"/>
      <c r="W42" s="170"/>
      <c r="X42" s="170"/>
      <c r="Y42" s="170"/>
      <c r="Z42" s="170"/>
      <c r="AA42" s="170"/>
      <c r="AB42" s="170"/>
      <c r="AC42" s="170"/>
      <c r="AD42" s="77"/>
      <c r="AE42" s="77"/>
      <c r="AF42" s="77"/>
      <c r="AG42" s="77"/>
    </row>
    <row r="43" spans="1:33" x14ac:dyDescent="0.25">
      <c r="A43" s="178" t="s">
        <v>214</v>
      </c>
      <c r="B43" s="177"/>
      <c r="C43" s="224">
        <v>0.26150000000000001</v>
      </c>
      <c r="D43" s="224">
        <v>4.2900000000000004E-3</v>
      </c>
      <c r="E43" s="224">
        <f>E42</f>
        <v>-6.8500000000000002E-3</v>
      </c>
      <c r="F43" s="224">
        <v>-0.48469000000000001</v>
      </c>
      <c r="G43" s="224">
        <v>3.0280000000000001E-2</v>
      </c>
      <c r="H43" s="385">
        <f>H42</f>
        <v>2.3779999999999999E-2</v>
      </c>
      <c r="I43" s="224">
        <f>I42</f>
        <v>-2.1409999999999998E-2</v>
      </c>
      <c r="J43" s="385">
        <v>0.27189999999999998</v>
      </c>
      <c r="K43" s="385">
        <v>-7.3099999999999997E-3</v>
      </c>
      <c r="N43" s="225">
        <f t="shared" ref="N43:N51" si="25">SUM(E43:K43)</f>
        <v>-0.1943</v>
      </c>
      <c r="O43" s="225">
        <f t="shared" ref="O43:O51" si="26">SUM(C43:I43)</f>
        <v>-0.19309999999999999</v>
      </c>
      <c r="P43" s="191">
        <f t="shared" si="23"/>
        <v>-3074.6032</v>
      </c>
      <c r="Q43" s="226">
        <f t="shared" si="24"/>
        <v>-1854.1461999999999</v>
      </c>
      <c r="R43" s="191">
        <f t="shared" ref="R43:R51" si="27">P43-Q43</f>
        <v>-1220.4570000000001</v>
      </c>
      <c r="U43" s="170"/>
      <c r="V43" s="170"/>
      <c r="W43" s="170"/>
      <c r="X43" s="170"/>
      <c r="Y43" s="170"/>
      <c r="Z43" s="170"/>
      <c r="AA43" s="170"/>
      <c r="AB43" s="170"/>
      <c r="AC43" s="170"/>
      <c r="AD43" s="77"/>
      <c r="AE43" s="77"/>
      <c r="AF43" s="77"/>
      <c r="AG43" s="77"/>
    </row>
    <row r="44" spans="1:33" x14ac:dyDescent="0.25">
      <c r="A44" s="178" t="s">
        <v>216</v>
      </c>
      <c r="B44" s="177"/>
      <c r="C44" s="224">
        <v>0.25180999999999998</v>
      </c>
      <c r="D44" s="224">
        <v>1.085E-2</v>
      </c>
      <c r="E44" s="224">
        <v>4.1900000000000001E-3</v>
      </c>
      <c r="F44" s="224">
        <v>0</v>
      </c>
      <c r="G44" s="224">
        <v>1.626E-2</v>
      </c>
      <c r="H44" s="385">
        <v>1.9939999999999999E-2</v>
      </c>
      <c r="I44" s="224">
        <v>-1.21E-2</v>
      </c>
      <c r="J44" s="385">
        <v>0.26157000000000002</v>
      </c>
      <c r="K44" s="385">
        <v>-1.3999999999999999E-4</v>
      </c>
      <c r="N44" s="225">
        <f t="shared" si="25"/>
        <v>0.28972000000000003</v>
      </c>
      <c r="O44" s="225">
        <f t="shared" si="26"/>
        <v>0.29095000000000004</v>
      </c>
      <c r="P44" s="191">
        <f t="shared" si="23"/>
        <v>1170048.4162800002</v>
      </c>
      <c r="Q44" s="226">
        <f t="shared" si="24"/>
        <v>1026617.0750000002</v>
      </c>
      <c r="R44" s="191">
        <f t="shared" si="27"/>
        <v>143431.34128000005</v>
      </c>
      <c r="U44" s="170"/>
      <c r="V44" s="170"/>
      <c r="W44" s="170"/>
      <c r="X44" s="170"/>
      <c r="Y44" s="170"/>
      <c r="Z44" s="170"/>
      <c r="AA44" s="170"/>
      <c r="AB44" s="170"/>
      <c r="AC44" s="170"/>
      <c r="AD44" s="77"/>
      <c r="AE44" s="77"/>
      <c r="AF44" s="77"/>
      <c r="AG44" s="77"/>
    </row>
    <row r="45" spans="1:33" x14ac:dyDescent="0.25">
      <c r="A45" s="178" t="s">
        <v>218</v>
      </c>
      <c r="B45" s="177"/>
      <c r="C45" s="224">
        <v>0.25180999999999998</v>
      </c>
      <c r="D45" s="224">
        <v>0</v>
      </c>
      <c r="E45" s="224">
        <f>E44</f>
        <v>4.1900000000000001E-3</v>
      </c>
      <c r="F45" s="224">
        <v>0</v>
      </c>
      <c r="G45" s="224">
        <v>1.626E-2</v>
      </c>
      <c r="H45" s="385">
        <f>H44</f>
        <v>1.9939999999999999E-2</v>
      </c>
      <c r="I45" s="224">
        <f>I44</f>
        <v>-1.21E-2</v>
      </c>
      <c r="J45" s="385">
        <v>0.26157000000000002</v>
      </c>
      <c r="K45" s="385">
        <v>0</v>
      </c>
      <c r="N45" s="225">
        <f t="shared" si="25"/>
        <v>0.28986000000000001</v>
      </c>
      <c r="O45" s="225">
        <f t="shared" si="26"/>
        <v>0.28010000000000002</v>
      </c>
      <c r="P45" s="191">
        <f t="shared" si="23"/>
        <v>16897.098839999999</v>
      </c>
      <c r="Q45" s="226">
        <f t="shared" si="24"/>
        <v>29980.783600000002</v>
      </c>
      <c r="R45" s="191">
        <f t="shared" si="27"/>
        <v>-13083.684760000004</v>
      </c>
      <c r="U45" s="170"/>
      <c r="V45" s="170"/>
      <c r="W45" s="170"/>
      <c r="X45" s="170"/>
      <c r="Y45" s="170"/>
      <c r="Z45" s="170"/>
      <c r="AA45" s="170"/>
      <c r="AB45" s="170"/>
      <c r="AC45" s="170"/>
      <c r="AD45" s="77"/>
      <c r="AE45" s="77"/>
      <c r="AF45" s="77"/>
      <c r="AG45" s="77"/>
    </row>
    <row r="46" spans="1:33" x14ac:dyDescent="0.25">
      <c r="A46" s="178" t="s">
        <v>220</v>
      </c>
      <c r="B46" s="177"/>
      <c r="C46" s="224">
        <v>0.25180999999999998</v>
      </c>
      <c r="D46" s="224">
        <v>1.085E-2</v>
      </c>
      <c r="E46" s="224">
        <f t="shared" ref="E46:E47" si="28">E45</f>
        <v>4.1900000000000001E-3</v>
      </c>
      <c r="F46" s="224">
        <v>0</v>
      </c>
      <c r="G46" s="224">
        <v>1.2760000000000001E-2</v>
      </c>
      <c r="H46" s="385">
        <f t="shared" ref="H46" si="29">H45</f>
        <v>1.9939999999999999E-2</v>
      </c>
      <c r="I46" s="224">
        <f t="shared" ref="I46:I47" si="30">I45</f>
        <v>-1.21E-2</v>
      </c>
      <c r="J46" s="385">
        <v>0.26157000000000002</v>
      </c>
      <c r="K46" s="385">
        <v>-1.3999999999999999E-4</v>
      </c>
      <c r="N46" s="225">
        <f t="shared" si="25"/>
        <v>0.28622000000000003</v>
      </c>
      <c r="O46" s="225">
        <f t="shared" si="26"/>
        <v>0.28745000000000004</v>
      </c>
      <c r="P46" s="191">
        <f t="shared" si="23"/>
        <v>0</v>
      </c>
      <c r="Q46" s="226">
        <f t="shared" si="24"/>
        <v>0</v>
      </c>
      <c r="R46" s="191">
        <f t="shared" si="27"/>
        <v>0</v>
      </c>
      <c r="U46" s="170"/>
      <c r="V46" s="170"/>
      <c r="W46" s="170"/>
      <c r="X46" s="170"/>
      <c r="Y46" s="170"/>
      <c r="Z46" s="170"/>
      <c r="AA46" s="170"/>
      <c r="AB46" s="170"/>
      <c r="AC46" s="170"/>
      <c r="AD46" s="77"/>
      <c r="AE46" s="77"/>
      <c r="AF46" s="77"/>
      <c r="AG46" s="77"/>
    </row>
    <row r="47" spans="1:33" x14ac:dyDescent="0.25">
      <c r="A47" s="178" t="s">
        <v>222</v>
      </c>
      <c r="B47" s="177"/>
      <c r="C47" s="224">
        <v>0.25180999999999998</v>
      </c>
      <c r="D47" s="224">
        <v>0</v>
      </c>
      <c r="E47" s="224">
        <f t="shared" si="28"/>
        <v>4.1900000000000001E-3</v>
      </c>
      <c r="F47" s="224">
        <v>0</v>
      </c>
      <c r="G47" s="224">
        <v>1.2760000000000001E-2</v>
      </c>
      <c r="H47" s="385">
        <f t="shared" ref="H47" si="31">H46</f>
        <v>1.9939999999999999E-2</v>
      </c>
      <c r="I47" s="224">
        <f t="shared" si="30"/>
        <v>-1.21E-2</v>
      </c>
      <c r="J47" s="385">
        <v>0.26157000000000002</v>
      </c>
      <c r="K47" s="385">
        <v>0</v>
      </c>
      <c r="N47" s="225">
        <f t="shared" si="25"/>
        <v>0.28636</v>
      </c>
      <c r="O47" s="225">
        <f t="shared" si="26"/>
        <v>0.27660000000000001</v>
      </c>
      <c r="P47" s="191">
        <f t="shared" si="23"/>
        <v>0</v>
      </c>
      <c r="Q47" s="226">
        <f t="shared" si="24"/>
        <v>0</v>
      </c>
      <c r="R47" s="191">
        <f t="shared" si="27"/>
        <v>0</v>
      </c>
      <c r="U47" s="170"/>
      <c r="V47" s="170"/>
      <c r="W47" s="170"/>
      <c r="X47" s="170"/>
      <c r="Y47" s="170"/>
      <c r="Z47" s="170"/>
      <c r="AA47" s="170"/>
      <c r="AB47" s="170"/>
      <c r="AC47" s="170"/>
      <c r="AD47" s="77"/>
      <c r="AE47" s="77"/>
      <c r="AF47" s="77"/>
      <c r="AG47" s="77"/>
    </row>
    <row r="48" spans="1:33" x14ac:dyDescent="0.25">
      <c r="A48" s="178" t="s">
        <v>223</v>
      </c>
      <c r="B48" s="177"/>
      <c r="C48" s="224">
        <v>0.21892</v>
      </c>
      <c r="D48" s="224">
        <v>0</v>
      </c>
      <c r="E48" s="224">
        <v>0</v>
      </c>
      <c r="F48" s="224">
        <v>0</v>
      </c>
      <c r="G48" s="224">
        <v>1.132E-2</v>
      </c>
      <c r="H48" s="385">
        <v>1.7500000000000002E-2</v>
      </c>
      <c r="I48" s="224">
        <v>-7.92E-3</v>
      </c>
      <c r="J48" s="385">
        <v>0.22814999999999999</v>
      </c>
      <c r="K48" s="385">
        <v>0</v>
      </c>
      <c r="N48" s="225">
        <f t="shared" si="25"/>
        <v>0.24904999999999999</v>
      </c>
      <c r="O48" s="225">
        <f t="shared" si="26"/>
        <v>0.23982000000000001</v>
      </c>
      <c r="P48" s="191">
        <f t="shared" si="23"/>
        <v>0</v>
      </c>
      <c r="Q48" s="226">
        <f t="shared" si="24"/>
        <v>0</v>
      </c>
      <c r="R48" s="191">
        <f t="shared" si="27"/>
        <v>0</v>
      </c>
      <c r="U48" s="170"/>
      <c r="V48" s="170"/>
      <c r="W48" s="170"/>
      <c r="X48" s="170"/>
      <c r="Y48" s="170"/>
      <c r="Z48" s="170"/>
      <c r="AA48" s="170"/>
      <c r="AB48" s="170"/>
      <c r="AC48" s="170"/>
      <c r="AD48" s="77"/>
      <c r="AE48" s="77"/>
      <c r="AF48" s="77"/>
      <c r="AG48" s="77"/>
    </row>
    <row r="49" spans="1:33" x14ac:dyDescent="0.25">
      <c r="A49" s="178" t="s">
        <v>225</v>
      </c>
      <c r="B49" s="177"/>
      <c r="C49" s="224">
        <v>5.5999999999999995E-4</v>
      </c>
      <c r="D49" s="224">
        <v>0</v>
      </c>
      <c r="E49" s="224">
        <v>0</v>
      </c>
      <c r="F49" s="224">
        <v>0</v>
      </c>
      <c r="G49" s="224">
        <v>0</v>
      </c>
      <c r="H49" s="385">
        <v>1.1299999999999999E-3</v>
      </c>
      <c r="I49" s="224">
        <v>-3.5300000000000002E-3</v>
      </c>
      <c r="J49" s="385">
        <v>5.5999999999999995E-4</v>
      </c>
      <c r="K49" s="385">
        <v>0</v>
      </c>
      <c r="N49" s="225">
        <f t="shared" si="25"/>
        <v>-1.8400000000000003E-3</v>
      </c>
      <c r="O49" s="225">
        <f t="shared" si="26"/>
        <v>-1.8400000000000003E-3</v>
      </c>
      <c r="P49" s="191">
        <f t="shared" si="23"/>
        <v>-5325.2672800000009</v>
      </c>
      <c r="Q49" s="226">
        <f t="shared" si="24"/>
        <v>-5261.7486400000007</v>
      </c>
      <c r="R49" s="191">
        <f t="shared" si="27"/>
        <v>-63.518640000000232</v>
      </c>
      <c r="U49" s="170"/>
      <c r="V49" s="170"/>
      <c r="W49" s="170"/>
      <c r="X49" s="170"/>
      <c r="Y49" s="170"/>
      <c r="Z49" s="170"/>
      <c r="AA49" s="170"/>
      <c r="AB49" s="170"/>
      <c r="AC49" s="170"/>
      <c r="AD49" s="77"/>
      <c r="AE49" s="77"/>
      <c r="AF49" s="77"/>
      <c r="AG49" s="77"/>
    </row>
    <row r="50" spans="1:33" x14ac:dyDescent="0.25">
      <c r="A50" s="178" t="s">
        <v>226</v>
      </c>
      <c r="B50" s="177"/>
      <c r="C50" s="224">
        <v>0</v>
      </c>
      <c r="D50" s="224">
        <v>0</v>
      </c>
      <c r="E50" s="224">
        <v>0</v>
      </c>
      <c r="F50" s="224">
        <v>0</v>
      </c>
      <c r="G50" s="224">
        <v>0</v>
      </c>
      <c r="H50" s="385">
        <v>0</v>
      </c>
      <c r="I50" s="224">
        <v>0</v>
      </c>
      <c r="J50" s="385">
        <v>0</v>
      </c>
      <c r="K50" s="385">
        <v>0</v>
      </c>
      <c r="N50" s="225">
        <f t="shared" si="25"/>
        <v>0</v>
      </c>
      <c r="O50" s="225">
        <f t="shared" si="26"/>
        <v>0</v>
      </c>
      <c r="P50" s="191">
        <f t="shared" si="23"/>
        <v>0</v>
      </c>
      <c r="Q50" s="226">
        <f t="shared" si="24"/>
        <v>0</v>
      </c>
      <c r="R50" s="191">
        <f t="shared" si="27"/>
        <v>0</v>
      </c>
      <c r="U50" s="170"/>
      <c r="V50" s="170"/>
      <c r="W50" s="170"/>
      <c r="X50" s="170"/>
      <c r="Y50" s="170"/>
      <c r="Z50" s="170"/>
      <c r="AA50" s="170"/>
      <c r="AB50" s="170"/>
      <c r="AC50" s="170"/>
      <c r="AD50" s="77"/>
      <c r="AE50" s="77"/>
      <c r="AF50" s="77"/>
      <c r="AG50" s="77"/>
    </row>
    <row r="51" spans="1:33" x14ac:dyDescent="0.25">
      <c r="A51" s="178" t="s">
        <v>227</v>
      </c>
      <c r="B51" s="177"/>
      <c r="C51" s="224">
        <v>0</v>
      </c>
      <c r="D51" s="224">
        <v>0</v>
      </c>
      <c r="E51" s="224">
        <v>0</v>
      </c>
      <c r="F51" s="224">
        <v>0</v>
      </c>
      <c r="G51" s="224">
        <v>0</v>
      </c>
      <c r="H51" s="385">
        <v>0</v>
      </c>
      <c r="I51" s="224">
        <v>0</v>
      </c>
      <c r="J51" s="385">
        <v>0</v>
      </c>
      <c r="K51" s="385">
        <v>0</v>
      </c>
      <c r="N51" s="225">
        <f t="shared" si="25"/>
        <v>0</v>
      </c>
      <c r="O51" s="225">
        <f t="shared" si="26"/>
        <v>0</v>
      </c>
      <c r="P51" s="191">
        <f t="shared" si="23"/>
        <v>0</v>
      </c>
      <c r="Q51" s="226">
        <f t="shared" si="24"/>
        <v>0</v>
      </c>
      <c r="R51" s="191">
        <f t="shared" si="27"/>
        <v>0</v>
      </c>
      <c r="U51" s="170"/>
      <c r="V51" s="170"/>
      <c r="W51" s="170"/>
      <c r="X51" s="170"/>
      <c r="Y51" s="170"/>
      <c r="Z51" s="170"/>
      <c r="AA51" s="170"/>
      <c r="AB51" s="170"/>
      <c r="AC51" s="170"/>
      <c r="AD51" s="77"/>
      <c r="AE51" s="77"/>
      <c r="AF51" s="77"/>
      <c r="AG51" s="77"/>
    </row>
    <row r="52" spans="1:33" x14ac:dyDescent="0.25">
      <c r="A52" s="178"/>
      <c r="B52" s="177"/>
      <c r="C52" s="224"/>
      <c r="D52" s="224"/>
      <c r="E52" s="224"/>
      <c r="F52" s="224"/>
      <c r="G52" s="224"/>
      <c r="H52" s="224"/>
      <c r="I52" s="224"/>
      <c r="J52" s="224"/>
      <c r="N52" s="170"/>
      <c r="P52" s="227">
        <f>SUM(P42:P51)</f>
        <v>4237429.9819299998</v>
      </c>
      <c r="Q52" s="227">
        <f>SUM(Q42:Q51)</f>
        <v>2951242.441000001</v>
      </c>
      <c r="R52" s="227">
        <f>SUM(R42:R51)</f>
        <v>1286187.5409299994</v>
      </c>
      <c r="U52" s="170"/>
      <c r="V52" s="170"/>
      <c r="W52" s="170"/>
      <c r="X52" s="170"/>
      <c r="Y52" s="170"/>
      <c r="Z52" s="170"/>
      <c r="AA52" s="170"/>
      <c r="AB52" s="170"/>
      <c r="AC52" s="170"/>
      <c r="AD52" s="170"/>
      <c r="AE52" s="77"/>
      <c r="AF52" s="77"/>
      <c r="AG52" s="77"/>
    </row>
    <row r="53" spans="1:33" ht="51.75" x14ac:dyDescent="0.25">
      <c r="A53" s="222" t="s">
        <v>255</v>
      </c>
      <c r="B53" s="174"/>
      <c r="C53" s="387" t="s">
        <v>256</v>
      </c>
      <c r="D53" s="387" t="s">
        <v>257</v>
      </c>
      <c r="E53" s="382" t="s">
        <v>248</v>
      </c>
      <c r="F53" s="382" t="s">
        <v>258</v>
      </c>
      <c r="G53" s="382" t="s">
        <v>259</v>
      </c>
      <c r="H53" s="382" t="s">
        <v>260</v>
      </c>
      <c r="I53" s="382" t="s">
        <v>366</v>
      </c>
      <c r="J53" s="382" t="s">
        <v>261</v>
      </c>
      <c r="M53" s="170"/>
      <c r="N53" s="170"/>
      <c r="O53" s="170"/>
      <c r="Q53" s="262">
        <f>'10.2020 Base Rate Revenue'!P52</f>
        <v>2951242.441000001</v>
      </c>
      <c r="R53" s="188">
        <f>J64</f>
        <v>1286187.5409299997</v>
      </c>
      <c r="U53" s="170"/>
      <c r="V53" s="170"/>
      <c r="W53" s="170"/>
      <c r="X53" s="170"/>
      <c r="Y53" s="170"/>
      <c r="Z53" s="170"/>
      <c r="AA53" s="170"/>
      <c r="AB53" s="170"/>
      <c r="AC53" s="170"/>
      <c r="AD53" s="77"/>
      <c r="AE53" s="77"/>
      <c r="AF53" s="77"/>
      <c r="AG53" s="77"/>
    </row>
    <row r="54" spans="1:33" x14ac:dyDescent="0.25">
      <c r="A54" s="178" t="s">
        <v>212</v>
      </c>
      <c r="B54" s="170"/>
      <c r="C54" s="386">
        <f>(F4*C42)+(G4*J42)</f>
        <v>1158603.6068999998</v>
      </c>
      <c r="D54" s="386">
        <f t="shared" ref="D54:D63" si="32">(F4*D42)+(G4*K42)</f>
        <v>-104980.96184999999</v>
      </c>
      <c r="E54" s="186">
        <f t="shared" ref="E54" si="33">E42*$H4</f>
        <v>-27479.973750000001</v>
      </c>
      <c r="F54" s="186">
        <f>F42*$H4</f>
        <v>0</v>
      </c>
      <c r="G54" s="186">
        <f>G42*$H4</f>
        <v>121473.519</v>
      </c>
      <c r="H54" s="186">
        <f>H42*$H4</f>
        <v>95397.631500000003</v>
      </c>
      <c r="I54" s="186">
        <f t="shared" ref="I54" si="34">I42*$H4</f>
        <v>-85889.961749999988</v>
      </c>
      <c r="J54" s="186">
        <f>SUM(C54:I54)</f>
        <v>1157123.8600499996</v>
      </c>
      <c r="M54" s="170"/>
      <c r="N54" s="191"/>
      <c r="O54" s="170"/>
      <c r="P54" s="170"/>
      <c r="R54" s="191">
        <f>R52-R53</f>
        <v>0</v>
      </c>
      <c r="U54" s="170"/>
      <c r="V54" s="170"/>
      <c r="W54" s="170"/>
      <c r="X54" s="170"/>
      <c r="Y54" s="170"/>
      <c r="Z54" s="170"/>
      <c r="AA54" s="170"/>
      <c r="AB54" s="170"/>
      <c r="AC54" s="170"/>
      <c r="AD54" s="77"/>
      <c r="AE54" s="77"/>
      <c r="AF54" s="77"/>
      <c r="AG54" s="77"/>
    </row>
    <row r="55" spans="1:33" x14ac:dyDescent="0.25">
      <c r="A55" s="178" t="s">
        <v>214</v>
      </c>
      <c r="B55" s="170"/>
      <c r="C55" s="386">
        <f t="shared" ref="C55:C63" si="35">F5*C43+G5*J43</f>
        <v>1791.6225999999992</v>
      </c>
      <c r="D55" s="386">
        <f t="shared" si="32"/>
        <v>-156.86601999999999</v>
      </c>
      <c r="E55" s="186">
        <f t="shared" ref="E55:I63" si="36">E43*$H5</f>
        <v>-42.620699999999999</v>
      </c>
      <c r="F55" s="186">
        <f t="shared" si="36"/>
        <v>-3015.74118</v>
      </c>
      <c r="G55" s="186">
        <f t="shared" si="36"/>
        <v>188.40216000000001</v>
      </c>
      <c r="H55" s="186">
        <f t="shared" ref="H55" si="37">H43*$H5</f>
        <v>147.95916</v>
      </c>
      <c r="I55" s="186">
        <f t="shared" si="36"/>
        <v>-133.21302</v>
      </c>
      <c r="J55" s="186">
        <f t="shared" ref="J55:J63" si="38">SUM(C55:I55)</f>
        <v>-1220.4570000000006</v>
      </c>
      <c r="K55" s="170"/>
      <c r="L55" s="170"/>
      <c r="M55" s="191"/>
      <c r="N55" s="170"/>
      <c r="O55" s="170"/>
      <c r="P55" s="170"/>
      <c r="Q55" s="170"/>
      <c r="R55" s="170"/>
      <c r="S55" s="170"/>
      <c r="T55" s="170"/>
      <c r="U55" s="170"/>
      <c r="V55" s="170"/>
      <c r="W55" s="170"/>
      <c r="X55" s="170"/>
      <c r="Y55" s="170"/>
      <c r="Z55" s="170"/>
      <c r="AA55" s="170"/>
      <c r="AB55" s="170"/>
      <c r="AC55" s="170"/>
      <c r="AD55" s="77"/>
      <c r="AE55" s="77"/>
      <c r="AF55" s="77"/>
      <c r="AG55" s="77"/>
    </row>
    <row r="56" spans="1:33" x14ac:dyDescent="0.25">
      <c r="A56" s="178" t="s">
        <v>216</v>
      </c>
      <c r="B56" s="170"/>
      <c r="C56" s="386">
        <f t="shared" si="35"/>
        <v>167851.67693000007</v>
      </c>
      <c r="D56" s="386">
        <f t="shared" si="32"/>
        <v>-38849.621859999999</v>
      </c>
      <c r="E56" s="186">
        <f t="shared" si="36"/>
        <v>2137.1053099999999</v>
      </c>
      <c r="F56" s="186">
        <f t="shared" si="36"/>
        <v>0</v>
      </c>
      <c r="G56" s="186">
        <f t="shared" si="36"/>
        <v>8293.3967400000001</v>
      </c>
      <c r="H56" s="186">
        <f t="shared" ref="H56" si="39">H44*$H6</f>
        <v>10170.377059999999</v>
      </c>
      <c r="I56" s="186">
        <f t="shared" si="36"/>
        <v>-6171.5928999999996</v>
      </c>
      <c r="J56" s="186">
        <f t="shared" si="38"/>
        <v>143431.34128000008</v>
      </c>
      <c r="K56" s="170"/>
      <c r="L56" s="170"/>
      <c r="M56" s="191"/>
      <c r="N56" s="170"/>
      <c r="O56" s="170"/>
      <c r="P56" s="170"/>
      <c r="Q56" s="170"/>
      <c r="R56" s="191"/>
      <c r="S56" s="170"/>
      <c r="T56" s="170"/>
      <c r="U56" s="170"/>
      <c r="V56" s="170"/>
      <c r="W56" s="170"/>
      <c r="X56" s="170"/>
      <c r="Y56" s="170"/>
      <c r="Z56" s="170"/>
      <c r="AA56" s="170"/>
      <c r="AB56" s="170"/>
      <c r="AC56" s="170"/>
      <c r="AD56" s="77"/>
      <c r="AE56" s="77"/>
      <c r="AF56" s="77"/>
      <c r="AG56" s="77"/>
    </row>
    <row r="57" spans="1:33" x14ac:dyDescent="0.25">
      <c r="A57" s="178" t="s">
        <v>218</v>
      </c>
      <c r="B57" s="170"/>
      <c r="C57" s="386">
        <f t="shared" si="35"/>
        <v>-11704.773579999995</v>
      </c>
      <c r="D57" s="386">
        <f t="shared" si="32"/>
        <v>0</v>
      </c>
      <c r="E57" s="186">
        <f t="shared" si="36"/>
        <v>-204.22898000000001</v>
      </c>
      <c r="F57" s="186">
        <f t="shared" si="36"/>
        <v>0</v>
      </c>
      <c r="G57" s="186">
        <f t="shared" si="36"/>
        <v>-792.54492000000005</v>
      </c>
      <c r="H57" s="186">
        <f t="shared" ref="H57" si="40">H45*$H7</f>
        <v>-971.91548</v>
      </c>
      <c r="I57" s="186">
        <f t="shared" si="36"/>
        <v>589.77819999999997</v>
      </c>
      <c r="J57" s="186">
        <f t="shared" si="38"/>
        <v>-13083.684759999995</v>
      </c>
      <c r="K57" s="170"/>
      <c r="L57" s="170"/>
      <c r="M57" s="191"/>
      <c r="N57" s="170"/>
      <c r="O57" s="170"/>
      <c r="P57" s="170"/>
      <c r="Q57" s="170"/>
      <c r="R57" s="170"/>
      <c r="S57" s="170"/>
      <c r="T57" s="170"/>
      <c r="U57" s="170"/>
      <c r="V57" s="170"/>
      <c r="W57" s="170"/>
      <c r="X57" s="170"/>
      <c r="Y57" s="170"/>
      <c r="Z57" s="170"/>
      <c r="AA57" s="170"/>
      <c r="AB57" s="170"/>
      <c r="AC57" s="170"/>
      <c r="AD57" s="77"/>
      <c r="AE57" s="77"/>
      <c r="AF57" s="77"/>
      <c r="AG57" s="77"/>
    </row>
    <row r="58" spans="1:33" x14ac:dyDescent="0.25">
      <c r="A58" s="178" t="s">
        <v>220</v>
      </c>
      <c r="B58" s="170"/>
      <c r="C58" s="386">
        <f t="shared" si="35"/>
        <v>0</v>
      </c>
      <c r="D58" s="386">
        <f t="shared" si="32"/>
        <v>0</v>
      </c>
      <c r="E58" s="186">
        <f t="shared" si="36"/>
        <v>0</v>
      </c>
      <c r="F58" s="186">
        <f t="shared" si="36"/>
        <v>0</v>
      </c>
      <c r="G58" s="186">
        <f t="shared" si="36"/>
        <v>0</v>
      </c>
      <c r="H58" s="186">
        <f t="shared" ref="H58" si="41">H46*$H8</f>
        <v>0</v>
      </c>
      <c r="I58" s="186">
        <f t="shared" si="36"/>
        <v>0</v>
      </c>
      <c r="J58" s="186">
        <f t="shared" si="38"/>
        <v>0</v>
      </c>
      <c r="K58" s="170"/>
      <c r="L58" s="170"/>
      <c r="M58" s="191"/>
      <c r="N58" s="170"/>
      <c r="O58" s="170"/>
      <c r="P58" s="170"/>
      <c r="Q58" s="170"/>
      <c r="R58" s="170"/>
      <c r="S58" s="170"/>
      <c r="T58" s="170"/>
      <c r="U58" s="170"/>
      <c r="V58" s="170"/>
      <c r="W58" s="170"/>
      <c r="X58" s="170"/>
      <c r="Y58" s="170"/>
      <c r="Z58" s="170"/>
      <c r="AA58" s="170"/>
      <c r="AB58" s="170"/>
      <c r="AC58" s="170"/>
      <c r="AD58" s="77"/>
      <c r="AE58" s="77"/>
      <c r="AF58" s="77"/>
      <c r="AG58" s="77"/>
    </row>
    <row r="59" spans="1:33" x14ac:dyDescent="0.25">
      <c r="A59" s="178" t="s">
        <v>222</v>
      </c>
      <c r="B59" s="170"/>
      <c r="C59" s="386">
        <f t="shared" si="35"/>
        <v>0</v>
      </c>
      <c r="D59" s="386">
        <f t="shared" si="32"/>
        <v>0</v>
      </c>
      <c r="E59" s="186">
        <f t="shared" si="36"/>
        <v>0</v>
      </c>
      <c r="F59" s="186">
        <f t="shared" si="36"/>
        <v>0</v>
      </c>
      <c r="G59" s="186">
        <f t="shared" si="36"/>
        <v>0</v>
      </c>
      <c r="H59" s="186">
        <f t="shared" ref="H59" si="42">H47*$H9</f>
        <v>0</v>
      </c>
      <c r="I59" s="186">
        <f t="shared" si="36"/>
        <v>0</v>
      </c>
      <c r="J59" s="186">
        <f t="shared" si="38"/>
        <v>0</v>
      </c>
      <c r="K59" s="170"/>
      <c r="L59" s="170"/>
      <c r="M59" s="191"/>
      <c r="N59" s="170"/>
      <c r="O59" s="170"/>
      <c r="P59" s="170"/>
      <c r="Q59" s="170"/>
      <c r="R59" s="170"/>
      <c r="S59" s="170"/>
      <c r="T59" s="170"/>
      <c r="U59" s="170"/>
      <c r="V59" s="170"/>
      <c r="W59" s="170"/>
      <c r="X59" s="170"/>
      <c r="Y59" s="170"/>
      <c r="Z59" s="170"/>
      <c r="AA59" s="170"/>
      <c r="AB59" s="170"/>
      <c r="AC59" s="170"/>
      <c r="AD59" s="77"/>
      <c r="AE59" s="77"/>
      <c r="AF59" s="77"/>
      <c r="AG59" s="77"/>
    </row>
    <row r="60" spans="1:33" x14ac:dyDescent="0.25">
      <c r="A60" s="178" t="s">
        <v>223</v>
      </c>
      <c r="B60" s="170"/>
      <c r="C60" s="386">
        <f t="shared" si="35"/>
        <v>0</v>
      </c>
      <c r="D60" s="386">
        <f t="shared" si="32"/>
        <v>0</v>
      </c>
      <c r="E60" s="186">
        <f t="shared" si="36"/>
        <v>0</v>
      </c>
      <c r="F60" s="186">
        <f t="shared" si="36"/>
        <v>0</v>
      </c>
      <c r="G60" s="186">
        <f t="shared" si="36"/>
        <v>0</v>
      </c>
      <c r="H60" s="186">
        <f t="shared" ref="H60" si="43">H48*$H10</f>
        <v>0</v>
      </c>
      <c r="I60" s="186">
        <f t="shared" si="36"/>
        <v>0</v>
      </c>
      <c r="J60" s="186">
        <f t="shared" si="38"/>
        <v>0</v>
      </c>
      <c r="K60" s="170"/>
      <c r="L60" s="170"/>
      <c r="M60" s="191"/>
      <c r="N60" s="170"/>
      <c r="O60" s="170"/>
      <c r="P60" s="170"/>
      <c r="Q60" s="170"/>
      <c r="R60" s="170"/>
      <c r="S60" s="170"/>
      <c r="T60" s="170"/>
      <c r="U60" s="170"/>
      <c r="V60" s="170"/>
      <c r="W60" s="170"/>
      <c r="X60" s="170"/>
      <c r="Y60" s="170"/>
      <c r="Z60" s="170"/>
      <c r="AA60" s="170"/>
      <c r="AB60" s="170"/>
      <c r="AC60" s="170"/>
      <c r="AD60" s="77"/>
      <c r="AE60" s="77"/>
      <c r="AF60" s="77"/>
      <c r="AG60" s="77"/>
    </row>
    <row r="61" spans="1:33" x14ac:dyDescent="0.25">
      <c r="A61" s="178" t="s">
        <v>225</v>
      </c>
      <c r="B61" s="170"/>
      <c r="C61" s="386">
        <f t="shared" si="35"/>
        <v>19.331759999999804</v>
      </c>
      <c r="D61" s="386">
        <f t="shared" si="32"/>
        <v>0</v>
      </c>
      <c r="E61" s="186">
        <f t="shared" si="36"/>
        <v>0</v>
      </c>
      <c r="F61" s="186">
        <f t="shared" si="36"/>
        <v>0</v>
      </c>
      <c r="G61" s="186">
        <f t="shared" si="36"/>
        <v>0</v>
      </c>
      <c r="H61" s="186">
        <f t="shared" ref="H61" si="44">H49*$H11</f>
        <v>39.00873</v>
      </c>
      <c r="I61" s="186">
        <f t="shared" si="36"/>
        <v>-121.85913000000001</v>
      </c>
      <c r="J61" s="186">
        <f t="shared" si="38"/>
        <v>-63.518640000000204</v>
      </c>
      <c r="K61" s="170"/>
      <c r="L61" s="170"/>
      <c r="M61" s="191"/>
      <c r="N61" s="170"/>
      <c r="O61" s="170"/>
      <c r="P61" s="170"/>
      <c r="Q61" s="170"/>
      <c r="R61" s="170"/>
      <c r="S61" s="170"/>
      <c r="T61" s="170"/>
      <c r="U61" s="170"/>
      <c r="V61" s="170"/>
      <c r="W61" s="170"/>
      <c r="X61" s="170"/>
      <c r="Y61" s="170"/>
      <c r="Z61" s="170"/>
      <c r="AA61" s="170"/>
      <c r="AB61" s="170"/>
      <c r="AC61" s="170"/>
      <c r="AD61" s="77"/>
      <c r="AE61" s="77"/>
      <c r="AF61" s="77"/>
      <c r="AG61" s="77"/>
    </row>
    <row r="62" spans="1:33" x14ac:dyDescent="0.25">
      <c r="A62" s="178" t="s">
        <v>226</v>
      </c>
      <c r="B62" s="170"/>
      <c r="C62" s="386">
        <f t="shared" si="35"/>
        <v>0</v>
      </c>
      <c r="D62" s="386">
        <f t="shared" si="32"/>
        <v>0</v>
      </c>
      <c r="E62" s="186">
        <f t="shared" si="36"/>
        <v>0</v>
      </c>
      <c r="F62" s="186">
        <f t="shared" si="36"/>
        <v>0</v>
      </c>
      <c r="G62" s="186">
        <f t="shared" si="36"/>
        <v>0</v>
      </c>
      <c r="H62" s="186">
        <f t="shared" ref="H62" si="45">H50*$H12</f>
        <v>0</v>
      </c>
      <c r="I62" s="186">
        <f t="shared" si="36"/>
        <v>0</v>
      </c>
      <c r="J62" s="186">
        <f t="shared" si="38"/>
        <v>0</v>
      </c>
      <c r="K62" s="170"/>
      <c r="L62" s="170"/>
      <c r="M62" s="191"/>
      <c r="N62" s="170"/>
      <c r="O62" s="170"/>
      <c r="P62" s="170"/>
      <c r="Q62" s="170"/>
      <c r="R62" s="170"/>
      <c r="S62" s="170"/>
      <c r="T62" s="170"/>
      <c r="U62" s="170"/>
      <c r="V62" s="170"/>
      <c r="W62" s="170"/>
      <c r="X62" s="170"/>
      <c r="Y62" s="170"/>
      <c r="Z62" s="170"/>
      <c r="AA62" s="170"/>
      <c r="AB62" s="170"/>
      <c r="AC62" s="170"/>
      <c r="AD62" s="77"/>
      <c r="AE62" s="77"/>
      <c r="AF62" s="77"/>
      <c r="AG62" s="77"/>
    </row>
    <row r="63" spans="1:33" x14ac:dyDescent="0.25">
      <c r="A63" s="178" t="s">
        <v>227</v>
      </c>
      <c r="B63" s="170"/>
      <c r="C63" s="386">
        <f t="shared" si="35"/>
        <v>0</v>
      </c>
      <c r="D63" s="386">
        <f t="shared" si="32"/>
        <v>0</v>
      </c>
      <c r="E63" s="186">
        <f t="shared" si="36"/>
        <v>0</v>
      </c>
      <c r="F63" s="186">
        <f t="shared" si="36"/>
        <v>0</v>
      </c>
      <c r="G63" s="186">
        <f t="shared" si="36"/>
        <v>0</v>
      </c>
      <c r="H63" s="186">
        <f t="shared" ref="H63" si="46">H51*$H13</f>
        <v>0</v>
      </c>
      <c r="I63" s="186">
        <f t="shared" si="36"/>
        <v>0</v>
      </c>
      <c r="J63" s="186">
        <f t="shared" si="38"/>
        <v>0</v>
      </c>
      <c r="K63" s="170"/>
      <c r="L63" s="170"/>
      <c r="M63" s="228"/>
      <c r="N63" s="170"/>
      <c r="O63" s="170"/>
      <c r="P63" s="170"/>
      <c r="Q63" s="170"/>
      <c r="R63" s="170"/>
      <c r="S63" s="170"/>
      <c r="T63" s="170"/>
      <c r="U63" s="170"/>
      <c r="V63" s="170"/>
      <c r="W63" s="170"/>
      <c r="X63" s="170"/>
      <c r="Y63" s="170"/>
      <c r="Z63" s="170"/>
      <c r="AA63" s="170"/>
      <c r="AB63" s="170"/>
      <c r="AC63" s="170"/>
      <c r="AD63" s="77"/>
      <c r="AE63" s="77"/>
      <c r="AF63" s="77"/>
      <c r="AG63" s="77"/>
    </row>
    <row r="64" spans="1:33" x14ac:dyDescent="0.25">
      <c r="A64" s="170"/>
      <c r="B64" s="170"/>
      <c r="C64" s="388">
        <f>SUM(C54:C63)</f>
        <v>1316561.4646099997</v>
      </c>
      <c r="D64" s="388">
        <f t="shared" ref="D64:I64" si="47">SUM(D54:D63)</f>
        <v>-143987.44972999999</v>
      </c>
      <c r="E64" s="194">
        <f t="shared" si="47"/>
        <v>-25589.718120000001</v>
      </c>
      <c r="F64" s="194">
        <f t="shared" si="47"/>
        <v>-3015.74118</v>
      </c>
      <c r="G64" s="194">
        <f t="shared" si="47"/>
        <v>129162.77297999999</v>
      </c>
      <c r="H64" s="194">
        <f t="shared" si="47"/>
        <v>104783.06097000001</v>
      </c>
      <c r="I64" s="194">
        <f t="shared" si="47"/>
        <v>-91726.848599999983</v>
      </c>
      <c r="J64" s="194">
        <f>SUM(J54:J63)</f>
        <v>1286187.5409299997</v>
      </c>
      <c r="K64" s="170"/>
      <c r="L64" s="170"/>
      <c r="M64" s="228"/>
      <c r="N64" s="170"/>
      <c r="O64" s="170"/>
      <c r="P64" s="170"/>
      <c r="Q64" s="170"/>
      <c r="R64" s="170"/>
      <c r="S64" s="170"/>
      <c r="T64" s="170"/>
      <c r="U64" s="170"/>
      <c r="V64" s="170"/>
      <c r="W64" s="170"/>
      <c r="X64" s="170"/>
      <c r="Y64" s="170"/>
      <c r="Z64" s="170"/>
      <c r="AA64" s="170"/>
      <c r="AB64" s="170"/>
      <c r="AC64" s="170"/>
      <c r="AD64" s="77"/>
      <c r="AE64" s="77"/>
      <c r="AF64" s="77"/>
      <c r="AG64" s="77"/>
    </row>
    <row r="65" spans="1:33" x14ac:dyDescent="0.25">
      <c r="A65" s="170"/>
      <c r="B65" s="170"/>
      <c r="C65" s="170"/>
      <c r="D65" s="170"/>
      <c r="E65" s="170"/>
      <c r="F65" s="170"/>
      <c r="G65" s="170"/>
      <c r="H65" s="170"/>
      <c r="I65" s="170"/>
      <c r="J65" s="170"/>
      <c r="K65" s="170"/>
      <c r="L65" s="170"/>
      <c r="M65" s="186"/>
      <c r="N65" s="170"/>
      <c r="O65" s="170"/>
      <c r="P65" s="170"/>
      <c r="Q65" s="170"/>
      <c r="R65" s="170"/>
      <c r="S65" s="170"/>
      <c r="T65" s="170"/>
      <c r="U65" s="170"/>
      <c r="V65" s="170"/>
      <c r="W65" s="170"/>
      <c r="X65" s="170"/>
      <c r="Y65" s="170"/>
      <c r="Z65" s="170"/>
      <c r="AA65" s="170"/>
      <c r="AB65" s="170"/>
      <c r="AC65" s="170"/>
      <c r="AD65" s="77"/>
      <c r="AE65" s="77"/>
      <c r="AF65" s="77"/>
      <c r="AG65" s="77"/>
    </row>
    <row r="66" spans="1:33" x14ac:dyDescent="0.25">
      <c r="A66" s="177" t="s">
        <v>28</v>
      </c>
      <c r="B66" s="177"/>
      <c r="C66" s="186">
        <f>C54+C55</f>
        <v>1160395.2294999997</v>
      </c>
      <c r="D66" s="186">
        <f>D54+D55</f>
        <v>-105137.82786999999</v>
      </c>
      <c r="E66" s="186">
        <f t="shared" ref="E66:I66" si="48">E54+E55</f>
        <v>-27522.594450000001</v>
      </c>
      <c r="F66" s="186">
        <f t="shared" si="48"/>
        <v>-3015.74118</v>
      </c>
      <c r="G66" s="186">
        <f t="shared" si="48"/>
        <v>121661.92116</v>
      </c>
      <c r="H66" s="186">
        <f t="shared" si="48"/>
        <v>95545.590660000002</v>
      </c>
      <c r="I66" s="186">
        <f t="shared" si="48"/>
        <v>-86023.174769999983</v>
      </c>
      <c r="J66" s="186">
        <f>J54+J55</f>
        <v>1155903.4030499996</v>
      </c>
      <c r="K66" s="170"/>
      <c r="L66" s="170"/>
      <c r="M66" s="186"/>
      <c r="N66" s="170"/>
      <c r="O66" s="170"/>
      <c r="P66" s="170"/>
      <c r="Q66" s="170"/>
      <c r="R66" s="170"/>
      <c r="S66" s="170"/>
      <c r="T66" s="170"/>
      <c r="U66" s="170"/>
      <c r="V66" s="170"/>
      <c r="W66" s="170"/>
      <c r="X66" s="170"/>
      <c r="Y66" s="170"/>
      <c r="Z66" s="170"/>
      <c r="AA66" s="170"/>
      <c r="AB66" s="170"/>
      <c r="AC66" s="170"/>
      <c r="AD66" s="77"/>
      <c r="AE66" s="77"/>
      <c r="AF66" s="77"/>
      <c r="AG66" s="77"/>
    </row>
    <row r="67" spans="1:33" x14ac:dyDescent="0.25">
      <c r="A67" s="177"/>
      <c r="B67" s="177"/>
      <c r="C67" s="186"/>
      <c r="D67" s="186"/>
      <c r="E67" s="186"/>
      <c r="F67" s="186"/>
      <c r="G67" s="186"/>
      <c r="H67" s="186"/>
      <c r="I67" s="186"/>
      <c r="J67" s="186"/>
      <c r="K67" s="170"/>
      <c r="L67" s="170"/>
      <c r="M67" s="177"/>
      <c r="N67" s="170"/>
      <c r="O67" s="170"/>
      <c r="P67" s="170"/>
      <c r="Q67" s="170"/>
      <c r="R67" s="170"/>
      <c r="S67" s="170"/>
      <c r="T67" s="170"/>
      <c r="U67" s="170"/>
      <c r="V67" s="170"/>
      <c r="W67" s="170"/>
      <c r="X67" s="170"/>
      <c r="Y67" s="170"/>
      <c r="Z67" s="170"/>
      <c r="AA67" s="170"/>
      <c r="AB67" s="170"/>
      <c r="AC67" s="170"/>
      <c r="AD67" s="77"/>
      <c r="AE67" s="77"/>
      <c r="AF67" s="77"/>
      <c r="AG67" s="77"/>
    </row>
    <row r="68" spans="1:33" x14ac:dyDescent="0.25">
      <c r="A68" s="177" t="s">
        <v>234</v>
      </c>
      <c r="B68" s="177"/>
      <c r="C68" s="219">
        <f>SUM(C56:C59)</f>
        <v>156146.90335000007</v>
      </c>
      <c r="D68" s="219">
        <f t="shared" ref="D68:I68" si="49">SUM(D56:D59)</f>
        <v>-38849.621859999999</v>
      </c>
      <c r="E68" s="219">
        <f t="shared" si="49"/>
        <v>1932.8763299999998</v>
      </c>
      <c r="F68" s="219">
        <f t="shared" si="49"/>
        <v>0</v>
      </c>
      <c r="G68" s="219">
        <f t="shared" si="49"/>
        <v>7500.8518199999999</v>
      </c>
      <c r="H68" s="219">
        <f t="shared" si="49"/>
        <v>9198.4615799999992</v>
      </c>
      <c r="I68" s="219">
        <f t="shared" si="49"/>
        <v>-5581.8146999999999</v>
      </c>
      <c r="J68" s="219">
        <f>SUM(J56:J59)</f>
        <v>130347.65652000009</v>
      </c>
      <c r="K68" s="170"/>
      <c r="L68" s="170"/>
      <c r="M68" s="170"/>
      <c r="N68" s="170"/>
      <c r="O68" s="170"/>
      <c r="P68" s="170"/>
      <c r="Q68" s="170"/>
      <c r="R68" s="170"/>
      <c r="S68" s="170"/>
      <c r="T68" s="170"/>
      <c r="U68" s="170"/>
      <c r="V68" s="170"/>
      <c r="W68" s="170"/>
      <c r="X68" s="170"/>
      <c r="Y68" s="170"/>
      <c r="Z68" s="170"/>
      <c r="AA68" s="170"/>
      <c r="AB68" s="170"/>
      <c r="AC68" s="170"/>
      <c r="AD68" s="77"/>
      <c r="AE68" s="77"/>
      <c r="AF68" s="77"/>
      <c r="AG68" s="77"/>
    </row>
    <row r="69" spans="1:33" x14ac:dyDescent="0.25">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77"/>
      <c r="AF69" s="77"/>
      <c r="AG69" s="77"/>
    </row>
    <row r="70" spans="1:33" x14ac:dyDescent="0.25">
      <c r="A70" s="426" t="s">
        <v>362</v>
      </c>
      <c r="B70" s="426"/>
      <c r="C70" s="426"/>
      <c r="D70" s="426"/>
      <c r="E70" s="426"/>
      <c r="F70" s="426"/>
      <c r="G70" s="426"/>
      <c r="H70" s="426"/>
      <c r="I70" s="426"/>
      <c r="J70" s="170"/>
      <c r="K70" s="170"/>
      <c r="L70" s="170"/>
      <c r="M70" s="170"/>
      <c r="N70" s="170"/>
      <c r="O70" s="170"/>
      <c r="P70" s="170"/>
      <c r="Q70" s="170"/>
      <c r="R70" s="170"/>
      <c r="S70" s="170"/>
      <c r="T70" s="170"/>
      <c r="U70" s="170"/>
      <c r="V70" s="170"/>
      <c r="W70" s="170"/>
      <c r="X70" s="170"/>
      <c r="Y70" s="170"/>
      <c r="Z70" s="170"/>
      <c r="AA70" s="170"/>
      <c r="AB70" s="170"/>
      <c r="AC70" s="170"/>
      <c r="AD70" s="170"/>
      <c r="AE70" s="77"/>
      <c r="AF70" s="77"/>
      <c r="AG70" s="77"/>
    </row>
    <row r="71" spans="1:33" x14ac:dyDescent="0.25">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77"/>
      <c r="AF71" s="77"/>
      <c r="AG71" s="77"/>
    </row>
    <row r="72" spans="1:33" ht="30" x14ac:dyDescent="0.25">
      <c r="A72" s="307"/>
      <c r="B72" s="307"/>
      <c r="C72" s="308" t="s">
        <v>345</v>
      </c>
      <c r="D72" s="308" t="s">
        <v>346</v>
      </c>
      <c r="E72" s="308" t="s">
        <v>347</v>
      </c>
      <c r="F72" s="308" t="s">
        <v>241</v>
      </c>
      <c r="G72" s="308" t="s">
        <v>348</v>
      </c>
      <c r="H72" s="308" t="s">
        <v>349</v>
      </c>
      <c r="I72" s="308" t="s">
        <v>350</v>
      </c>
      <c r="J72" s="170"/>
      <c r="K72" s="170"/>
      <c r="L72" s="170"/>
      <c r="M72" s="170"/>
      <c r="N72" s="170"/>
      <c r="O72" s="170"/>
      <c r="P72" s="170"/>
      <c r="Q72" s="170"/>
      <c r="R72" s="170"/>
      <c r="S72" s="170"/>
      <c r="T72" s="170"/>
      <c r="U72" s="170"/>
      <c r="V72" s="170"/>
      <c r="W72" s="170"/>
      <c r="X72" s="170"/>
      <c r="Y72" s="170"/>
      <c r="Z72" s="170"/>
      <c r="AA72" s="170"/>
      <c r="AB72" s="170"/>
      <c r="AC72" s="170"/>
      <c r="AD72" s="170"/>
      <c r="AE72" s="77"/>
      <c r="AF72" s="77"/>
      <c r="AG72" s="77"/>
    </row>
    <row r="73" spans="1:33" x14ac:dyDescent="0.25">
      <c r="A73" s="151"/>
      <c r="B73" s="151"/>
      <c r="C73" s="309"/>
      <c r="D73" s="309"/>
      <c r="E73" s="309"/>
      <c r="F73" s="309"/>
      <c r="G73" s="309"/>
      <c r="H73" s="309"/>
      <c r="I73" s="309"/>
      <c r="J73" s="170"/>
      <c r="K73" s="170"/>
      <c r="L73" s="170"/>
      <c r="M73" s="170"/>
      <c r="N73" s="170"/>
      <c r="O73" s="170"/>
      <c r="P73" s="170"/>
      <c r="Q73" s="170"/>
      <c r="R73" s="170"/>
      <c r="S73" s="170"/>
      <c r="T73" s="170"/>
      <c r="U73" s="170"/>
      <c r="V73" s="170"/>
      <c r="W73" s="170"/>
      <c r="X73" s="170"/>
      <c r="Y73" s="170"/>
      <c r="Z73" s="170"/>
      <c r="AA73" s="170"/>
      <c r="AB73" s="170"/>
      <c r="AC73" s="170"/>
      <c r="AD73" s="170"/>
      <c r="AE73" s="77"/>
      <c r="AF73" s="77"/>
      <c r="AG73" s="77"/>
    </row>
    <row r="74" spans="1:33" x14ac:dyDescent="0.25">
      <c r="A74" s="178" t="s">
        <v>212</v>
      </c>
      <c r="C74" s="273">
        <v>5712</v>
      </c>
      <c r="D74" s="273">
        <v>369986.52048000001</v>
      </c>
      <c r="E74" s="183">
        <v>54514.06</v>
      </c>
      <c r="F74" s="183">
        <v>219540.44</v>
      </c>
      <c r="G74" s="183">
        <v>107684.59</v>
      </c>
      <c r="H74" s="183">
        <v>8412.1299999999992</v>
      </c>
      <c r="I74" s="186">
        <f>SUM(F74:H74)</f>
        <v>335637.16000000003</v>
      </c>
      <c r="J74" s="349"/>
      <c r="K74" s="170"/>
      <c r="L74" s="170"/>
      <c r="M74" s="170"/>
      <c r="N74" s="170"/>
      <c r="O74" s="170"/>
      <c r="P74" s="170"/>
      <c r="Q74" s="170"/>
      <c r="R74" s="170"/>
      <c r="S74" s="170"/>
      <c r="T74" s="170"/>
      <c r="U74" s="170"/>
      <c r="V74" s="170"/>
      <c r="W74" s="170"/>
      <c r="X74" s="170"/>
      <c r="Y74" s="170"/>
      <c r="Z74" s="170"/>
      <c r="AA74" s="170"/>
      <c r="AB74" s="170"/>
      <c r="AC74" s="170"/>
      <c r="AD74" s="170"/>
      <c r="AE74" s="77"/>
    </row>
    <row r="75" spans="1:33" x14ac:dyDescent="0.25">
      <c r="A75" s="178" t="s">
        <v>214</v>
      </c>
      <c r="C75" s="273">
        <v>3</v>
      </c>
      <c r="D75" s="273">
        <v>207.821</v>
      </c>
      <c r="E75" s="183">
        <v>28.5</v>
      </c>
      <c r="F75" s="183">
        <v>118.24</v>
      </c>
      <c r="G75" s="183">
        <v>-40.24</v>
      </c>
      <c r="H75" s="183">
        <v>1.82</v>
      </c>
      <c r="I75" s="186">
        <f t="shared" ref="I75:I79" si="50">SUM(F75:H75)</f>
        <v>79.819999999999993</v>
      </c>
      <c r="J75" s="349"/>
      <c r="K75" s="170"/>
      <c r="L75" s="170"/>
      <c r="M75" s="170"/>
      <c r="N75" s="170"/>
      <c r="O75" s="170"/>
      <c r="P75" s="170"/>
      <c r="Q75" s="170"/>
      <c r="R75" s="170"/>
      <c r="S75" s="170"/>
      <c r="T75" s="170"/>
      <c r="U75" s="170"/>
      <c r="V75" s="170"/>
      <c r="W75" s="170"/>
      <c r="X75" s="170"/>
      <c r="Y75" s="170"/>
      <c r="Z75" s="170"/>
      <c r="AA75" s="170"/>
      <c r="AB75" s="170"/>
      <c r="AC75" s="170"/>
      <c r="AD75" s="170"/>
      <c r="AE75" s="77"/>
    </row>
    <row r="76" spans="1:33" x14ac:dyDescent="0.25">
      <c r="A76" s="178" t="s">
        <v>216</v>
      </c>
      <c r="C76" s="273">
        <v>44</v>
      </c>
      <c r="D76" s="273">
        <v>73865.520610000007</v>
      </c>
      <c r="E76" s="183">
        <v>3860.2</v>
      </c>
      <c r="F76" s="183">
        <v>23820.26</v>
      </c>
      <c r="G76" s="183">
        <v>21443.39</v>
      </c>
      <c r="H76" s="183">
        <v>988.2</v>
      </c>
      <c r="I76" s="186">
        <f t="shared" si="50"/>
        <v>46251.849999999991</v>
      </c>
      <c r="J76" s="349"/>
    </row>
    <row r="77" spans="1:33" x14ac:dyDescent="0.25">
      <c r="A77" s="178" t="s">
        <v>218</v>
      </c>
      <c r="C77" s="273"/>
      <c r="D77" s="273"/>
      <c r="E77" s="183"/>
      <c r="F77" s="183"/>
      <c r="G77" s="183"/>
      <c r="H77" s="183"/>
      <c r="I77" s="186">
        <f t="shared" si="50"/>
        <v>0</v>
      </c>
    </row>
    <row r="78" spans="1:33" x14ac:dyDescent="0.25">
      <c r="A78" s="178" t="s">
        <v>220</v>
      </c>
      <c r="C78" s="273"/>
      <c r="D78" s="273"/>
      <c r="E78" s="183"/>
      <c r="F78" s="183"/>
      <c r="G78" s="183"/>
      <c r="H78" s="183"/>
      <c r="I78" s="186">
        <f t="shared" si="50"/>
        <v>0</v>
      </c>
    </row>
    <row r="79" spans="1:33" x14ac:dyDescent="0.25">
      <c r="A79" s="178" t="s">
        <v>222</v>
      </c>
      <c r="C79" s="273"/>
      <c r="D79" s="273"/>
      <c r="E79" s="183"/>
      <c r="F79" s="183"/>
      <c r="G79" s="183"/>
      <c r="H79" s="183"/>
      <c r="I79" s="186">
        <f t="shared" si="50"/>
        <v>0</v>
      </c>
    </row>
    <row r="80" spans="1:33" x14ac:dyDescent="0.25">
      <c r="A80" s="178" t="s">
        <v>351</v>
      </c>
      <c r="C80" s="310">
        <f>SUM(C74:C79)</f>
        <v>5759</v>
      </c>
      <c r="D80" s="310">
        <f t="shared" ref="D80:I80" si="51">SUM(D74:D79)</f>
        <v>444059.86209000001</v>
      </c>
      <c r="E80" s="213">
        <f t="shared" si="51"/>
        <v>58402.759999999995</v>
      </c>
      <c r="F80" s="213">
        <f t="shared" si="51"/>
        <v>243478.94</v>
      </c>
      <c r="G80" s="213">
        <f t="shared" si="51"/>
        <v>129087.73999999999</v>
      </c>
      <c r="H80" s="213">
        <f t="shared" si="51"/>
        <v>9402.15</v>
      </c>
      <c r="I80" s="213">
        <f t="shared" si="51"/>
        <v>381968.83</v>
      </c>
    </row>
    <row r="81" spans="1:9" ht="15.75" thickBot="1" x14ac:dyDescent="0.3">
      <c r="A81" s="178"/>
      <c r="B81" s="282" t="s">
        <v>343</v>
      </c>
      <c r="C81" s="282" t="s">
        <v>343</v>
      </c>
      <c r="D81" s="282" t="s">
        <v>343</v>
      </c>
      <c r="E81" s="282" t="s">
        <v>343</v>
      </c>
      <c r="F81" s="282" t="s">
        <v>343</v>
      </c>
      <c r="G81" s="282" t="s">
        <v>343</v>
      </c>
      <c r="H81" s="282" t="s">
        <v>343</v>
      </c>
      <c r="I81" s="282" t="s">
        <v>343</v>
      </c>
    </row>
    <row r="82" spans="1:9" x14ac:dyDescent="0.25">
      <c r="A82" s="178" t="s">
        <v>352</v>
      </c>
      <c r="C82" s="311">
        <f t="shared" ref="C82:I82" si="52">C74+C75</f>
        <v>5715</v>
      </c>
      <c r="D82" s="312">
        <f t="shared" si="52"/>
        <v>370194.34148</v>
      </c>
      <c r="E82" s="312">
        <f t="shared" si="52"/>
        <v>54542.559999999998</v>
      </c>
      <c r="F82" s="313">
        <f t="shared" si="52"/>
        <v>219658.68</v>
      </c>
      <c r="G82" s="186">
        <f t="shared" si="52"/>
        <v>107644.34999999999</v>
      </c>
      <c r="H82" s="186">
        <f t="shared" si="52"/>
        <v>8413.9499999999989</v>
      </c>
      <c r="I82" s="186">
        <f t="shared" si="52"/>
        <v>335716.98000000004</v>
      </c>
    </row>
    <row r="83" spans="1:9" x14ac:dyDescent="0.25">
      <c r="C83" s="325"/>
      <c r="D83" s="326"/>
      <c r="E83" s="326"/>
      <c r="F83" s="327"/>
      <c r="G83" s="186"/>
      <c r="H83" s="186"/>
      <c r="I83" s="186"/>
    </row>
    <row r="84" spans="1:9" ht="15.75" thickBot="1" x14ac:dyDescent="0.3">
      <c r="A84" s="178" t="s">
        <v>353</v>
      </c>
      <c r="C84" s="314">
        <f t="shared" ref="C84:H84" si="53">SUM(C76:C79)</f>
        <v>44</v>
      </c>
      <c r="D84" s="315">
        <f t="shared" si="53"/>
        <v>73865.520610000007</v>
      </c>
      <c r="E84" s="316">
        <f t="shared" si="53"/>
        <v>3860.2</v>
      </c>
      <c r="F84" s="317">
        <f t="shared" si="53"/>
        <v>23820.26</v>
      </c>
      <c r="G84" s="186">
        <f t="shared" si="53"/>
        <v>21443.39</v>
      </c>
      <c r="H84" s="186">
        <f t="shared" si="53"/>
        <v>988.2</v>
      </c>
      <c r="I84" s="186">
        <f>SUM(I76:I79)</f>
        <v>46251.849999999991</v>
      </c>
    </row>
    <row r="85" spans="1:9" x14ac:dyDescent="0.25">
      <c r="C85" s="282"/>
      <c r="D85" s="282"/>
      <c r="E85" s="282"/>
      <c r="F85" s="282"/>
    </row>
  </sheetData>
  <mergeCells count="7">
    <mergeCell ref="A70:I70"/>
    <mergeCell ref="R40:R41"/>
    <mergeCell ref="A1:I1"/>
    <mergeCell ref="N40:N41"/>
    <mergeCell ref="O40:O41"/>
    <mergeCell ref="P40:P41"/>
    <mergeCell ref="Q40:Q41"/>
  </mergeCells>
  <printOptions horizontalCentered="1"/>
  <pageMargins left="0.45" right="0.45" top="0.5" bottom="0.5" header="0.3" footer="0.3"/>
  <pageSetup scale="80" orientation="landscape" r:id="rId1"/>
  <headerFooter scaleWithDoc="0">
    <oddFooter>&amp;L&amp;F / &amp;A&amp;RPage &amp;P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A2205C63B94AE449311544B3965B0C3" ma:contentTypeVersion="44" ma:contentTypeDescription="" ma:contentTypeScope="" ma:versionID="d167d02713486550635e9c36da98f00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2021-05-26T07:00:00+00:00</OpenedDate>
    <SignificantOrder xmlns="dc463f71-b30c-4ab2-9473-d307f9d35888">false</SignificantOrder>
    <Date1 xmlns="dc463f71-b30c-4ab2-9473-d307f9d35888">2021-05-26T07:00:00+00:00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210379</DocketNumber>
    <DelegatedOrder xmlns="dc463f71-b30c-4ab2-9473-d307f9d35888">false</DelegatedOrder>
  </documentManagement>
</p:properties>
</file>

<file path=customXml/itemProps1.xml><?xml version="1.0" encoding="utf-8"?>
<ds:datastoreItem xmlns:ds="http://schemas.openxmlformats.org/officeDocument/2006/customXml" ds:itemID="{A7BD4BB6-D917-4924-BFA7-8F63F8D8CAD0}"/>
</file>

<file path=customXml/itemProps2.xml><?xml version="1.0" encoding="utf-8"?>
<ds:datastoreItem xmlns:ds="http://schemas.openxmlformats.org/officeDocument/2006/customXml" ds:itemID="{3986561C-88F3-4282-9CE3-4B4B59333F41}"/>
</file>

<file path=customXml/itemProps3.xml><?xml version="1.0" encoding="utf-8"?>
<ds:datastoreItem xmlns:ds="http://schemas.openxmlformats.org/officeDocument/2006/customXml" ds:itemID="{1665C242-4108-415A-A0DC-01EF844900CF}"/>
</file>

<file path=customXml/itemProps4.xml><?xml version="1.0" encoding="utf-8"?>
<ds:datastoreItem xmlns:ds="http://schemas.openxmlformats.org/officeDocument/2006/customXml" ds:itemID="{ECE81757-484F-4CEC-AD79-2A32484613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Instructions</vt:lpstr>
      <vt:lpstr>UG-190335 Auth Base</vt:lpstr>
      <vt:lpstr>UG-170486 Auth Base</vt:lpstr>
      <vt:lpstr>GDWA 3% test</vt:lpstr>
      <vt:lpstr>Deferral Calc</vt:lpstr>
      <vt:lpstr>Annual Adjustment (Dec Only)</vt:lpstr>
      <vt:lpstr>12.2020 Base Rate Revenue</vt:lpstr>
      <vt:lpstr>11.2020 Base Rate Revenue</vt:lpstr>
      <vt:lpstr>10.2020 Base Rate Revenue</vt:lpstr>
      <vt:lpstr>09.2020 Base Rate Revenue</vt:lpstr>
      <vt:lpstr>08.2020 Base Rate Revenue</vt:lpstr>
      <vt:lpstr>07.2020 Base Rate Revenue</vt:lpstr>
      <vt:lpstr>06.2020 Base Rate Revenue</vt:lpstr>
      <vt:lpstr>05.2020 Base Rate Revenue</vt:lpstr>
      <vt:lpstr>04.2020 Base Rate Revenue</vt:lpstr>
      <vt:lpstr>03.2020 Base Rate Revenue</vt:lpstr>
      <vt:lpstr>02.2020 Base Rate Revenue</vt:lpstr>
      <vt:lpstr>01.2020 Base Rate Revenue</vt:lpstr>
      <vt:lpstr>'01.2020 Base Rate Revenue'!Print_Area</vt:lpstr>
      <vt:lpstr>'02.2020 Base Rate Revenue'!Print_Area</vt:lpstr>
      <vt:lpstr>'03.2020 Base Rate Revenue'!Print_Area</vt:lpstr>
      <vt:lpstr>'04.2020 Base Rate Revenue'!Print_Area</vt:lpstr>
      <vt:lpstr>'05.2020 Base Rate Revenue'!Print_Area</vt:lpstr>
      <vt:lpstr>'06.2020 Base Rate Revenue'!Print_Area</vt:lpstr>
      <vt:lpstr>'07.2020 Base Rate Revenue'!Print_Area</vt:lpstr>
      <vt:lpstr>'08.2020 Base Rate Revenue'!Print_Area</vt:lpstr>
      <vt:lpstr>'09.2020 Base Rate Revenue'!Print_Area</vt:lpstr>
      <vt:lpstr>'10.2020 Base Rate Revenue'!Print_Area</vt:lpstr>
      <vt:lpstr>'11.2020 Base Rate Revenue'!Print_Area</vt:lpstr>
      <vt:lpstr>'12.2020 Base Rate Revenue'!Print_Area</vt:lpstr>
      <vt:lpstr>'GDWA 3% test'!Print_Area</vt:lpstr>
      <vt:lpstr>'Deferral Calc'!Print_Titles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2021-01-06T16:14:54Z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0x0101006E56B4D1795A2E4DB2F0B01679ED314A00CA2205C63B94AE449311544B3965B0C3</vt:lpwstr>
  </property>
  <property fmtid="{D5CDD505-2E9C-101B-9397-08002B2CF9AE}" pid="3" name="_docset_NoMedatataSyncRequired">
    <vt:lpwstr>False</vt:lpwstr>
  </property>
  <property fmtid="{D5CDD505-2E9C-101B-9397-08002B2CF9AE}" pid="4" name="IsEFSEC">
    <vt:bool>false</vt:bool>
  </property>
</Properties>
</file>